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kobilee/Downloads/"/>
    </mc:Choice>
  </mc:AlternateContent>
  <xr:revisionPtr revIDLastSave="0" documentId="13_ncr:1_{E202624D-2CF0-044D-8044-EDFAF3ADC271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Table 1" sheetId="1" r:id="rId1"/>
    <sheet name="Copy of Table 1" sheetId="2" r:id="rId2"/>
    <sheet name="SABO" sheetId="3" r:id="rId3"/>
  </sheets>
  <definedNames>
    <definedName name="_xlnm._FilterDatabase" localSheetId="2" hidden="1">SABO!$D$1:$E$441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avTe92iU1dYSth1gNpQrWNgeFmw=="/>
    </ext>
  </extLst>
</workbook>
</file>

<file path=xl/calcChain.xml><?xml version="1.0" encoding="utf-8"?>
<calcChain xmlns="http://schemas.openxmlformats.org/spreadsheetml/2006/main">
  <c r="E397" i="2" l="1"/>
  <c r="E397" i="1"/>
  <c r="C174" i="1"/>
  <c r="B174" i="1"/>
  <c r="C245" i="1"/>
  <c r="B245" i="1"/>
  <c r="C173" i="1"/>
  <c r="B173" i="1"/>
  <c r="C172" i="1"/>
  <c r="B172" i="1"/>
  <c r="C396" i="1"/>
  <c r="B396" i="1"/>
  <c r="C395" i="1"/>
  <c r="B395" i="1"/>
  <c r="C33" i="1"/>
  <c r="B33" i="1"/>
  <c r="C171" i="1"/>
  <c r="B171" i="1"/>
  <c r="C170" i="1"/>
  <c r="B170" i="1"/>
  <c r="C169" i="1"/>
  <c r="B169" i="1"/>
  <c r="C99" i="1"/>
  <c r="B99" i="1"/>
  <c r="C291" i="1"/>
  <c r="B291" i="1"/>
  <c r="C361" i="1"/>
  <c r="B361" i="1"/>
  <c r="C168" i="1"/>
  <c r="B168" i="1"/>
  <c r="C213" i="1"/>
  <c r="B213" i="1"/>
  <c r="C212" i="1"/>
  <c r="B212" i="1"/>
  <c r="C244" i="1"/>
  <c r="B244" i="1"/>
  <c r="C211" i="1"/>
  <c r="B211" i="1"/>
  <c r="C290" i="1"/>
  <c r="B290" i="1"/>
  <c r="C394" i="1"/>
  <c r="B394" i="1"/>
  <c r="C289" i="1"/>
  <c r="B289" i="1"/>
  <c r="C167" i="1"/>
  <c r="B167" i="1"/>
  <c r="C166" i="1"/>
  <c r="B166" i="1"/>
  <c r="C210" i="1"/>
  <c r="B210" i="1"/>
  <c r="C165" i="1"/>
  <c r="B165" i="1"/>
  <c r="C72" i="1"/>
  <c r="B72" i="1"/>
  <c r="C288" i="1"/>
  <c r="B288" i="1"/>
  <c r="C164" i="1"/>
  <c r="B164" i="1"/>
  <c r="C98" i="1"/>
  <c r="B98" i="1"/>
  <c r="C287" i="1"/>
  <c r="B287" i="1"/>
  <c r="C286" i="1"/>
  <c r="B286" i="1"/>
  <c r="C360" i="1"/>
  <c r="B360" i="1"/>
  <c r="C236" i="1"/>
  <c r="B236" i="1"/>
  <c r="C285" i="1"/>
  <c r="B285" i="1"/>
  <c r="C163" i="1"/>
  <c r="B163" i="1"/>
  <c r="C318" i="1"/>
  <c r="B318" i="1"/>
  <c r="C97" i="1"/>
  <c r="B97" i="1"/>
  <c r="C284" i="1"/>
  <c r="B284" i="1"/>
  <c r="C162" i="1"/>
  <c r="B162" i="1"/>
  <c r="C359" i="1"/>
  <c r="B359" i="1"/>
  <c r="C96" i="1"/>
  <c r="B96" i="1"/>
  <c r="C161" i="1"/>
  <c r="B161" i="1"/>
  <c r="C209" i="1"/>
  <c r="B209" i="1"/>
  <c r="C283" i="1"/>
  <c r="B283" i="1"/>
  <c r="C208" i="1"/>
  <c r="B208" i="1"/>
  <c r="C358" i="1"/>
  <c r="B358" i="1"/>
  <c r="C160" i="1"/>
  <c r="B160" i="1"/>
  <c r="C159" i="1"/>
  <c r="B159" i="1"/>
  <c r="C71" i="1"/>
  <c r="B71" i="1"/>
  <c r="C158" i="1"/>
  <c r="B158" i="1"/>
  <c r="C157" i="1"/>
  <c r="B157" i="1"/>
  <c r="C207" i="1"/>
  <c r="B207" i="1"/>
  <c r="C282" i="1"/>
  <c r="B282" i="1"/>
  <c r="C281" i="1"/>
  <c r="B281" i="1"/>
  <c r="C70" i="1"/>
  <c r="B70" i="1"/>
  <c r="C95" i="1"/>
  <c r="B95" i="1"/>
  <c r="C280" i="1"/>
  <c r="B280" i="1"/>
  <c r="C357" i="1"/>
  <c r="B357" i="1"/>
  <c r="C279" i="1"/>
  <c r="B279" i="1"/>
  <c r="C356" i="1"/>
  <c r="B356" i="1"/>
  <c r="C156" i="1"/>
  <c r="B156" i="1"/>
  <c r="C155" i="1"/>
  <c r="B155" i="1"/>
  <c r="C278" i="1"/>
  <c r="B278" i="1"/>
  <c r="C69" i="1"/>
  <c r="B69" i="1"/>
  <c r="C154" i="1"/>
  <c r="B154" i="1"/>
  <c r="C153" i="1"/>
  <c r="B153" i="1"/>
  <c r="C152" i="1"/>
  <c r="B152" i="1"/>
  <c r="C277" i="1"/>
  <c r="B277" i="1"/>
  <c r="C243" i="1"/>
  <c r="B243" i="1"/>
  <c r="C206" i="1"/>
  <c r="B206" i="1"/>
  <c r="C205" i="1"/>
  <c r="B205" i="1"/>
  <c r="C151" i="1"/>
  <c r="B151" i="1"/>
  <c r="C68" i="1"/>
  <c r="B68" i="1"/>
  <c r="C204" i="1"/>
  <c r="B204" i="1"/>
  <c r="C235" i="1"/>
  <c r="B235" i="1"/>
  <c r="C317" i="1"/>
  <c r="B317" i="1"/>
  <c r="C276" i="1"/>
  <c r="B276" i="1"/>
  <c r="C275" i="1"/>
  <c r="B275" i="1"/>
  <c r="C355" i="1"/>
  <c r="B355" i="1"/>
  <c r="C150" i="1"/>
  <c r="B150" i="1"/>
  <c r="C67" i="1"/>
  <c r="B67" i="1"/>
  <c r="C274" i="1"/>
  <c r="B274" i="1"/>
  <c r="C94" i="1"/>
  <c r="B94" i="1"/>
  <c r="C149" i="1"/>
  <c r="B149" i="1"/>
  <c r="C148" i="1"/>
  <c r="B148" i="1"/>
  <c r="C393" i="1"/>
  <c r="B393" i="1"/>
  <c r="C392" i="1"/>
  <c r="B392" i="1"/>
  <c r="C391" i="1"/>
  <c r="B391" i="1"/>
  <c r="C354" i="1"/>
  <c r="B354" i="1"/>
  <c r="C316" i="1"/>
  <c r="B316" i="1"/>
  <c r="C147" i="1"/>
  <c r="B147" i="1"/>
  <c r="C273" i="1"/>
  <c r="B273" i="1"/>
  <c r="C146" i="1"/>
  <c r="B146" i="1"/>
  <c r="C66" i="1"/>
  <c r="B66" i="1"/>
  <c r="C65" i="1"/>
  <c r="B65" i="1"/>
  <c r="C203" i="1"/>
  <c r="B203" i="1"/>
  <c r="C64" i="1"/>
  <c r="B64" i="1"/>
  <c r="C353" i="1"/>
  <c r="B353" i="1"/>
  <c r="C63" i="1"/>
  <c r="B63" i="1"/>
  <c r="C62" i="1"/>
  <c r="B62" i="1"/>
  <c r="C390" i="1"/>
  <c r="B390" i="1"/>
  <c r="C272" i="1"/>
  <c r="B272" i="1"/>
  <c r="C352" i="1"/>
  <c r="B352" i="1"/>
  <c r="C315" i="1"/>
  <c r="B315" i="1"/>
  <c r="C61" i="1"/>
  <c r="B61" i="1"/>
  <c r="C145" i="1"/>
  <c r="B145" i="1"/>
  <c r="C202" i="1"/>
  <c r="B202" i="1"/>
  <c r="C60" i="1"/>
  <c r="B60" i="1"/>
  <c r="C314" i="1"/>
  <c r="B314" i="1"/>
  <c r="C32" i="1"/>
  <c r="B32" i="1"/>
  <c r="C234" i="1"/>
  <c r="B234" i="1"/>
  <c r="C389" i="1"/>
  <c r="B389" i="1"/>
  <c r="C201" i="1"/>
  <c r="B201" i="1"/>
  <c r="C31" i="1"/>
  <c r="B31" i="1"/>
  <c r="C30" i="1"/>
  <c r="B30" i="1"/>
  <c r="C144" i="1"/>
  <c r="B144" i="1"/>
  <c r="C143" i="1"/>
  <c r="B143" i="1"/>
  <c r="C313" i="1"/>
  <c r="B313" i="1"/>
  <c r="C59" i="1"/>
  <c r="B59" i="1"/>
  <c r="C351" i="1"/>
  <c r="B351" i="1"/>
  <c r="C388" i="1"/>
  <c r="B388" i="1"/>
  <c r="C242" i="1"/>
  <c r="B242" i="1"/>
  <c r="C200" i="1"/>
  <c r="B200" i="1"/>
  <c r="C350" i="1"/>
  <c r="B350" i="1"/>
  <c r="C349" i="1"/>
  <c r="B349" i="1"/>
  <c r="C142" i="1"/>
  <c r="B142" i="1"/>
  <c r="C141" i="1"/>
  <c r="B141" i="1"/>
  <c r="C387" i="1"/>
  <c r="B387" i="1"/>
  <c r="C386" i="1"/>
  <c r="B386" i="1"/>
  <c r="C140" i="1"/>
  <c r="B140" i="1"/>
  <c r="C271" i="1"/>
  <c r="B271" i="1"/>
  <c r="C348" i="1"/>
  <c r="B348" i="1"/>
  <c r="C93" i="1"/>
  <c r="B93" i="1"/>
  <c r="C385" i="1"/>
  <c r="B385" i="1"/>
  <c r="C347" i="1"/>
  <c r="B347" i="1"/>
  <c r="C346" i="1"/>
  <c r="B346" i="1"/>
  <c r="C312" i="1"/>
  <c r="B312" i="1"/>
  <c r="C311" i="1"/>
  <c r="B311" i="1"/>
  <c r="C229" i="1"/>
  <c r="B229" i="1"/>
  <c r="C199" i="1"/>
  <c r="B199" i="1"/>
  <c r="C228" i="1"/>
  <c r="B228" i="1"/>
  <c r="C92" i="1"/>
  <c r="B92" i="1"/>
  <c r="C58" i="1"/>
  <c r="B58" i="1"/>
  <c r="C345" i="1"/>
  <c r="B345" i="1"/>
  <c r="C57" i="1"/>
  <c r="B57" i="1"/>
  <c r="C227" i="1"/>
  <c r="B227" i="1"/>
  <c r="C198" i="1"/>
  <c r="B198" i="1"/>
  <c r="C56" i="1"/>
  <c r="B56" i="1"/>
  <c r="C344" i="1"/>
  <c r="B344" i="1"/>
  <c r="C226" i="1"/>
  <c r="B226" i="1"/>
  <c r="C310" i="1"/>
  <c r="B310" i="1"/>
  <c r="C384" i="1"/>
  <c r="B384" i="1"/>
  <c r="C225" i="1"/>
  <c r="B225" i="1"/>
  <c r="C55" i="1"/>
  <c r="B55" i="1"/>
  <c r="C91" i="1"/>
  <c r="B91" i="1"/>
  <c r="C383" i="1"/>
  <c r="B383" i="1"/>
  <c r="C54" i="1"/>
  <c r="B54" i="1"/>
  <c r="C224" i="1"/>
  <c r="B224" i="1"/>
  <c r="C343" i="1"/>
  <c r="B343" i="1"/>
  <c r="C139" i="1"/>
  <c r="B139" i="1"/>
  <c r="C223" i="1"/>
  <c r="B223" i="1"/>
  <c r="C241" i="1"/>
  <c r="B241" i="1"/>
  <c r="C222" i="1"/>
  <c r="B222" i="1"/>
  <c r="C90" i="1"/>
  <c r="B90" i="1"/>
  <c r="C382" i="1"/>
  <c r="B382" i="1"/>
  <c r="C138" i="1"/>
  <c r="B138" i="1"/>
  <c r="C197" i="1"/>
  <c r="B197" i="1"/>
  <c r="C309" i="1"/>
  <c r="B309" i="1"/>
  <c r="C381" i="1"/>
  <c r="B381" i="1"/>
  <c r="C29" i="1"/>
  <c r="B29" i="1"/>
  <c r="C221" i="1"/>
  <c r="B221" i="1"/>
  <c r="C28" i="1"/>
  <c r="B28" i="1"/>
  <c r="C53" i="1"/>
  <c r="B53" i="1"/>
  <c r="C196" i="1"/>
  <c r="B196" i="1"/>
  <c r="C137" i="1"/>
  <c r="B137" i="1"/>
  <c r="C195" i="1"/>
  <c r="B195" i="1"/>
  <c r="C233" i="1"/>
  <c r="B233" i="1"/>
  <c r="C220" i="1"/>
  <c r="B220" i="1"/>
  <c r="C89" i="1"/>
  <c r="B89" i="1"/>
  <c r="C88" i="1"/>
  <c r="B88" i="1"/>
  <c r="C380" i="1"/>
  <c r="B380" i="1"/>
  <c r="C308" i="1"/>
  <c r="B308" i="1"/>
  <c r="C342" i="1"/>
  <c r="B342" i="1"/>
  <c r="C194" i="1"/>
  <c r="B194" i="1"/>
  <c r="C307" i="1"/>
  <c r="B307" i="1"/>
  <c r="C52" i="1"/>
  <c r="B52" i="1"/>
  <c r="C219" i="1"/>
  <c r="B219" i="1"/>
  <c r="C232" i="1"/>
  <c r="B232" i="1"/>
  <c r="C27" i="1"/>
  <c r="B27" i="1"/>
  <c r="C248" i="1"/>
  <c r="B248" i="1"/>
  <c r="C51" i="1"/>
  <c r="B51" i="1"/>
  <c r="C136" i="1"/>
  <c r="B136" i="1"/>
  <c r="C341" i="1"/>
  <c r="B341" i="1"/>
  <c r="C306" i="1"/>
  <c r="B306" i="1"/>
  <c r="C50" i="1"/>
  <c r="B50" i="1"/>
  <c r="C135" i="1"/>
  <c r="B135" i="1"/>
  <c r="C270" i="1"/>
  <c r="B270" i="1"/>
  <c r="C193" i="1"/>
  <c r="B193" i="1"/>
  <c r="C247" i="1"/>
  <c r="B247" i="1"/>
  <c r="C246" i="1"/>
  <c r="B246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34" i="1"/>
  <c r="B134" i="1"/>
  <c r="C133" i="1"/>
  <c r="B133" i="1"/>
  <c r="C132" i="1"/>
  <c r="B132" i="1"/>
  <c r="C379" i="1"/>
  <c r="B379" i="1"/>
  <c r="C378" i="1"/>
  <c r="B378" i="1"/>
  <c r="C340" i="1"/>
  <c r="B340" i="1"/>
  <c r="C14" i="1"/>
  <c r="B14" i="1"/>
  <c r="C131" i="1"/>
  <c r="B131" i="1"/>
  <c r="C87" i="1"/>
  <c r="B87" i="1"/>
  <c r="C130" i="1"/>
  <c r="B130" i="1"/>
  <c r="C192" i="1"/>
  <c r="B192" i="1"/>
  <c r="C240" i="1"/>
  <c r="B240" i="1"/>
  <c r="C191" i="1"/>
  <c r="B191" i="1"/>
  <c r="C269" i="1"/>
  <c r="B269" i="1"/>
  <c r="C377" i="1"/>
  <c r="B377" i="1"/>
  <c r="C129" i="1"/>
  <c r="B129" i="1"/>
  <c r="C128" i="1"/>
  <c r="B128" i="1"/>
  <c r="C127" i="1"/>
  <c r="B127" i="1"/>
  <c r="C339" i="1"/>
  <c r="B339" i="1"/>
  <c r="C268" i="1"/>
  <c r="B268" i="1"/>
  <c r="C190" i="1"/>
  <c r="B190" i="1"/>
  <c r="C126" i="1"/>
  <c r="B126" i="1"/>
  <c r="C86" i="1"/>
  <c r="B86" i="1"/>
  <c r="C267" i="1"/>
  <c r="B267" i="1"/>
  <c r="C266" i="1"/>
  <c r="B266" i="1"/>
  <c r="C338" i="1"/>
  <c r="B338" i="1"/>
  <c r="C125" i="1"/>
  <c r="B125" i="1"/>
  <c r="C265" i="1"/>
  <c r="B265" i="1"/>
  <c r="C305" i="1"/>
  <c r="B305" i="1"/>
  <c r="C85" i="1"/>
  <c r="B85" i="1"/>
  <c r="C264" i="1"/>
  <c r="B264" i="1"/>
  <c r="C337" i="1"/>
  <c r="B337" i="1"/>
  <c r="C336" i="1"/>
  <c r="B336" i="1"/>
  <c r="C84" i="1"/>
  <c r="B84" i="1"/>
  <c r="C124" i="1"/>
  <c r="B124" i="1"/>
  <c r="C189" i="1"/>
  <c r="B189" i="1"/>
  <c r="C335" i="1"/>
  <c r="B335" i="1"/>
  <c r="C123" i="1"/>
  <c r="B123" i="1"/>
  <c r="C122" i="1"/>
  <c r="B122" i="1"/>
  <c r="C49" i="1"/>
  <c r="B49" i="1"/>
  <c r="C121" i="1"/>
  <c r="B121" i="1"/>
  <c r="C188" i="1"/>
  <c r="B188" i="1"/>
  <c r="C263" i="1"/>
  <c r="B263" i="1"/>
  <c r="C83" i="1"/>
  <c r="B83" i="1"/>
  <c r="C48" i="1"/>
  <c r="B48" i="1"/>
  <c r="C262" i="1"/>
  <c r="B262" i="1"/>
  <c r="C231" i="1"/>
  <c r="B231" i="1"/>
  <c r="C334" i="1"/>
  <c r="B334" i="1"/>
  <c r="C261" i="1"/>
  <c r="B261" i="1"/>
  <c r="C333" i="1"/>
  <c r="B333" i="1"/>
  <c r="C47" i="1"/>
  <c r="B47" i="1"/>
  <c r="C120" i="1"/>
  <c r="B120" i="1"/>
  <c r="C119" i="1"/>
  <c r="B119" i="1"/>
  <c r="C46" i="1"/>
  <c r="B46" i="1"/>
  <c r="C260" i="1"/>
  <c r="B260" i="1"/>
  <c r="C82" i="1"/>
  <c r="B82" i="1"/>
  <c r="C239" i="1"/>
  <c r="B239" i="1"/>
  <c r="C187" i="1"/>
  <c r="B187" i="1"/>
  <c r="C376" i="1"/>
  <c r="B376" i="1"/>
  <c r="C259" i="1"/>
  <c r="B259" i="1"/>
  <c r="C186" i="1"/>
  <c r="B186" i="1"/>
  <c r="C304" i="1"/>
  <c r="B304" i="1"/>
  <c r="C303" i="1"/>
  <c r="B303" i="1"/>
  <c r="C258" i="1"/>
  <c r="B258" i="1"/>
  <c r="C332" i="1"/>
  <c r="B332" i="1"/>
  <c r="C118" i="1"/>
  <c r="B118" i="1"/>
  <c r="C257" i="1"/>
  <c r="B257" i="1"/>
  <c r="C185" i="1"/>
  <c r="B185" i="1"/>
  <c r="C375" i="1"/>
  <c r="B375" i="1"/>
  <c r="C117" i="1"/>
  <c r="B117" i="1"/>
  <c r="C256" i="1"/>
  <c r="B256" i="1"/>
  <c r="C116" i="1"/>
  <c r="B116" i="1"/>
  <c r="C374" i="1"/>
  <c r="B374" i="1"/>
  <c r="C373" i="1"/>
  <c r="B373" i="1"/>
  <c r="C372" i="1"/>
  <c r="B372" i="1"/>
  <c r="C218" i="1"/>
  <c r="B218" i="1"/>
  <c r="C302" i="1"/>
  <c r="B302" i="1"/>
  <c r="C255" i="1"/>
  <c r="B255" i="1"/>
  <c r="C115" i="1"/>
  <c r="B115" i="1"/>
  <c r="C45" i="1"/>
  <c r="B45" i="1"/>
  <c r="C13" i="1"/>
  <c r="B13" i="1"/>
  <c r="C254" i="1"/>
  <c r="B254" i="1"/>
  <c r="C331" i="1"/>
  <c r="B331" i="1"/>
  <c r="C44" i="1"/>
  <c r="B44" i="1"/>
  <c r="C238" i="1"/>
  <c r="B238" i="1"/>
  <c r="C330" i="1"/>
  <c r="B330" i="1"/>
  <c r="C12" i="1"/>
  <c r="B12" i="1"/>
  <c r="C253" i="1"/>
  <c r="B253" i="1"/>
  <c r="C329" i="1"/>
  <c r="B329" i="1"/>
  <c r="C184" i="1"/>
  <c r="B184" i="1"/>
  <c r="C81" i="1"/>
  <c r="B81" i="1"/>
  <c r="C301" i="1"/>
  <c r="B301" i="1"/>
  <c r="C371" i="1"/>
  <c r="B371" i="1"/>
  <c r="C114" i="1"/>
  <c r="B114" i="1"/>
  <c r="C43" i="1"/>
  <c r="B43" i="1"/>
  <c r="C42" i="1"/>
  <c r="B42" i="1"/>
  <c r="C230" i="1"/>
  <c r="B230" i="1"/>
  <c r="C370" i="1"/>
  <c r="B370" i="1"/>
  <c r="C183" i="1"/>
  <c r="B183" i="1"/>
  <c r="C328" i="1"/>
  <c r="B328" i="1"/>
  <c r="C11" i="1"/>
  <c r="B11" i="1"/>
  <c r="C300" i="1"/>
  <c r="B300" i="1"/>
  <c r="C41" i="1"/>
  <c r="B41" i="1"/>
  <c r="C327" i="1"/>
  <c r="B327" i="1"/>
  <c r="C252" i="1"/>
  <c r="B252" i="1"/>
  <c r="C369" i="1"/>
  <c r="B369" i="1"/>
  <c r="C182" i="1"/>
  <c r="B182" i="1"/>
  <c r="C326" i="1"/>
  <c r="B326" i="1"/>
  <c r="C368" i="1"/>
  <c r="B368" i="1"/>
  <c r="C113" i="1"/>
  <c r="B113" i="1"/>
  <c r="C367" i="1"/>
  <c r="B367" i="1"/>
  <c r="C251" i="1"/>
  <c r="B251" i="1"/>
  <c r="C325" i="1"/>
  <c r="B325" i="1"/>
  <c r="C80" i="1"/>
  <c r="B80" i="1"/>
  <c r="C366" i="1"/>
  <c r="B366" i="1"/>
  <c r="C324" i="1"/>
  <c r="B324" i="1"/>
  <c r="C299" i="1"/>
  <c r="B299" i="1"/>
  <c r="C40" i="1"/>
  <c r="B40" i="1"/>
  <c r="C217" i="1"/>
  <c r="B217" i="1"/>
  <c r="C181" i="1"/>
  <c r="B181" i="1"/>
  <c r="C323" i="1"/>
  <c r="B323" i="1"/>
  <c r="C112" i="1"/>
  <c r="B112" i="1"/>
  <c r="C298" i="1"/>
  <c r="B298" i="1"/>
  <c r="C365" i="1"/>
  <c r="B365" i="1"/>
  <c r="C39" i="1"/>
  <c r="B39" i="1"/>
  <c r="C216" i="1"/>
  <c r="B216" i="1"/>
  <c r="C79" i="1"/>
  <c r="B79" i="1"/>
  <c r="C322" i="1"/>
  <c r="B322" i="1"/>
  <c r="C111" i="1"/>
  <c r="B111" i="1"/>
  <c r="C215" i="1"/>
  <c r="B215" i="1"/>
  <c r="C78" i="1"/>
  <c r="B78" i="1"/>
  <c r="C180" i="1"/>
  <c r="B180" i="1"/>
  <c r="C237" i="1"/>
  <c r="B237" i="1"/>
  <c r="C214" i="1"/>
  <c r="B214" i="1"/>
  <c r="C38" i="1"/>
  <c r="B38" i="1"/>
  <c r="C77" i="1"/>
  <c r="B77" i="1"/>
  <c r="C364" i="1"/>
  <c r="B364" i="1"/>
  <c r="C110" i="1"/>
  <c r="B110" i="1"/>
  <c r="C179" i="1"/>
  <c r="B179" i="1"/>
  <c r="C297" i="1"/>
  <c r="B297" i="1"/>
  <c r="C10" i="1"/>
  <c r="B10" i="1"/>
  <c r="C178" i="1"/>
  <c r="B178" i="1"/>
  <c r="C109" i="1"/>
  <c r="B109" i="1"/>
  <c r="C177" i="1"/>
  <c r="B177" i="1"/>
  <c r="C76" i="1"/>
  <c r="B76" i="1"/>
  <c r="C75" i="1"/>
  <c r="B75" i="1"/>
  <c r="C321" i="1"/>
  <c r="B321" i="1"/>
  <c r="C37" i="1"/>
  <c r="B37" i="1"/>
  <c r="C296" i="1"/>
  <c r="B296" i="1"/>
  <c r="C320" i="1"/>
  <c r="B320" i="1"/>
  <c r="C74" i="1"/>
  <c r="B74" i="1"/>
  <c r="C295" i="1"/>
  <c r="B295" i="1"/>
  <c r="C36" i="1"/>
  <c r="B36" i="1"/>
  <c r="C9" i="1"/>
  <c r="B9" i="1"/>
  <c r="C73" i="1"/>
  <c r="B73" i="1"/>
  <c r="C35" i="1"/>
  <c r="B35" i="1"/>
  <c r="C319" i="1"/>
  <c r="B319" i="1"/>
  <c r="C294" i="1"/>
  <c r="B294" i="1"/>
  <c r="C34" i="1"/>
  <c r="B34" i="1"/>
  <c r="C108" i="1"/>
  <c r="B108" i="1"/>
  <c r="C293" i="1"/>
  <c r="B293" i="1"/>
  <c r="C250" i="1"/>
  <c r="B250" i="1"/>
  <c r="C2" i="1"/>
  <c r="B2" i="1"/>
  <c r="C292" i="1"/>
  <c r="B292" i="1"/>
  <c r="C107" i="1"/>
  <c r="B107" i="1"/>
  <c r="C176" i="1"/>
  <c r="B176" i="1"/>
  <c r="C8" i="1"/>
  <c r="B8" i="1"/>
  <c r="C7" i="1"/>
  <c r="B7" i="1"/>
  <c r="C6" i="1"/>
  <c r="B6" i="1"/>
  <c r="C5" i="1"/>
  <c r="B5" i="1"/>
  <c r="C4" i="1"/>
  <c r="B4" i="1"/>
  <c r="C106" i="1"/>
  <c r="B106" i="1"/>
  <c r="C105" i="1"/>
  <c r="B105" i="1"/>
  <c r="C104" i="1"/>
  <c r="B104" i="1"/>
  <c r="C175" i="1"/>
  <c r="B175" i="1"/>
  <c r="C3" i="1"/>
  <c r="B3" i="1"/>
  <c r="C103" i="1"/>
  <c r="B103" i="1"/>
  <c r="C102" i="1"/>
  <c r="B102" i="1"/>
  <c r="C101" i="1"/>
  <c r="B101" i="1"/>
  <c r="C100" i="1"/>
  <c r="B100" i="1"/>
  <c r="C363" i="1"/>
  <c r="B363" i="1"/>
  <c r="C249" i="1"/>
  <c r="B249" i="1"/>
  <c r="C362" i="1"/>
  <c r="B362" i="1"/>
</calcChain>
</file>

<file path=xl/sharedStrings.xml><?xml version="1.0" encoding="utf-8"?>
<sst xmlns="http://schemas.openxmlformats.org/spreadsheetml/2006/main" count="2192" uniqueCount="472">
  <si>
    <r>
      <rPr>
        <b/>
        <sz val="11"/>
        <color theme="1"/>
        <rFont val="Arial"/>
      </rPr>
      <t>Date</t>
    </r>
  </si>
  <si>
    <t>Org Name</t>
  </si>
  <si>
    <t>Org Category</t>
  </si>
  <si>
    <r>
      <rPr>
        <b/>
        <sz val="11"/>
        <color theme="1"/>
        <rFont val="Arial"/>
      </rPr>
      <t>Amount</t>
    </r>
  </si>
  <si>
    <t>Name</t>
  </si>
  <si>
    <t>SABO #</t>
  </si>
  <si>
    <t>Category</t>
  </si>
  <si>
    <t>90.3 The Core</t>
  </si>
  <si>
    <t>Cultural</t>
  </si>
  <si>
    <t>ALIFE Ministry</t>
  </si>
  <si>
    <t>Media</t>
  </si>
  <si>
    <t>Academic Team</t>
  </si>
  <si>
    <t>Active Minds at Rutgers</t>
  </si>
  <si>
    <t>Faith-Based</t>
  </si>
  <si>
    <t>Actuarial Club</t>
  </si>
  <si>
    <t>Adventist Students for Christ</t>
  </si>
  <si>
    <t>Ahlul-Bayt Student Association</t>
  </si>
  <si>
    <t>Social Action/Political</t>
  </si>
  <si>
    <t xml:space="preserve">Ahmadiyya Muslim Students Association for Women </t>
  </si>
  <si>
    <t>Albanian Roots</t>
  </si>
  <si>
    <t>All Marxist-Leninist Union</t>
  </si>
  <si>
    <t>Pre-Professional</t>
  </si>
  <si>
    <t>Allied Health Professions Club</t>
  </si>
  <si>
    <t>Alpha Epsilon Delta (Health Preprofessional Honor Society)</t>
  </si>
  <si>
    <t>Alpha Omega</t>
  </si>
  <si>
    <t>Alternative Breaks (Rutgers University)</t>
  </si>
  <si>
    <t>American Cancer Society on RU Campus</t>
  </si>
  <si>
    <t>ACDA</t>
  </si>
  <si>
    <t>Community Service</t>
  </si>
  <si>
    <t>American Medical Student Association</t>
  </si>
  <si>
    <t>Performing Arts</t>
  </si>
  <si>
    <t>American Sign Language Club</t>
  </si>
  <si>
    <t>Amnesty International</t>
  </si>
  <si>
    <t>Anime Japanese Environmental Society</t>
  </si>
  <si>
    <t>Faith-based</t>
  </si>
  <si>
    <t>The Anthologist</t>
  </si>
  <si>
    <t>Arab Cultural Club</t>
  </si>
  <si>
    <t>Art History Student Association</t>
  </si>
  <si>
    <t>Ascend Pan-Asian Leaders</t>
  </si>
  <si>
    <t>The Ashley Lauren Foundation</t>
  </si>
  <si>
    <t>Asian Pacific American Medical Student Association</t>
  </si>
  <si>
    <t>Asian Student Council</t>
  </si>
  <si>
    <t>Association of Indians at Rutgers</t>
  </si>
  <si>
    <t>Association of International Relations(RUAIR)</t>
  </si>
  <si>
    <t>Association of Latino Professionals for America</t>
  </si>
  <si>
    <t>Association of Marketing and Strategy (Rutgers)</t>
  </si>
  <si>
    <t>Association of Phillipine Students</t>
  </si>
  <si>
    <t>Association of Punjabi Students</t>
  </si>
  <si>
    <t>Association of Undergraduate Geneticists</t>
  </si>
  <si>
    <t>Astronomical Society</t>
  </si>
  <si>
    <t>Academic</t>
  </si>
  <si>
    <t>Baby Friendly Space Club</t>
  </si>
  <si>
    <t>BAPS Campus Fellowship</t>
  </si>
  <si>
    <t>Bboy Student Organization of Rutgers</t>
  </si>
  <si>
    <t>Belly Dance Troupe</t>
  </si>
  <si>
    <t>Bengali Students Association</t>
  </si>
  <si>
    <t>Bhakti - The Higher Taste</t>
  </si>
  <si>
    <t>Bioethics Society</t>
  </si>
  <si>
    <t xml:space="preserve">Black Business Association </t>
  </si>
  <si>
    <t>The Black Men's Collective</t>
  </si>
  <si>
    <t>Leisure</t>
  </si>
  <si>
    <t>Black Student Union</t>
  </si>
  <si>
    <t>Bloustein Public Service Association</t>
  </si>
  <si>
    <t>Blueprint</t>
  </si>
  <si>
    <t xml:space="preserve">Brady Campaign Chapter at Rutgers University </t>
  </si>
  <si>
    <t>Building Research, Advocacy, and Innovation in Neuroscience (BRAIN)</t>
  </si>
  <si>
    <t>Philanthropic</t>
  </si>
  <si>
    <t xml:space="preserve">Rutgers BuildOn </t>
  </si>
  <si>
    <t>Business Association of Supply Chain Expertise</t>
  </si>
  <si>
    <t>Business Information Technology Society</t>
  </si>
  <si>
    <t>Carbaret Theatre</t>
  </si>
  <si>
    <t xml:space="preserve">Canterbury House: the Episcopal Church at Rutgers </t>
  </si>
  <si>
    <t>n/a</t>
  </si>
  <si>
    <t>Rutgers Cantonese Club</t>
  </si>
  <si>
    <t>Cap and Skull Senior Honor Society</t>
  </si>
  <si>
    <t>Casual Harmony</t>
  </si>
  <si>
    <t>Catholic Student Association</t>
  </si>
  <si>
    <t>Celebrating Latinx Arts &amp; Works</t>
  </si>
  <si>
    <t>Cell Biology and Neuroscience Society</t>
  </si>
  <si>
    <t>Central Asian Student Organization</t>
  </si>
  <si>
    <t>Chabad Jewish Student Organization</t>
  </si>
  <si>
    <t xml:space="preserve">Changing Health Attitudes &amp; Actions to Recreate Girls </t>
  </si>
  <si>
    <t>Charity Water Rutgers</t>
  </si>
  <si>
    <t>Chavaya</t>
  </si>
  <si>
    <t>Chess Club</t>
  </si>
  <si>
    <t>Chi Alpha Christian Fraternity</t>
  </si>
  <si>
    <t>Chi Alpha Epsilon</t>
  </si>
  <si>
    <t>Chinese Christian Fellowship</t>
  </si>
  <si>
    <t xml:space="preserve">Chinese Dance Troupe </t>
  </si>
  <si>
    <t>Chinese Student Organization</t>
  </si>
  <si>
    <t xml:space="preserve">Chinese Tea Culture Club </t>
  </si>
  <si>
    <t>Christians on Campus</t>
  </si>
  <si>
    <t xml:space="preserve">Circle K </t>
  </si>
  <si>
    <t>Cognitive Science Club</t>
  </si>
  <si>
    <t>College Avenue Players</t>
  </si>
  <si>
    <t>Collegiate 100</t>
  </si>
  <si>
    <t>Collegiate 4-H Club</t>
  </si>
  <si>
    <t>Companion Animal Club</t>
  </si>
  <si>
    <t>Composers' Colloquium of Rutgers University</t>
  </si>
  <si>
    <t>Cook Student Organic Garden Club</t>
  </si>
  <si>
    <t>Craft to Cure</t>
  </si>
  <si>
    <t>Creation of Games Society</t>
  </si>
  <si>
    <t>Criminal Justice Organization</t>
  </si>
  <si>
    <t>CRU</t>
  </si>
  <si>
    <t>Culinary Club</t>
  </si>
  <si>
    <t>Debate Union</t>
  </si>
  <si>
    <t>DECA</t>
  </si>
  <si>
    <t>Deep Treble</t>
  </si>
  <si>
    <t>Democrats</t>
  </si>
  <si>
    <t xml:space="preserve">Dental Knights Association </t>
  </si>
  <si>
    <t>Desi Intercultural Youth Association</t>
  </si>
  <si>
    <t>Designer Genes: Rutgers Biotechnology Club</t>
  </si>
  <si>
    <t>Dhol Effect</t>
  </si>
  <si>
    <t>DotA Club</t>
  </si>
  <si>
    <t>Douglass Black Students' Congress</t>
  </si>
  <si>
    <t>Douglass D.I.V.A.S</t>
  </si>
  <si>
    <t>Douglass Governing Council</t>
  </si>
  <si>
    <t xml:space="preserve">Douglass Q/ummunity </t>
  </si>
  <si>
    <t>Educational Opportunity Program Student Association</t>
  </si>
  <si>
    <t>Enactus of Rutgers University</t>
  </si>
  <si>
    <t xml:space="preserve">Envision </t>
  </si>
  <si>
    <t>F.A.C.E Modeling Team</t>
  </si>
  <si>
    <t xml:space="preserve">Fans of Philadelphia Eagles Rutgers </t>
  </si>
  <si>
    <t xml:space="preserve">Fashion Organization of Retail and Marketing </t>
  </si>
  <si>
    <t>FeelGood</t>
  </si>
  <si>
    <t xml:space="preserve">First Generation Student Union </t>
  </si>
  <si>
    <t>First Light</t>
  </si>
  <si>
    <t>First Love Rutgers Fellowship</t>
  </si>
  <si>
    <t>N/A</t>
  </si>
  <si>
    <t>FizzBuzz</t>
  </si>
  <si>
    <t>Foundation for International Medical Relief of Children</t>
  </si>
  <si>
    <t>Fusion: The Rutgers Union of Mixed People Student Organization of Rutgers</t>
  </si>
  <si>
    <t>Future Healthcare Administrators</t>
  </si>
  <si>
    <t>Future Teachers Association</t>
  </si>
  <si>
    <t>G.H. Cook Biochemistry and Microbiology Club</t>
  </si>
  <si>
    <t>Geology Club</t>
  </si>
  <si>
    <t>German Club at Rutgers University</t>
  </si>
  <si>
    <t xml:space="preserve">Gift of Life - Rutgers Chapter </t>
  </si>
  <si>
    <t xml:space="preserve">GlamourGals: Rutgers University Chapter </t>
  </si>
  <si>
    <t>Glee Club (The Rutgers University)</t>
  </si>
  <si>
    <t>Global Surgery Student Alliance at Rutgers</t>
  </si>
  <si>
    <t>GlobeMed</t>
  </si>
  <si>
    <t>Go Club (Rutgers)</t>
  </si>
  <si>
    <t>Grace Extended</t>
  </si>
  <si>
    <t>Green Print</t>
  </si>
  <si>
    <t>Habitat for Humanity</t>
  </si>
  <si>
    <t>Haitian Association</t>
  </si>
  <si>
    <t xml:space="preserve">Haru Kpop Dance Cover Club </t>
  </si>
  <si>
    <t>Health Occupation Students of America (HOSA)</t>
  </si>
  <si>
    <t>Health Professions United</t>
  </si>
  <si>
    <t>Healthy Kids of New Brunswick</t>
  </si>
  <si>
    <t>Hearthstone</t>
  </si>
  <si>
    <t>Mishelanu (Hebrew Club)</t>
  </si>
  <si>
    <t>Geek</t>
  </si>
  <si>
    <t>Hellenic Cultural Association</t>
  </si>
  <si>
    <t>Her Campus Rutgers</t>
  </si>
  <si>
    <t>Rutgers Hillel</t>
  </si>
  <si>
    <t>Hindu YUVA</t>
  </si>
  <si>
    <t>Hong Kong Student Association</t>
  </si>
  <si>
    <t>House the Hub</t>
  </si>
  <si>
    <t xml:space="preserve">IBD and IBS Association at Rutgers </t>
  </si>
  <si>
    <t>In Christ Alone Ministry</t>
  </si>
  <si>
    <t>Indian Christian Fellowship</t>
  </si>
  <si>
    <t xml:space="preserve">Information Technology &amp; Informatics Council </t>
  </si>
  <si>
    <t>Institute for Domestic and International Affairs (IDIA - Rutgers)</t>
  </si>
  <si>
    <t>InterCP Campus Ministry</t>
  </si>
  <si>
    <t>International Student Association of Rutgers University</t>
  </si>
  <si>
    <t>Intervarsity Multi-Ethnic Chris</t>
  </si>
  <si>
    <t>Into the Light</t>
  </si>
  <si>
    <t xml:space="preserve">Irish Dance </t>
  </si>
  <si>
    <t>Japanese Visual Culture Association</t>
  </si>
  <si>
    <t>J-BIZ: The Jewish Career Network at Rutgers</t>
  </si>
  <si>
    <t>Jewish Allies and Queers</t>
  </si>
  <si>
    <t>Jhoom Dynamix</t>
  </si>
  <si>
    <t>JMED</t>
  </si>
  <si>
    <t>Joshua Cantonese Christian Fellowship</t>
  </si>
  <si>
    <t>Rutgers Jumu'ah</t>
  </si>
  <si>
    <t>Kidney Disease Screening and Awareness Program</t>
  </si>
  <si>
    <t>Kier's Kidz</t>
  </si>
  <si>
    <t>Kinesiology and Health</t>
  </si>
  <si>
    <t xml:space="preserve">Kirkpatrick Choir </t>
  </si>
  <si>
    <t>Klesis</t>
  </si>
  <si>
    <t>Kol Halayla</t>
  </si>
  <si>
    <t>Korea Campus Crusade for Christ</t>
  </si>
  <si>
    <t>Korean Catholic Circle</t>
  </si>
  <si>
    <t>Korean Christian Fellowship</t>
  </si>
  <si>
    <t>Korean Language Club</t>
  </si>
  <si>
    <t>Korean Student Association</t>
  </si>
  <si>
    <t>KSEA-Rutgers</t>
  </si>
  <si>
    <t>LASO (Latin American Student Organization)</t>
  </si>
  <si>
    <t>Latin American Womyn's Organization</t>
  </si>
  <si>
    <t>Latino Student Council</t>
  </si>
  <si>
    <t>League of Legends</t>
  </si>
  <si>
    <t>Liberated Gospel Choir</t>
  </si>
  <si>
    <t>Little Investment Bankers of Rutgers</t>
  </si>
  <si>
    <t xml:space="preserve">Livingston Theatre Company </t>
  </si>
  <si>
    <t xml:space="preserve">LLEGO: The LGBTQQIA People of Color Organization at Rutgers </t>
  </si>
  <si>
    <t xml:space="preserve">Loree Courtyard Organization </t>
  </si>
  <si>
    <t>The Medium</t>
  </si>
  <si>
    <t>Meeting Point</t>
  </si>
  <si>
    <t xml:space="preserve">Meteorology Club at Rutgers University </t>
  </si>
  <si>
    <t>Mexican American Student Association</t>
  </si>
  <si>
    <t xml:space="preserve">Mind and Media </t>
  </si>
  <si>
    <t>Minority Association of Pre-Health Students</t>
  </si>
  <si>
    <t>Molecular Biology &amp; Biochemistry Society</t>
  </si>
  <si>
    <t>Mounted Patrol</t>
  </si>
  <si>
    <t>Muggle Mayhem</t>
  </si>
  <si>
    <t>Muslim Feminists for the Arts</t>
  </si>
  <si>
    <t>Muslim Public Relations Council</t>
  </si>
  <si>
    <t>Muslim Student Association</t>
  </si>
  <si>
    <t>National Association for the Advancement of Colored People</t>
  </si>
  <si>
    <t>National Black Law Students Association</t>
  </si>
  <si>
    <t xml:space="preserve">National Society of Collegiate Scholars </t>
  </si>
  <si>
    <t>National Society of Leadership and Success</t>
  </si>
  <si>
    <t>Native American Culture Association</t>
  </si>
  <si>
    <t xml:space="preserve">RU Natya </t>
  </si>
  <si>
    <t>Nehriyan Bhangra</t>
  </si>
  <si>
    <t>New Jersey Public Heatlh Association-Rutgers Student Chapter (NJPHA-RSC)</t>
  </si>
  <si>
    <t xml:space="preserve">Nu Rho Psi </t>
  </si>
  <si>
    <t>Nutrition Club of Rutgers University</t>
  </si>
  <si>
    <t>Nuttin  but V.O.C.A.L.S.</t>
  </si>
  <si>
    <t>O Beta Alpha Kappa Omicron Nu</t>
  </si>
  <si>
    <t>Oceanography Club</t>
  </si>
  <si>
    <t>Operation Smile</t>
  </si>
  <si>
    <t>Organization of Luso-Americans</t>
  </si>
  <si>
    <t>Orphan Sporks</t>
  </si>
  <si>
    <t>Orthodox Christian Campus Ministries</t>
  </si>
  <si>
    <t>oSTEM at Rutgers</t>
  </si>
  <si>
    <t>Out Of State Student Organization</t>
  </si>
  <si>
    <t>Outdoors Club</t>
  </si>
  <si>
    <t>Oxfam</t>
  </si>
  <si>
    <t>Pakistani Student Association</t>
  </si>
  <si>
    <t>Palestine Children's Relief Fund</t>
  </si>
  <si>
    <t xml:space="preserve">Parkinson's Student Alliance </t>
  </si>
  <si>
    <t>Pencils of Promise</t>
  </si>
  <si>
    <t>PERIOD</t>
  </si>
  <si>
    <t>Persian Cultural Club</t>
  </si>
  <si>
    <t>Phi Beta Lambda</t>
  </si>
  <si>
    <t>Phi Sigma Tau, National Honor Society in Philosophy</t>
  </si>
  <si>
    <t>Photography Club</t>
  </si>
  <si>
    <t>Pokemon Trainer's Club</t>
  </si>
  <si>
    <t>Polish Club</t>
  </si>
  <si>
    <t xml:space="preserve">Porcelain Band </t>
  </si>
  <si>
    <t>Praise Emmaus Ministry</t>
  </si>
  <si>
    <t>Pre-Dental Society of Rutgers University</t>
  </si>
  <si>
    <t>Pre-Law Society</t>
  </si>
  <si>
    <t>Pre-Optometry Professions Society</t>
  </si>
  <si>
    <t>Prescription Drug Abuse and Overprescription Awareness Organization</t>
  </si>
  <si>
    <t>Pre-Student Osteopathic Medical Association</t>
  </si>
  <si>
    <t xml:space="preserve">Project Sunshine </t>
  </si>
  <si>
    <t>Psychological Society</t>
  </si>
  <si>
    <t>Public Relations Student Society of America</t>
  </si>
  <si>
    <t>Q&amp;A: Queer and Asian</t>
  </si>
  <si>
    <t>Quantitative Finance Club</t>
  </si>
  <si>
    <t>Queens Chorale</t>
  </si>
  <si>
    <t>Queer and Christian</t>
  </si>
  <si>
    <t>Queer Caucus</t>
  </si>
  <si>
    <t>Queer Student Alliance</t>
  </si>
  <si>
    <t>Raas and Garba Association</t>
  </si>
  <si>
    <t>Ratio Christi at Rutgers University</t>
  </si>
  <si>
    <t xml:space="preserve">Ravens Booster Club </t>
  </si>
  <si>
    <t>Reach Out And Read</t>
  </si>
  <si>
    <t>READ, the Rutgers University Book Club</t>
  </si>
  <si>
    <t>Real Estate Club</t>
  </si>
  <si>
    <t>Rutgers Red Cross</t>
  </si>
  <si>
    <t>Rutgers University Rhythm Games Club</t>
  </si>
  <si>
    <t>Roll for Initiative: the Rutgers Dungeons &amp; Dragons Club</t>
  </si>
  <si>
    <t>Ronald McDonald House Charities Club (RMHC)</t>
  </si>
  <si>
    <t xml:space="preserve">Rotacact Club </t>
  </si>
  <si>
    <t>Royal Priesthood (Rutgers University)</t>
  </si>
  <si>
    <t>RU 2020</t>
  </si>
  <si>
    <t xml:space="preserve">RU Compost </t>
  </si>
  <si>
    <t>RU Curly</t>
  </si>
  <si>
    <t>RU Choice</t>
  </si>
  <si>
    <t>GenUN</t>
  </si>
  <si>
    <t>RUHearts for the Homeless</t>
  </si>
  <si>
    <t xml:space="preserve">Pilot Me </t>
  </si>
  <si>
    <t>RU Progressive</t>
  </si>
  <si>
    <t>Sif Sangam</t>
  </si>
  <si>
    <t>RUSA Allocations Board</t>
  </si>
  <si>
    <t>Russian Club</t>
  </si>
  <si>
    <t>Alzheimer's Buddies</t>
  </si>
  <si>
    <t>Rutgers Animation Club</t>
  </si>
  <si>
    <t>Archaeological Society</t>
  </si>
  <si>
    <t>Rutgers Armenian Students Association</t>
  </si>
  <si>
    <t xml:space="preserve">Rutgers Army ROTC </t>
  </si>
  <si>
    <t>Rutgers Art and Business Club</t>
  </si>
  <si>
    <t>Rutgers Art and Design</t>
  </si>
  <si>
    <t xml:space="preserve">Asian Acapella Group </t>
  </si>
  <si>
    <t>Rutgers Association of Men in Science</t>
  </si>
  <si>
    <t>RU Bhangra</t>
  </si>
  <si>
    <t xml:space="preserve">Rutgers Biology Club </t>
  </si>
  <si>
    <t>Rutgers Business Governing Association</t>
  </si>
  <si>
    <t>Rutgers Business School Blockchain Hub</t>
  </si>
  <si>
    <t>Rutgers Cares â€“ New Brunswick</t>
  </si>
  <si>
    <t>Chemistry Society</t>
  </si>
  <si>
    <t xml:space="preserve">Rutgers Chinese Students and Scholars Association </t>
  </si>
  <si>
    <t>Commuter Student Association</t>
  </si>
  <si>
    <t xml:space="preserve">Rutgers Competitive Programming </t>
  </si>
  <si>
    <t xml:space="preserve">Rutgers Consulting </t>
  </si>
  <si>
    <t>Counter-Strike Club</t>
  </si>
  <si>
    <t xml:space="preserve">Data Science Club </t>
  </si>
  <si>
    <t xml:space="preserve">Rutgers Economics Society </t>
  </si>
  <si>
    <t>Effective Altruism</t>
  </si>
  <si>
    <t xml:space="preserve">Rutgers Entrepreneurial Society </t>
  </si>
  <si>
    <t>Esports</t>
  </si>
  <si>
    <t xml:space="preserve">Rutgers Future Scholars Dream Team </t>
  </si>
  <si>
    <t>Rutgers Health Guardians of America</t>
  </si>
  <si>
    <t>Rutgers Hindu Students Council</t>
  </si>
  <si>
    <t>Rutgers Indonesian Cultural Entity</t>
  </si>
  <si>
    <t xml:space="preserve">Rutgers Insurance Club </t>
  </si>
  <si>
    <t>Italian Club</t>
  </si>
  <si>
    <t>Jewish Student Union</t>
  </si>
  <si>
    <t xml:space="preserve">Rutgers Juggling Club </t>
  </si>
  <si>
    <t>Kendama Club</t>
  </si>
  <si>
    <t>Rutgers Landscape Architecture Club (Rutgers Student Chapter of the ASLA)</t>
  </si>
  <si>
    <t>Rutgers University Mobile App Development</t>
  </si>
  <si>
    <t>Rutgers University Moot Court Association</t>
  </si>
  <si>
    <t>The Society for the Advancement of Chicanos and Native Americans in Science (SACNAS)</t>
  </si>
  <si>
    <t xml:space="preserve">Rutgers NO MORE </t>
  </si>
  <si>
    <t>Rutgers North American Disease</t>
  </si>
  <si>
    <t xml:space="preserve">Rutgers Oasis Church Student Organization </t>
  </si>
  <si>
    <t>Rutgers One and The Same Foundation (RUOATS)</t>
  </si>
  <si>
    <t>Orthodox Christian Fellowship</t>
  </si>
  <si>
    <t>Rutgers Overwatch Club</t>
  </si>
  <si>
    <t xml:space="preserve">Rutgers Personal Finance Club </t>
  </si>
  <si>
    <t>Petey Greene</t>
  </si>
  <si>
    <t xml:space="preserve">Rutgers Physical Therapy Club </t>
  </si>
  <si>
    <t>Rutgers Pre PA club</t>
  </si>
  <si>
    <t>Pre-Nursing Society</t>
  </si>
  <si>
    <t>Public Speaking Organization</t>
  </si>
  <si>
    <t>Rutgers Review</t>
  </si>
  <si>
    <t>Riot Squad</t>
  </si>
  <si>
    <t>Rocket League</t>
  </si>
  <si>
    <t xml:space="preserve">Rutgers Sales Club </t>
  </si>
  <si>
    <t>Don't Remember</t>
  </si>
  <si>
    <t>Save a Child's Heart</t>
  </si>
  <si>
    <t xml:space="preserve">Rutgers Security Club </t>
  </si>
  <si>
    <t>Skateboarding Club</t>
  </si>
  <si>
    <t>Spanish Club</t>
  </si>
  <si>
    <t xml:space="preserve">Rutgers Stand-Up Society </t>
  </si>
  <si>
    <t>Statistics Club</t>
  </si>
  <si>
    <t xml:space="preserve">Rutgers Student Marijuana Alliance for Research and Transparency </t>
  </si>
  <si>
    <t xml:space="preserve">Rutgers Tamash </t>
  </si>
  <si>
    <t>Transfer Student Association</t>
  </si>
  <si>
    <t>Undergraduate Geography Society</t>
  </si>
  <si>
    <t>Undergraduate Society of History</t>
  </si>
  <si>
    <t>Rutgers Undergraduate Women in Business</t>
  </si>
  <si>
    <t>Union Estudiantil Puertorriquen</t>
  </si>
  <si>
    <t>Rutgers University Accounting Association</t>
  </si>
  <si>
    <t xml:space="preserve">Rutgers University Bachata Club </t>
  </si>
  <si>
    <t>Big Buddy</t>
  </si>
  <si>
    <t xml:space="preserve">Rutgers University Buddhist Association </t>
  </si>
  <si>
    <t>No Category</t>
  </si>
  <si>
    <t xml:space="preserve">Rutgers University Chartered Financial Analyst Society </t>
  </si>
  <si>
    <t>Film Productions</t>
  </si>
  <si>
    <t>Rutgers for Primate Conservation (RUPC)</t>
  </si>
  <si>
    <t>Rutgers University Jains</t>
  </si>
  <si>
    <t>Rutgers University Knights for Autism Awareness</t>
  </si>
  <si>
    <t xml:space="preserve">Rutgers University Medieval Studies Association </t>
  </si>
  <si>
    <t>Mock Trial Association</t>
  </si>
  <si>
    <t xml:space="preserve">Rutgers University Nepalese Student Association </t>
  </si>
  <si>
    <t>Rutgers University Philosophy Club</t>
  </si>
  <si>
    <t>RU Sister2Sister</t>
  </si>
  <si>
    <t>Rutgers University Student Assembly</t>
  </si>
  <si>
    <t>Rutgers University Supply Chain Association</t>
  </si>
  <si>
    <t>Undergraduate Law Review</t>
  </si>
  <si>
    <t>Rutgers University Valuating</t>
  </si>
  <si>
    <t>RUVETS</t>
  </si>
  <si>
    <t>Vegetarian Society</t>
  </si>
  <si>
    <t xml:space="preserve">Rutgers Yoga and Reiki Club </t>
  </si>
  <si>
    <t>Yu-Gi-Oh Club</t>
  </si>
  <si>
    <t>STEM Ambassadors</t>
  </si>
  <si>
    <t>Scarlet Anchor Society</t>
  </si>
  <si>
    <t>Scarlet Cross</t>
  </si>
  <si>
    <t>Scarlet Dart Tag</t>
  </si>
  <si>
    <t xml:space="preserve">Scarlet Knights for Israel  </t>
  </si>
  <si>
    <t xml:space="preserve"> </t>
  </si>
  <si>
    <t>Scarlet Smash</t>
  </si>
  <si>
    <t>Scarlet Strikers Bowling Club</t>
  </si>
  <si>
    <t>SEBS Governing Council</t>
  </si>
  <si>
    <t>SEBS Pre-Medical/Pre-Dental Society</t>
  </si>
  <si>
    <t>Seeing Eye Puppy Raising Club (Rutgers University)</t>
  </si>
  <si>
    <t>She's the First</t>
  </si>
  <si>
    <t>Shock Wave</t>
  </si>
  <si>
    <t>Sikh Student Association</t>
  </si>
  <si>
    <t>Sisters with Values</t>
  </si>
  <si>
    <t>Sociedad Estudiantil Dominicana</t>
  </si>
  <si>
    <t>RU Society of Human Resource Management Undergraduate Chapter</t>
  </si>
  <si>
    <t>Society of Animal Science</t>
  </si>
  <si>
    <t>Society of Latin American Men</t>
  </si>
  <si>
    <t>Society of Physics Students</t>
  </si>
  <si>
    <t>Society of Professional Journalists</t>
  </si>
  <si>
    <t>Sophia Club</t>
  </si>
  <si>
    <t>South Asian Performing Arts</t>
  </si>
  <si>
    <t>Speech and Hearing Club, a NSSLHA Chapter (Rutgers University)</t>
  </si>
  <si>
    <t xml:space="preserve">STEAM (STEM + Arts) Club </t>
  </si>
  <si>
    <t xml:space="preserve">STEM Veterans USA at RU </t>
  </si>
  <si>
    <t>Stitch for Life</t>
  </si>
  <si>
    <t>Student Organized Rutgers Against Hunger</t>
  </si>
  <si>
    <t>Student Society for Stem Cell Research</t>
  </si>
  <si>
    <t>Students for Environmental and Energy Development (SEED Club)</t>
  </si>
  <si>
    <t>Students for Environmental Awareness</t>
  </si>
  <si>
    <t>Students for Justice in Palestine</t>
  </si>
  <si>
    <t xml:space="preserve">Subcultural Fashion Association </t>
  </si>
  <si>
    <t>Swing Dance Club</t>
  </si>
  <si>
    <t>Taiwanese American Student Association</t>
  </si>
  <si>
    <t xml:space="preserve">TAMID Group at Rutgers </t>
  </si>
  <si>
    <t>TEDxRutgers</t>
  </si>
  <si>
    <t>Thaakat Foundation</t>
  </si>
  <si>
    <t>The Doctors Without Border's Student Chapter</t>
  </si>
  <si>
    <t xml:space="preserve">The Creators </t>
  </si>
  <si>
    <t>The Examiner: Pre-Health Journal</t>
  </si>
  <si>
    <t xml:space="preserve">The G.O.Y.A. Project </t>
  </si>
  <si>
    <t xml:space="preserve">The Herpetology Program of Rutgers </t>
  </si>
  <si>
    <t>N/a</t>
  </si>
  <si>
    <t>The Imaginate</t>
  </si>
  <si>
    <t>RU Suryoyo</t>
  </si>
  <si>
    <t>Creative Writing Club</t>
  </si>
  <si>
    <t>Scuba Diving Club</t>
  </si>
  <si>
    <t>SUM</t>
  </si>
  <si>
    <t xml:space="preserve">The Rutgers Sports Business Association </t>
  </si>
  <si>
    <t xml:space="preserve">The Rutgers University Step Team </t>
  </si>
  <si>
    <t>The Wildlife Society, Rutgers Student Chapter</t>
  </si>
  <si>
    <t>Toastmasters</t>
  </si>
  <si>
    <t>Transmissions</t>
  </si>
  <si>
    <t xml:space="preserve">Triota, Womenâ€™s and Gender Studies Honor Society </t>
  </si>
  <si>
    <t>Troop RU</t>
  </si>
  <si>
    <t>Turf Club (Rutgers)</t>
  </si>
  <si>
    <t>Turkish Culture Club</t>
  </si>
  <si>
    <t>Twese The Organization for Africans and Friends of Africa</t>
  </si>
  <si>
    <t>Ukrainian Students Club (Rutgers)</t>
  </si>
  <si>
    <t>Undergraduate Anthropology Club</t>
  </si>
  <si>
    <t>Undergraduate Food Science Club</t>
  </si>
  <si>
    <t>Undergraduate Math Association</t>
  </si>
  <si>
    <t>Undergraduate Social Work Organization</t>
  </si>
  <si>
    <t>Undergraduate Students Alliance of Computer Science</t>
  </si>
  <si>
    <t>UndocRutgers</t>
  </si>
  <si>
    <t>UNICEF</t>
  </si>
  <si>
    <t>United Black Council</t>
  </si>
  <si>
    <t>United Muslim Relief</t>
  </si>
  <si>
    <t>University Choir</t>
  </si>
  <si>
    <t>Unplugged - The Board Gaming Club</t>
  </si>
  <si>
    <t>Value Creating Society of Nichiren Buddhism</t>
  </si>
  <si>
    <t>Venture Capital Club of Rutgers University</t>
  </si>
  <si>
    <t>Verbal Mayhem Poetry Collective</t>
  </si>
  <si>
    <t xml:space="preserve">Verse One </t>
  </si>
  <si>
    <t>Veterinary Science Club (Rutgers University)</t>
  </si>
  <si>
    <t>Vietnamese Student Association</t>
  </si>
  <si>
    <t xml:space="preserve">Vivekananda Youth Group </t>
  </si>
  <si>
    <t xml:space="preserve">Rutgers University Voorhees Choir </t>
  </si>
  <si>
    <t>Wanawake</t>
  </si>
  <si>
    <t>West Indian Student Organization</t>
  </si>
  <si>
    <t>Women Empowerment Through Health and Self-Love</t>
  </si>
  <si>
    <t>Women in Computer Science</t>
  </si>
  <si>
    <t>Women in Information Technology</t>
  </si>
  <si>
    <t xml:space="preserve">Women in Mathematical Sciences </t>
  </si>
  <si>
    <t>Women in the Health Professions</t>
  </si>
  <si>
    <t>Women Organizing Against Harassment</t>
  </si>
  <si>
    <t>Women's Center Coalition</t>
  </si>
  <si>
    <t>Women's Political Caucus</t>
  </si>
  <si>
    <t>WRSU-FM New Brunswick</t>
  </si>
  <si>
    <t>Young Americans for Liberty</t>
  </si>
  <si>
    <t xml:space="preserve">Young Life </t>
  </si>
  <si>
    <t>Youth Empowerment Club</t>
  </si>
  <si>
    <t>Figure Skating Club</t>
  </si>
  <si>
    <r>
      <rPr>
        <b/>
        <sz val="11"/>
        <color theme="1"/>
        <rFont val="Arial"/>
      </rPr>
      <t>Date</t>
    </r>
  </si>
  <si>
    <r>
      <rPr>
        <b/>
        <sz val="11"/>
        <color rgb="FF000000"/>
        <rFont val="Arial"/>
      </rPr>
      <t>Paid</t>
    </r>
    <r>
      <rPr>
        <b/>
        <sz val="11"/>
        <color rgb="FF000000"/>
        <rFont val="Times New Roman"/>
      </rPr>
      <t xml:space="preserve"> </t>
    </r>
    <r>
      <rPr>
        <b/>
        <sz val="11"/>
        <color rgb="FF000000"/>
        <rFont val="Arial"/>
      </rPr>
      <t>To/Transfer</t>
    </r>
    <r>
      <rPr>
        <b/>
        <sz val="11"/>
        <color rgb="FF000000"/>
        <rFont val="Times New Roman"/>
      </rPr>
      <t xml:space="preserve"> </t>
    </r>
    <r>
      <rPr>
        <b/>
        <sz val="11"/>
        <color rgb="FF000000"/>
        <rFont val="Arial"/>
      </rPr>
      <t>To/From</t>
    </r>
  </si>
  <si>
    <r>
      <rPr>
        <b/>
        <sz val="11"/>
        <color theme="1"/>
        <rFont val="Arial"/>
      </rPr>
      <t>Amount</t>
    </r>
  </si>
  <si>
    <t>Sabo Number</t>
  </si>
  <si>
    <t>Sabo</t>
  </si>
  <si>
    <t>IGNORE THE PAST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</si>
</sst>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\$#,##0.00"/>
    <numFmt numFmtId="166" formatCode="\$0.00"/>
  </numFmts>
  <fonts count="17">
    <font>
      <sz val="10"/>
      <color rgb="FF000000"/>
      <name val="Times New Roman"/>
    </font>
    <font>
      <b/>
      <sz val="11"/>
      <color theme="1"/>
      <name val="Arial"/>
    </font>
    <font>
      <b/>
      <sz val="11"/>
      <color rgb="FF000000"/>
      <name val="Calibri"/>
    </font>
    <font>
      <b/>
      <sz val="11"/>
      <color rgb="FF000000"/>
      <name val="Times New Roman"/>
    </font>
    <font>
      <sz val="10"/>
      <name val="Times New Roman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1"/>
      <color rgb="FF000000"/>
      <name val="Arial"/>
    </font>
    <font>
      <sz val="11"/>
      <color theme="1"/>
      <name val="Arial"/>
    </font>
    <font>
      <sz val="11"/>
      <color rgb="FF000000"/>
      <name val="Times New Roman"/>
    </font>
    <font>
      <sz val="5"/>
      <color rgb="FF000000"/>
      <name val="Arial"/>
    </font>
    <font>
      <sz val="11"/>
      <color theme="1"/>
      <name val="Calibri"/>
    </font>
    <font>
      <sz val="10"/>
      <color rgb="FF000000"/>
      <name val="Arial"/>
    </font>
    <font>
      <sz val="10"/>
      <color theme="1"/>
      <name val="Calibri"/>
    </font>
    <font>
      <b/>
      <sz val="11"/>
      <color theme="1"/>
      <name val="Calibri"/>
    </font>
    <font>
      <b/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6B26B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0" fontId="5" fillId="0" borderId="0" xfId="0" applyFont="1" applyAlignment="1">
      <alignment horizontal="left" vertical="top"/>
    </xf>
    <xf numFmtId="164" fontId="8" fillId="0" borderId="0" xfId="0" applyNumberFormat="1" applyFont="1" applyAlignment="1">
      <alignment horizontal="left" vertical="top" shrinkToFit="1"/>
    </xf>
    <xf numFmtId="0" fontId="9" fillId="0" borderId="0" xfId="0" applyFont="1" applyAlignment="1">
      <alignment horizontal="left" vertical="top" wrapText="1"/>
    </xf>
    <xf numFmtId="165" fontId="8" fillId="0" borderId="0" xfId="0" applyNumberFormat="1" applyFont="1" applyAlignment="1">
      <alignment horizontal="right" vertical="top" shrinkToFit="1"/>
    </xf>
    <xf numFmtId="165" fontId="11" fillId="0" borderId="0" xfId="0" applyNumberFormat="1" applyFont="1" applyAlignment="1">
      <alignment horizontal="right" vertical="top" shrinkToFit="1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66" fontId="8" fillId="0" borderId="0" xfId="0" applyNumberFormat="1" applyFont="1" applyAlignment="1">
      <alignment horizontal="right" vertical="top" shrinkToFit="1"/>
    </xf>
    <xf numFmtId="0" fontId="5" fillId="0" borderId="0" xfId="0" applyFont="1" applyAlignment="1">
      <alignment horizontal="left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4" fillId="0" borderId="0" xfId="0" applyFont="1" applyAlignment="1">
      <alignment horizontal="center" vertical="top"/>
    </xf>
    <xf numFmtId="165" fontId="14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1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3" fillId="0" borderId="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center"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16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right" vertical="top" wrapText="1"/>
    </xf>
    <xf numFmtId="164" fontId="8" fillId="2" borderId="1" xfId="0" applyNumberFormat="1" applyFont="1" applyFill="1" applyBorder="1" applyAlignment="1">
      <alignment horizontal="left" vertical="top" wrapText="1" shrinkToFit="1"/>
    </xf>
    <xf numFmtId="0" fontId="9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vertical="top" wrapText="1"/>
    </xf>
    <xf numFmtId="166" fontId="8" fillId="2" borderId="1" xfId="0" applyNumberFormat="1" applyFont="1" applyFill="1" applyBorder="1" applyAlignment="1">
      <alignment horizontal="right" vertical="top" wrapText="1" shrinkToFit="1"/>
    </xf>
    <xf numFmtId="164" fontId="8" fillId="2" borderId="0" xfId="0" applyNumberFormat="1" applyFont="1" applyFill="1" applyAlignment="1">
      <alignment horizontal="left" vertical="top" wrapText="1" shrinkToFit="1"/>
    </xf>
    <xf numFmtId="0" fontId="9" fillId="2" borderId="0" xfId="0" applyFont="1" applyFill="1" applyAlignment="1">
      <alignment horizontal="left" vertical="top" wrapText="1"/>
    </xf>
    <xf numFmtId="0" fontId="10" fillId="2" borderId="0" xfId="0" applyFont="1" applyFill="1" applyAlignment="1">
      <alignment vertical="top" wrapText="1"/>
    </xf>
    <xf numFmtId="165" fontId="8" fillId="2" borderId="0" xfId="0" applyNumberFormat="1" applyFont="1" applyFill="1" applyAlignment="1">
      <alignment horizontal="right" vertical="top" wrapText="1" shrinkToFit="1"/>
    </xf>
    <xf numFmtId="166" fontId="8" fillId="2" borderId="0" xfId="0" applyNumberFormat="1" applyFont="1" applyFill="1" applyAlignment="1">
      <alignment horizontal="right" vertical="top" wrapText="1" shrinkToFit="1"/>
    </xf>
    <xf numFmtId="164" fontId="8" fillId="2" borderId="0" xfId="0" applyNumberFormat="1" applyFont="1" applyFill="1" applyBorder="1" applyAlignment="1">
      <alignment horizontal="left" vertical="top" wrapText="1" shrinkToFit="1"/>
    </xf>
    <xf numFmtId="0" fontId="9" fillId="2" borderId="0" xfId="0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vertical="top" wrapText="1"/>
    </xf>
    <xf numFmtId="166" fontId="8" fillId="2" borderId="0" xfId="0" applyNumberFormat="1" applyFont="1" applyFill="1" applyBorder="1" applyAlignment="1">
      <alignment horizontal="right" vertical="top" wrapText="1" shrinkToFit="1"/>
    </xf>
    <xf numFmtId="0" fontId="0" fillId="2" borderId="0" xfId="0" applyFont="1" applyFill="1" applyAlignment="1">
      <alignment horizontal="left" vertical="top" wrapText="1"/>
    </xf>
    <xf numFmtId="0" fontId="14" fillId="2" borderId="0" xfId="0" applyFont="1" applyFill="1" applyAlignment="1">
      <alignment horizontal="center" vertical="top" wrapText="1"/>
    </xf>
    <xf numFmtId="165" fontId="14" fillId="2" borderId="0" xfId="0" applyNumberFormat="1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0" fontId="6" fillId="4" borderId="0" xfId="0" applyFont="1" applyFill="1" applyAlignment="1">
      <alignment horizontal="left" wrapText="1"/>
    </xf>
    <xf numFmtId="0" fontId="7" fillId="4" borderId="0" xfId="0" applyFont="1" applyFill="1" applyBorder="1" applyAlignment="1">
      <alignment horizontal="left" wrapText="1"/>
    </xf>
    <xf numFmtId="0" fontId="13" fillId="3" borderId="0" xfId="0" applyFont="1" applyFill="1" applyAlignment="1">
      <alignment horizontal="left" wrapText="1"/>
    </xf>
    <xf numFmtId="0" fontId="12" fillId="3" borderId="0" xfId="0" applyFont="1" applyFill="1" applyAlignment="1">
      <alignment horizontal="right" wrapText="1"/>
    </xf>
    <xf numFmtId="0" fontId="5" fillId="3" borderId="0" xfId="0" applyFont="1" applyFill="1" applyAlignment="1">
      <alignment horizontal="left" wrapText="1"/>
    </xf>
    <xf numFmtId="0" fontId="5" fillId="3" borderId="2" xfId="0" applyFont="1" applyFill="1" applyBorder="1" applyAlignment="1">
      <alignment horizontal="right" wrapText="1"/>
    </xf>
    <xf numFmtId="0" fontId="12" fillId="3" borderId="0" xfId="0" applyFont="1" applyFill="1" applyAlignment="1">
      <alignment horizontal="left" wrapText="1"/>
    </xf>
    <xf numFmtId="0" fontId="5" fillId="3" borderId="0" xfId="0" applyFont="1" applyFill="1" applyAlignment="1">
      <alignment horizontal="right" wrapText="1"/>
    </xf>
    <xf numFmtId="0" fontId="0" fillId="3" borderId="0" xfId="0" applyFont="1" applyFill="1" applyAlignment="1">
      <alignment horizontal="left" vertical="top" wrapText="1"/>
    </xf>
    <xf numFmtId="0" fontId="12" fillId="3" borderId="0" xfId="0" applyFont="1" applyFill="1" applyBorder="1" applyAlignment="1">
      <alignment horizontal="right" wrapText="1"/>
    </xf>
    <xf numFmtId="0" fontId="5" fillId="3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right" wrapText="1"/>
    </xf>
    <xf numFmtId="0" fontId="13" fillId="3" borderId="0" xfId="0" applyFont="1" applyFill="1" applyBorder="1" applyAlignment="1">
      <alignment horizontal="left" wrapText="1"/>
    </xf>
    <xf numFmtId="0" fontId="12" fillId="3" borderId="0" xfId="0" applyFont="1" applyFill="1" applyBorder="1" applyAlignment="1">
      <alignment horizontal="left" wrapText="1"/>
    </xf>
    <xf numFmtId="0" fontId="12" fillId="3" borderId="2" xfId="0" applyFont="1" applyFill="1" applyBorder="1" applyAlignment="1">
      <alignment horizontal="right" wrapText="1"/>
    </xf>
    <xf numFmtId="0" fontId="13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0" fontId="12" fillId="3" borderId="2" xfId="0" applyFont="1" applyFill="1" applyBorder="1" applyAlignment="1">
      <alignment horizontal="left" wrapText="1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9"/>
  <sheetViews>
    <sheetView tabSelected="1" workbookViewId="0">
      <pane ySplit="1" topLeftCell="A2" activePane="bottomLeft" state="frozen"/>
      <selection pane="bottomLeft" activeCell="K9" sqref="K9"/>
    </sheetView>
  </sheetViews>
  <sheetFormatPr baseColWidth="10" defaultColWidth="15.3984375" defaultRowHeight="17" customHeight="1"/>
  <cols>
    <col min="1" max="2" width="15.3984375" style="48"/>
    <col min="3" max="3" width="22" style="48" bestFit="1" customWidth="1"/>
    <col min="4" max="5" width="15.3984375" style="48"/>
    <col min="6" max="9" width="15.3984375" style="60"/>
  </cols>
  <sheetData>
    <row r="1" spans="1:9" ht="17" customHeight="1">
      <c r="A1" s="31" t="s">
        <v>0</v>
      </c>
      <c r="B1" s="31" t="s">
        <v>1</v>
      </c>
      <c r="C1" s="32" t="s">
        <v>2</v>
      </c>
      <c r="D1" s="33" t="s">
        <v>470</v>
      </c>
      <c r="E1" s="34" t="s">
        <v>3</v>
      </c>
      <c r="F1" s="51" t="s">
        <v>4</v>
      </c>
      <c r="G1" s="51" t="s">
        <v>5</v>
      </c>
      <c r="H1" s="52" t="s">
        <v>6</v>
      </c>
      <c r="I1" s="53" t="s">
        <v>5</v>
      </c>
    </row>
    <row r="2" spans="1:9" ht="17" customHeight="1">
      <c r="A2" s="35">
        <v>44371</v>
      </c>
      <c r="B2" s="36" t="str">
        <f ca="1">IFERROR(__xludf.DUMMYFUNCTION("FILTER($J$2:$J$445,$K$2:$K$445=D22)"),"Transfer Student Association")</f>
        <v>Transfer Student Association</v>
      </c>
      <c r="C2" s="36" t="str">
        <f ca="1">IFERROR(__xludf.DUMMYFUNCTION("filter($M$1:$M$500, $N$1:$N$500=D22)")," ")</f>
        <v xml:space="preserve"> </v>
      </c>
      <c r="D2" s="37">
        <v>1950</v>
      </c>
      <c r="E2" s="38">
        <v>150</v>
      </c>
      <c r="F2" s="54" t="s">
        <v>35</v>
      </c>
      <c r="G2" s="55">
        <v>17</v>
      </c>
      <c r="H2" s="56" t="s">
        <v>34</v>
      </c>
      <c r="I2" s="57">
        <v>84</v>
      </c>
    </row>
    <row r="3" spans="1:9" ht="17" customHeight="1">
      <c r="A3" s="39">
        <v>44371</v>
      </c>
      <c r="B3" s="40" t="str">
        <f ca="1">IFERROR(__xludf.DUMMYFUNCTION("FILTER($J$2:$J$445,$K$2:$K$445=D9)"),"#N/A")</f>
        <v>#N/A</v>
      </c>
      <c r="C3" s="40" t="str">
        <f ca="1">IFERROR(__xludf.DUMMYFUNCTION("filter($M$1:$M$500, $N$1:$N$500=D9)"),"#N/A")</f>
        <v>#N/A</v>
      </c>
      <c r="D3" s="41">
        <v>1695</v>
      </c>
      <c r="E3" s="42">
        <v>59222.9</v>
      </c>
      <c r="F3" s="58" t="s">
        <v>18</v>
      </c>
      <c r="G3" s="55">
        <v>1565</v>
      </c>
      <c r="H3" s="54" t="s">
        <v>17</v>
      </c>
      <c r="I3" s="59">
        <v>29</v>
      </c>
    </row>
    <row r="4" spans="1:9" ht="17" customHeight="1">
      <c r="A4" s="39">
        <v>44371</v>
      </c>
      <c r="B4" s="40" t="str">
        <f ca="1">IFERROR(__xludf.DUMMYFUNCTION("FILTER($J$2:$J$445,$K$2:$K$445=D14)"),"#N/A")</f>
        <v>#N/A</v>
      </c>
      <c r="C4" s="40" t="str">
        <f ca="1">IFERROR(__xludf.DUMMYFUNCTION("filter($M$1:$M$500, $N$1:$N$500=D14)"),"#N/A")</f>
        <v>#N/A</v>
      </c>
      <c r="D4" s="41">
        <v>1997</v>
      </c>
      <c r="E4" s="43">
        <v>150</v>
      </c>
      <c r="F4" s="58" t="s">
        <v>24</v>
      </c>
      <c r="G4" s="55">
        <v>769</v>
      </c>
      <c r="H4" s="54" t="s">
        <v>8</v>
      </c>
      <c r="I4" s="59">
        <v>58</v>
      </c>
    </row>
    <row r="5" spans="1:9" ht="17" customHeight="1">
      <c r="A5" s="39">
        <v>44371</v>
      </c>
      <c r="B5" s="40" t="str">
        <f ca="1">IFERROR(__xludf.DUMMYFUNCTION("FILTER($J$2:$J$445,$K$2:$K$445=D15)"),"#N/A")</f>
        <v>#N/A</v>
      </c>
      <c r="C5" s="40" t="str">
        <f ca="1">IFERROR(__xludf.DUMMYFUNCTION("filter($M$1:$M$500, $N$1:$N$500=D15)"),"#N/A")</f>
        <v>#N/A</v>
      </c>
      <c r="D5" s="41">
        <v>1996</v>
      </c>
      <c r="E5" s="43">
        <v>250</v>
      </c>
      <c r="F5" s="58" t="s">
        <v>25</v>
      </c>
      <c r="G5" s="55">
        <v>1132</v>
      </c>
      <c r="H5" s="56" t="s">
        <v>8</v>
      </c>
      <c r="I5" s="59">
        <v>62</v>
      </c>
    </row>
    <row r="6" spans="1:9" ht="17" customHeight="1">
      <c r="A6" s="39">
        <v>44371</v>
      </c>
      <c r="B6" s="40" t="str">
        <f ca="1">IFERROR(__xludf.DUMMYFUNCTION("FILTER($J$2:$J$445,$K$2:$K$445=D16)"),"#N/A")</f>
        <v>#N/A</v>
      </c>
      <c r="C6" s="40" t="str">
        <f ca="1">IFERROR(__xludf.DUMMYFUNCTION("filter($M$1:$M$500, $N$1:$N$500=D16)"),"#N/A")</f>
        <v>#N/A</v>
      </c>
      <c r="D6" s="41">
        <v>1991</v>
      </c>
      <c r="E6" s="43">
        <v>300</v>
      </c>
      <c r="F6" s="58" t="s">
        <v>26</v>
      </c>
      <c r="G6" s="55">
        <v>748</v>
      </c>
      <c r="H6" s="56" t="s">
        <v>8</v>
      </c>
      <c r="I6" s="59">
        <v>63</v>
      </c>
    </row>
    <row r="7" spans="1:9" ht="17" customHeight="1">
      <c r="A7" s="39">
        <v>44371</v>
      </c>
      <c r="B7" s="40" t="str">
        <f ca="1">IFERROR(__xludf.DUMMYFUNCTION("FILTER($J$2:$J$445,$K$2:$K$445=D17)"),"#N/A")</f>
        <v>#N/A</v>
      </c>
      <c r="C7" s="40" t="str">
        <f ca="1">IFERROR(__xludf.DUMMYFUNCTION("filter($M$1:$M$500, $N$1:$N$500=D17)"),"#N/A")</f>
        <v>#N/A</v>
      </c>
      <c r="D7" s="41">
        <v>1990</v>
      </c>
      <c r="E7" s="43">
        <v>205</v>
      </c>
      <c r="F7" s="54" t="s">
        <v>27</v>
      </c>
      <c r="G7" s="55">
        <v>196</v>
      </c>
      <c r="H7" s="56" t="s">
        <v>28</v>
      </c>
      <c r="I7" s="59">
        <v>66</v>
      </c>
    </row>
    <row r="8" spans="1:9" ht="17" customHeight="1">
      <c r="A8" s="39">
        <v>44371</v>
      </c>
      <c r="B8" s="40" t="str">
        <f ca="1">IFERROR(__xludf.DUMMYFUNCTION("FILTER($J$2:$J$445,$K$2:$K$445=D18)"),"Society of Latin American Men")</f>
        <v>Society of Latin American Men</v>
      </c>
      <c r="C8" s="40" t="str">
        <f ca="1">IFERROR(__xludf.DUMMYFUNCTION("filter($M$1:$M$500, $N$1:$N$500=D18)"),"#N/A")</f>
        <v>#N/A</v>
      </c>
      <c r="D8" s="41">
        <v>1974</v>
      </c>
      <c r="E8" s="42">
        <v>1170.83</v>
      </c>
      <c r="F8" s="54" t="s">
        <v>29</v>
      </c>
      <c r="G8" s="55">
        <v>291</v>
      </c>
      <c r="H8" s="56" t="s">
        <v>30</v>
      </c>
      <c r="I8" s="59">
        <v>69</v>
      </c>
    </row>
    <row r="9" spans="1:9" ht="17" customHeight="1">
      <c r="A9" s="39">
        <v>44371</v>
      </c>
      <c r="B9" s="40" t="str">
        <f ca="1">IFERROR(__xludf.DUMMYFUNCTION("FILTER($J$2:$J$445,$K$2:$K$445=D31)"),"Women Empowerment Through Health and Self-Love")</f>
        <v>Women Empowerment Through Health and Self-Love</v>
      </c>
      <c r="C9" s="40" t="str">
        <f ca="1">IFERROR(__xludf.DUMMYFUNCTION("filter($M$1:$M$500, $N$1:$N$500=D31)"),"#N/A")</f>
        <v>#N/A</v>
      </c>
      <c r="D9" s="41">
        <v>1886</v>
      </c>
      <c r="E9" s="43">
        <v>300</v>
      </c>
      <c r="F9" s="58" t="s">
        <v>44</v>
      </c>
      <c r="G9" s="55">
        <v>1149</v>
      </c>
      <c r="H9" s="56" t="s">
        <v>8</v>
      </c>
      <c r="I9" s="59">
        <v>142</v>
      </c>
    </row>
    <row r="10" spans="1:9" ht="17" customHeight="1">
      <c r="A10" s="39">
        <v>44371</v>
      </c>
      <c r="B10" s="40" t="str">
        <f ca="1">IFERROR(__xludf.DUMMYFUNCTION("FILTER($J$2:$J$445,$K$2:$K$445=D44)"),"In Christ Alone Ministry")</f>
        <v>In Christ Alone Ministry</v>
      </c>
      <c r="C10" s="40" t="str">
        <f ca="1">IFERROR(__xludf.DUMMYFUNCTION("filter($M$1:$M$500, $N$1:$N$500=D44)"),"#N/A")</f>
        <v>#N/A</v>
      </c>
      <c r="D10" s="41">
        <v>1785</v>
      </c>
      <c r="E10" s="43">
        <v>508.86</v>
      </c>
      <c r="F10" s="58" t="s">
        <v>58</v>
      </c>
      <c r="G10" s="55">
        <v>1966</v>
      </c>
      <c r="H10" s="56" t="s">
        <v>21</v>
      </c>
      <c r="I10" s="59">
        <v>209</v>
      </c>
    </row>
    <row r="11" spans="1:9" ht="17" customHeight="1">
      <c r="A11" s="39">
        <v>44371</v>
      </c>
      <c r="B11" s="40" t="str">
        <f ca="1">IFERROR(__xludf.DUMMYFUNCTION("FILTER($J$2:$J$445,$K$2:$K$445=D84)"),"#N/A")</f>
        <v>#N/A</v>
      </c>
      <c r="C11" s="40" t="str">
        <f ca="1">IFERROR(__xludf.DUMMYFUNCTION("filter($M$1:$M$500, $N$1:$N$500=D84)"),"#N/A")</f>
        <v>#N/A</v>
      </c>
      <c r="D11" s="41">
        <v>1282</v>
      </c>
      <c r="E11" s="43">
        <v>600</v>
      </c>
      <c r="F11" s="58" t="s">
        <v>101</v>
      </c>
      <c r="G11" s="55">
        <v>1508</v>
      </c>
      <c r="H11" s="56" t="s">
        <v>30</v>
      </c>
      <c r="I11" s="59">
        <v>437</v>
      </c>
    </row>
    <row r="12" spans="1:9" ht="17" customHeight="1">
      <c r="A12" s="39">
        <v>44371</v>
      </c>
      <c r="B12" s="40" t="str">
        <f ca="1">IFERROR(__xludf.DUMMYFUNCTION("FILTER($J$2:$J$445,$K$2:$K$445=D98)"),"Alternative Breaks (Rutgers University)")</f>
        <v>Alternative Breaks (Rutgers University)</v>
      </c>
      <c r="C12" s="40" t="str">
        <f ca="1">IFERROR(__xludf.DUMMYFUNCTION("filter($M$1:$M$500, $N$1:$N$500=D98)"),"#N/A")</f>
        <v>#N/A</v>
      </c>
      <c r="D12" s="41">
        <v>1132</v>
      </c>
      <c r="E12" s="42">
        <v>20976.35</v>
      </c>
      <c r="F12" s="54" t="s">
        <v>115</v>
      </c>
      <c r="G12" s="55">
        <v>1294</v>
      </c>
      <c r="H12" s="56" t="s">
        <v>28</v>
      </c>
      <c r="I12" s="59">
        <v>545</v>
      </c>
    </row>
    <row r="13" spans="1:9" ht="17" customHeight="1">
      <c r="A13" s="39">
        <v>44371</v>
      </c>
      <c r="B13" s="40" t="str">
        <f ca="1">IFERROR(__xludf.DUMMYFUNCTION("FILTER($J$2:$J$445,$K$2:$K$445=D104)"),"90.3 The Core")</f>
        <v>90.3 The Core</v>
      </c>
      <c r="C13" s="40" t="str">
        <f ca="1">IFERROR(__xludf.DUMMYFUNCTION("filter($M$1:$M$500, $N$1:$N$500=D104)"),"#N/A")</f>
        <v>#N/A</v>
      </c>
      <c r="D13" s="41">
        <v>824</v>
      </c>
      <c r="E13" s="42">
        <v>17275.22</v>
      </c>
      <c r="F13" s="58" t="s">
        <v>121</v>
      </c>
      <c r="G13" s="55">
        <v>1798</v>
      </c>
      <c r="H13" s="56" t="s">
        <v>30</v>
      </c>
      <c r="I13" s="59">
        <v>587</v>
      </c>
    </row>
    <row r="14" spans="1:9" ht="17" customHeight="1">
      <c r="A14" s="39">
        <v>44371</v>
      </c>
      <c r="B14" s="40" t="str">
        <f ca="1">IFERROR(__xludf.DUMMYFUNCTION("FILTER($J$2:$J$445,$K$2:$K$445=D178)"),"Educational Opportunity Program Student Association")</f>
        <v>Educational Opportunity Program Student Association</v>
      </c>
      <c r="C14" s="40" t="str">
        <f ca="1">IFERROR(__xludf.DUMMYFUNCTION("filter($M$1:$M$500, $N$1:$N$500=D178)"),"#N/A")</f>
        <v>#N/A</v>
      </c>
      <c r="D14" s="41">
        <v>57</v>
      </c>
      <c r="E14" s="43">
        <v>50</v>
      </c>
      <c r="F14" s="58" t="s">
        <v>197</v>
      </c>
      <c r="G14" s="55">
        <v>1850</v>
      </c>
      <c r="H14" s="56" t="s">
        <v>50</v>
      </c>
      <c r="I14" s="59">
        <v>1256</v>
      </c>
    </row>
    <row r="15" spans="1:9" ht="17" customHeight="1">
      <c r="A15" s="39">
        <v>44371</v>
      </c>
      <c r="B15" s="40" t="str">
        <f ca="1">IFERROR(__xludf.DUMMYFUNCTION("FILTER($J$2:$J$445,$K$2:$K$445=D185)"),"#N/A")</f>
        <v>#N/A</v>
      </c>
      <c r="C15" s="40" t="str">
        <f ca="1">IFERROR(__xludf.DUMMYFUNCTION("filter($M$1:$M$500, $N$1:$N$500=D185)"),"#N/A")</f>
        <v>#N/A</v>
      </c>
      <c r="D15" s="41">
        <v>1997</v>
      </c>
      <c r="E15" s="43">
        <v>150</v>
      </c>
      <c r="F15" s="54" t="s">
        <v>204</v>
      </c>
      <c r="G15" s="55">
        <v>53</v>
      </c>
      <c r="H15" s="56" t="s">
        <v>8</v>
      </c>
      <c r="I15" s="59">
        <v>1294</v>
      </c>
    </row>
    <row r="16" spans="1:9" ht="17" customHeight="1">
      <c r="A16" s="39">
        <v>44371</v>
      </c>
      <c r="B16" s="40" t="str">
        <f ca="1">IFERROR(__xludf.DUMMYFUNCTION("FILTER($J$2:$J$445,$K$2:$K$445=D186)"),"#N/A")</f>
        <v>#N/A</v>
      </c>
      <c r="C16" s="40" t="str">
        <f ca="1">IFERROR(__xludf.DUMMYFUNCTION("filter($M$1:$M$500, $N$1:$N$500=D186)"),"#N/A")</f>
        <v>#N/A</v>
      </c>
      <c r="D16" s="41">
        <v>1995</v>
      </c>
      <c r="E16" s="43">
        <v>300</v>
      </c>
      <c r="F16" s="58" t="s">
        <v>205</v>
      </c>
      <c r="G16" s="55">
        <v>765</v>
      </c>
      <c r="H16" s="56" t="s">
        <v>28</v>
      </c>
      <c r="I16" s="59">
        <v>1306</v>
      </c>
    </row>
    <row r="17" spans="1:9" ht="17" customHeight="1">
      <c r="A17" s="39">
        <v>44371</v>
      </c>
      <c r="B17" s="40" t="str">
        <f ca="1">IFERROR(__xludf.DUMMYFUNCTION("FILTER($J$2:$J$445,$K$2:$K$445=D187)"),"#N/A")</f>
        <v>#N/A</v>
      </c>
      <c r="C17" s="40" t="str">
        <f ca="1">IFERROR(__xludf.DUMMYFUNCTION("filter($M$1:$M$500, $N$1:$N$500=D187)"),"#N/A")</f>
        <v>#N/A</v>
      </c>
      <c r="D17" s="41">
        <v>1994</v>
      </c>
      <c r="E17" s="43">
        <v>255</v>
      </c>
      <c r="F17" s="58" t="s">
        <v>206</v>
      </c>
      <c r="G17" s="55">
        <v>1492</v>
      </c>
      <c r="H17" s="56" t="s">
        <v>34</v>
      </c>
      <c r="I17" s="59">
        <v>1312</v>
      </c>
    </row>
    <row r="18" spans="1:9" ht="17" customHeight="1">
      <c r="A18" s="39">
        <v>44371</v>
      </c>
      <c r="B18" s="40" t="str">
        <f ca="1">IFERROR(__xludf.DUMMYFUNCTION("FILTER($J$2:$J$445,$K$2:$K$445=D188)"),"#N/A")</f>
        <v>#N/A</v>
      </c>
      <c r="C18" s="40" t="str">
        <f ca="1">IFERROR(__xludf.DUMMYFUNCTION("filter($M$1:$M$500, $N$1:$N$500=D188)"),"#N/A")</f>
        <v>#N/A</v>
      </c>
      <c r="D18" s="41">
        <v>1993</v>
      </c>
      <c r="E18" s="43">
        <v>150</v>
      </c>
      <c r="F18" s="58" t="s">
        <v>207</v>
      </c>
      <c r="G18" s="55">
        <v>1817</v>
      </c>
      <c r="H18" s="56" t="s">
        <v>66</v>
      </c>
      <c r="I18" s="59">
        <v>1318</v>
      </c>
    </row>
    <row r="19" spans="1:9" ht="17" customHeight="1">
      <c r="A19" s="39">
        <v>44371</v>
      </c>
      <c r="B19" s="40" t="str">
        <f ca="1">IFERROR(__xludf.DUMMYFUNCTION("FILTER($J$2:$J$445,$K$2:$K$445=D189)"),"#N/A")</f>
        <v>#N/A</v>
      </c>
      <c r="C19" s="40" t="str">
        <f ca="1">IFERROR(__xludf.DUMMYFUNCTION("filter($M$1:$M$500, $N$1:$N$500=D189)"),"#N/A")</f>
        <v>#N/A</v>
      </c>
      <c r="D19" s="41">
        <v>1992</v>
      </c>
      <c r="E19" s="43">
        <v>200</v>
      </c>
      <c r="F19" s="54" t="s">
        <v>208</v>
      </c>
      <c r="G19" s="55">
        <v>1759</v>
      </c>
      <c r="H19" s="56" t="s">
        <v>50</v>
      </c>
      <c r="I19" s="59">
        <v>1320</v>
      </c>
    </row>
    <row r="20" spans="1:9" ht="17" customHeight="1">
      <c r="A20" s="39">
        <v>44371</v>
      </c>
      <c r="B20" s="40" t="str">
        <f ca="1">IFERROR(__xludf.DUMMYFUNCTION("FILTER($J$2:$J$445,$K$2:$K$445=D190)"),"#N/A")</f>
        <v>#N/A</v>
      </c>
      <c r="C20" s="40" t="str">
        <f ca="1">IFERROR(__xludf.DUMMYFUNCTION("filter($M$1:$M$500, $N$1:$N$500=D190)"),"#N/A")</f>
        <v>#N/A</v>
      </c>
      <c r="D20" s="41">
        <v>1990</v>
      </c>
      <c r="E20" s="43">
        <v>85</v>
      </c>
      <c r="F20" s="58" t="s">
        <v>209</v>
      </c>
      <c r="G20" s="55">
        <v>568</v>
      </c>
      <c r="H20" s="56" t="s">
        <v>21</v>
      </c>
      <c r="I20" s="59">
        <v>1324</v>
      </c>
    </row>
    <row r="21" spans="1:9" ht="17" customHeight="1">
      <c r="A21" s="39">
        <v>44371</v>
      </c>
      <c r="B21" s="40" t="str">
        <f ca="1">IFERROR(__xludf.DUMMYFUNCTION("FILTER($J$2:$J$445,$K$2:$K$445=D191)"),"#N/A")</f>
        <v>#N/A</v>
      </c>
      <c r="C21" s="40" t="str">
        <f ca="1">IFERROR(__xludf.DUMMYFUNCTION("filter($M$1:$M$500, $N$1:$N$500=D191)"),"#N/A")</f>
        <v>#N/A</v>
      </c>
      <c r="D21" s="41">
        <v>1989</v>
      </c>
      <c r="E21" s="43">
        <v>71.55</v>
      </c>
      <c r="F21" s="58" t="s">
        <v>210</v>
      </c>
      <c r="G21" s="55">
        <v>52</v>
      </c>
      <c r="H21" s="56" t="s">
        <v>34</v>
      </c>
      <c r="I21" s="59">
        <v>1328</v>
      </c>
    </row>
    <row r="22" spans="1:9" ht="17" customHeight="1">
      <c r="A22" s="39">
        <v>44371</v>
      </c>
      <c r="B22" s="40" t="str">
        <f ca="1">IFERROR(__xludf.DUMMYFUNCTION("FILTER($J$2:$J$445,$K$2:$K$445=D192)"),"#N/A")</f>
        <v>#N/A</v>
      </c>
      <c r="C22" s="40" t="str">
        <f ca="1">IFERROR(__xludf.DUMMYFUNCTION("filter($M$1:$M$500, $N$1:$N$500=D192)"),"#N/A")</f>
        <v>#N/A</v>
      </c>
      <c r="D22" s="41">
        <v>1988</v>
      </c>
      <c r="E22" s="43">
        <v>300</v>
      </c>
      <c r="F22" s="54" t="s">
        <v>211</v>
      </c>
      <c r="G22" s="55">
        <v>1278</v>
      </c>
      <c r="H22" s="56" t="s">
        <v>30</v>
      </c>
      <c r="I22" s="59">
        <v>1334</v>
      </c>
    </row>
    <row r="23" spans="1:9" ht="17" customHeight="1">
      <c r="A23" s="39">
        <v>44371</v>
      </c>
      <c r="B23" s="40" t="str">
        <f ca="1">IFERROR(__xludf.DUMMYFUNCTION("FILTER($J$2:$J$445,$K$2:$K$445=D193)"),"#N/A")</f>
        <v>#N/A</v>
      </c>
      <c r="C23" s="40" t="str">
        <f ca="1">IFERROR(__xludf.DUMMYFUNCTION("filter($M$1:$M$500, $N$1:$N$500=D193)"),"#N/A")</f>
        <v>#N/A</v>
      </c>
      <c r="D23" s="41">
        <v>1986</v>
      </c>
      <c r="E23" s="43">
        <v>125.78</v>
      </c>
      <c r="F23" s="58" t="s">
        <v>212</v>
      </c>
      <c r="G23" s="55">
        <v>418</v>
      </c>
      <c r="H23" s="56" t="s">
        <v>17</v>
      </c>
      <c r="I23" s="59">
        <v>1347</v>
      </c>
    </row>
    <row r="24" spans="1:9" ht="17" customHeight="1">
      <c r="A24" s="39">
        <v>44371</v>
      </c>
      <c r="B24" s="40" t="str">
        <f ca="1">IFERROR(__xludf.DUMMYFUNCTION("FILTER($J$2:$J$445,$K$2:$K$445=D194)"),"#N/A")</f>
        <v>#N/A</v>
      </c>
      <c r="C24" s="40" t="str">
        <f ca="1">IFERROR(__xludf.DUMMYFUNCTION("filter($M$1:$M$500, $N$1:$N$500=D194)"),"#N/A")</f>
        <v>#N/A</v>
      </c>
      <c r="D24" s="41">
        <v>1985</v>
      </c>
      <c r="E24" s="43">
        <v>20</v>
      </c>
      <c r="F24" s="58" t="s">
        <v>213</v>
      </c>
      <c r="G24" s="55">
        <v>1253</v>
      </c>
      <c r="H24" s="56" t="s">
        <v>10</v>
      </c>
      <c r="I24" s="59">
        <v>1355</v>
      </c>
    </row>
    <row r="25" spans="1:9" ht="17" customHeight="1">
      <c r="A25" s="39">
        <v>44371</v>
      </c>
      <c r="B25" s="40" t="str">
        <f ca="1">IFERROR(__xludf.DUMMYFUNCTION("FILTER($J$2:$J$445,$K$2:$K$445=D195)"),"#N/A")</f>
        <v>#N/A</v>
      </c>
      <c r="C25" s="40" t="str">
        <f ca="1">IFERROR(__xludf.DUMMYFUNCTION("filter($M$1:$M$500, $N$1:$N$500=D195)"),"#N/A")</f>
        <v>#N/A</v>
      </c>
      <c r="D25" s="41">
        <v>1984</v>
      </c>
      <c r="E25" s="43">
        <v>73.95</v>
      </c>
      <c r="F25" s="54" t="s">
        <v>214</v>
      </c>
      <c r="G25" s="55">
        <v>1592</v>
      </c>
      <c r="H25" s="56" t="s">
        <v>28</v>
      </c>
      <c r="I25" s="59">
        <v>1357</v>
      </c>
    </row>
    <row r="26" spans="1:9" ht="17" customHeight="1">
      <c r="A26" s="39">
        <v>44371</v>
      </c>
      <c r="B26" s="40" t="str">
        <f ca="1">IFERROR(__xludf.DUMMYFUNCTION("FILTER($J$2:$J$445,$K$2:$K$445=D196)"),"Society of Latin American Men")</f>
        <v>Society of Latin American Men</v>
      </c>
      <c r="C26" s="40" t="str">
        <f ca="1">IFERROR(__xludf.DUMMYFUNCTION("filter($M$1:$M$500, $N$1:$N$500=D196)"),"#N/A")</f>
        <v>#N/A</v>
      </c>
      <c r="D26" s="41">
        <v>1974</v>
      </c>
      <c r="E26" s="43">
        <v>570</v>
      </c>
      <c r="F26" s="54" t="s">
        <v>215</v>
      </c>
      <c r="G26" s="55">
        <v>1125</v>
      </c>
      <c r="H26" s="56" t="s">
        <v>34</v>
      </c>
      <c r="I26" s="59">
        <v>1369</v>
      </c>
    </row>
    <row r="27" spans="1:9" ht="17" customHeight="1">
      <c r="A27" s="39">
        <v>44371</v>
      </c>
      <c r="B27" s="40" t="str">
        <f ca="1">IFERROR(__xludf.DUMMYFUNCTION("FILTER($J$2:$J$445,$K$2:$K$445=D208)"),"Women Empowerment Through Health and Self-Love")</f>
        <v>Women Empowerment Through Health and Self-Love</v>
      </c>
      <c r="C27" s="40" t="str">
        <f ca="1">IFERROR(__xludf.DUMMYFUNCTION("filter($M$1:$M$500, $N$1:$N$500=D208)"),"#N/A")</f>
        <v>#N/A</v>
      </c>
      <c r="D27" s="41">
        <v>1886</v>
      </c>
      <c r="E27" s="43">
        <v>100</v>
      </c>
      <c r="F27" s="58" t="s">
        <v>227</v>
      </c>
      <c r="G27" s="55">
        <v>1459</v>
      </c>
      <c r="H27" s="56" t="s">
        <v>50</v>
      </c>
      <c r="I27" s="59">
        <v>1424</v>
      </c>
    </row>
    <row r="28" spans="1:9" ht="17" customHeight="1">
      <c r="A28" s="39">
        <v>44371</v>
      </c>
      <c r="B28" s="40" t="str">
        <f ca="1">IFERROR(__xludf.DUMMYFUNCTION("FILTER($J$2:$J$445,$K$2:$K$445=D225)"),"Women in Mathematical Sciences ")</f>
        <v xml:space="preserve">Women in Mathematical Sciences </v>
      </c>
      <c r="C28" s="40" t="str">
        <f ca="1">IFERROR(__xludf.DUMMYFUNCTION("filter($M$1:$M$500, $N$1:$N$500=D225)"),"#N/A")</f>
        <v>#N/A</v>
      </c>
      <c r="D28" s="41">
        <v>1792</v>
      </c>
      <c r="E28" s="43">
        <v>196</v>
      </c>
      <c r="F28" s="58" t="s">
        <v>244</v>
      </c>
      <c r="G28" s="55">
        <v>415</v>
      </c>
      <c r="H28" s="56" t="s">
        <v>153</v>
      </c>
      <c r="I28" s="59">
        <v>1492</v>
      </c>
    </row>
    <row r="29" spans="1:9" ht="17" customHeight="1">
      <c r="A29" s="39">
        <v>44371</v>
      </c>
      <c r="B29" s="40" t="str">
        <f ca="1">IFERROR(__xludf.DUMMYFUNCTION("FILTER($J$2:$J$445,$K$2:$K$445=D227)"),"First Generation Student Union ")</f>
        <v xml:space="preserve">First Generation Student Union </v>
      </c>
      <c r="C29" s="40" t="str">
        <f ca="1">IFERROR(__xludf.DUMMYFUNCTION("filter($M$1:$M$500, $N$1:$N$500=D227)"),"#N/A")</f>
        <v>#N/A</v>
      </c>
      <c r="D29" s="41">
        <v>1779</v>
      </c>
      <c r="E29" s="43">
        <v>626</v>
      </c>
      <c r="F29" s="58" t="s">
        <v>246</v>
      </c>
      <c r="G29" s="55">
        <v>1042</v>
      </c>
      <c r="H29" s="56" t="s">
        <v>60</v>
      </c>
      <c r="I29" s="59">
        <v>1496</v>
      </c>
    </row>
    <row r="30" spans="1:9" ht="17" customHeight="1">
      <c r="A30" s="39">
        <v>44371</v>
      </c>
      <c r="B30" s="40" t="str">
        <f ca="1">IFERROR(__xludf.DUMMYFUNCTION("FILTER($J$2:$J$445,$K$2:$K$445=D282)"),"#N/A")</f>
        <v>#N/A</v>
      </c>
      <c r="C30" s="40" t="str">
        <f ca="1">IFERROR(__xludf.DUMMYFUNCTION("filter($M$1:$M$500, $N$1:$N$500=D282)"),"#N/A")</f>
        <v>#N/A</v>
      </c>
      <c r="D30" s="41">
        <v>1288</v>
      </c>
      <c r="E30" s="43">
        <v>200</v>
      </c>
      <c r="F30" s="58" t="s">
        <v>301</v>
      </c>
      <c r="G30" s="55">
        <v>1757</v>
      </c>
      <c r="H30" s="56" t="s">
        <v>50</v>
      </c>
      <c r="I30" s="59">
        <v>1757</v>
      </c>
    </row>
    <row r="31" spans="1:9" ht="17" customHeight="1">
      <c r="A31" s="39">
        <v>44371</v>
      </c>
      <c r="B31" s="40" t="str">
        <f ca="1">IFERROR(__xludf.DUMMYFUNCTION("FILTER($J$2:$J$445,$K$2:$K$445=D283)"),"#N/A")</f>
        <v>#N/A</v>
      </c>
      <c r="C31" s="40" t="str">
        <f ca="1">IFERROR(__xludf.DUMMYFUNCTION("filter($M$1:$M$500, $N$1:$N$500=D283)"),"#N/A")</f>
        <v>#N/A</v>
      </c>
      <c r="D31" s="41">
        <v>1282</v>
      </c>
      <c r="E31" s="43">
        <v>100</v>
      </c>
      <c r="F31" s="58" t="s">
        <v>302</v>
      </c>
      <c r="G31" s="55">
        <v>1771</v>
      </c>
      <c r="H31" s="56" t="s">
        <v>8</v>
      </c>
      <c r="I31" s="59">
        <v>1758</v>
      </c>
    </row>
    <row r="32" spans="1:9" ht="17" customHeight="1">
      <c r="A32" s="39">
        <v>44371</v>
      </c>
      <c r="B32" s="40" t="str">
        <f ca="1">IFERROR(__xludf.DUMMYFUNCTION("FILTER($J$2:$J$445,$K$2:$K$445=D287)"),"RUVETS")</f>
        <v>RUVETS</v>
      </c>
      <c r="C32" s="40" t="str">
        <f ca="1">IFERROR(__xludf.DUMMYFUNCTION("filter($M$1:$M$500, $N$1:$N$500=D287)"),"#N/A")</f>
        <v>#N/A</v>
      </c>
      <c r="D32" s="41">
        <v>1237</v>
      </c>
      <c r="E32" s="43">
        <v>80</v>
      </c>
      <c r="F32" s="54" t="s">
        <v>306</v>
      </c>
      <c r="G32" s="55">
        <v>1169</v>
      </c>
      <c r="H32" s="56" t="s">
        <v>50</v>
      </c>
      <c r="I32" s="59">
        <v>1771</v>
      </c>
    </row>
    <row r="33" spans="1:9" ht="17" customHeight="1">
      <c r="A33" s="39">
        <v>44371</v>
      </c>
      <c r="B33" s="40" t="str">
        <f ca="1">IFERROR(__xludf.DUMMYFUNCTION("FILTER($J$2:$J$445,$K$2:$K$445=D390)"),"Educational Opportunity Program Student Association")</f>
        <v>Educational Opportunity Program Student Association</v>
      </c>
      <c r="C33" s="40" t="str">
        <f ca="1">IFERROR(__xludf.DUMMYFUNCTION("filter($M$1:$M$500, $N$1:$N$500=D390)"),"#N/A")</f>
        <v>#N/A</v>
      </c>
      <c r="D33" s="41">
        <v>57</v>
      </c>
      <c r="E33" s="43">
        <v>75</v>
      </c>
      <c r="F33" s="58" t="s">
        <v>412</v>
      </c>
      <c r="G33" s="55">
        <v>1078</v>
      </c>
    </row>
    <row r="34" spans="1:9" ht="17" customHeight="1">
      <c r="A34" s="39">
        <v>44371</v>
      </c>
      <c r="B34" s="40" t="str">
        <f ca="1">IFERROR(__xludf.DUMMYFUNCTION("FILTER($J$2:$J$445,$K$2:$K$445=D26)"),"Korean Language Club")</f>
        <v>Korean Language Club</v>
      </c>
      <c r="C34" s="40" t="str">
        <f ca="1">IFERROR(__xludf.DUMMYFUNCTION("filter($M$1:$M$500, $N$1:$N$500=D26)"),"Academic")</f>
        <v>Academic</v>
      </c>
      <c r="D34" s="41">
        <v>1940</v>
      </c>
      <c r="E34" s="43">
        <v>16.809999999999999</v>
      </c>
      <c r="F34" s="54" t="s">
        <v>39</v>
      </c>
      <c r="G34" s="55">
        <v>1486</v>
      </c>
      <c r="H34" s="54" t="s">
        <v>28</v>
      </c>
      <c r="I34" s="59">
        <v>115</v>
      </c>
    </row>
    <row r="35" spans="1:9" ht="17" customHeight="1">
      <c r="A35" s="39">
        <v>44371</v>
      </c>
      <c r="B35" s="40" t="str">
        <f ca="1">IFERROR(__xludf.DUMMYFUNCTION("FILTER($J$2:$J$445,$K$2:$K$445=D29)"),"Rutgers Health Guardians of America")</f>
        <v>Rutgers Health Guardians of America</v>
      </c>
      <c r="C35" s="40" t="str">
        <f ca="1">IFERROR(__xludf.DUMMYFUNCTION("filter($M$1:$M$500, $N$1:$N$500=D29)"),"Academic")</f>
        <v>Academic</v>
      </c>
      <c r="D35" s="41">
        <v>1908</v>
      </c>
      <c r="E35" s="43">
        <v>114.57</v>
      </c>
      <c r="F35" s="58" t="s">
        <v>42</v>
      </c>
      <c r="G35" s="55">
        <v>22</v>
      </c>
      <c r="H35" s="56" t="s">
        <v>8</v>
      </c>
      <c r="I35" s="59">
        <v>136</v>
      </c>
    </row>
    <row r="36" spans="1:9" ht="17" customHeight="1">
      <c r="A36" s="39">
        <v>44371</v>
      </c>
      <c r="B36" s="40" t="str">
        <f ca="1">IFERROR(__xludf.DUMMYFUNCTION("FILTER($J$2:$J$445,$K$2:$K$445=D32)"),"Rutgers University Moot Court Association")</f>
        <v>Rutgers University Moot Court Association</v>
      </c>
      <c r="C36" s="40" t="str">
        <f ca="1">IFERROR(__xludf.DUMMYFUNCTION("filter($M$1:$M$500, $N$1:$N$500=D32)"),"Academic")</f>
        <v>Academic</v>
      </c>
      <c r="D36" s="41">
        <v>1881</v>
      </c>
      <c r="E36" s="43">
        <v>200</v>
      </c>
      <c r="F36" s="58" t="s">
        <v>45</v>
      </c>
      <c r="G36" s="55">
        <v>1057</v>
      </c>
      <c r="H36" s="56" t="s">
        <v>34</v>
      </c>
      <c r="I36" s="59">
        <v>145</v>
      </c>
    </row>
    <row r="37" spans="1:9" ht="17" customHeight="1">
      <c r="A37" s="39">
        <v>44371</v>
      </c>
      <c r="B37" s="40" t="str">
        <f ca="1">IFERROR(__xludf.DUMMYFUNCTION("FILTER($J$2:$J$445,$K$2:$K$445=D37)"),"Archaeological Society")</f>
        <v>Archaeological Society</v>
      </c>
      <c r="C37" s="40" t="str">
        <f ca="1">IFERROR(__xludf.DUMMYFUNCTION("filter($M$1:$M$500, $N$1:$N$500=D37)"),"Academic")</f>
        <v>Academic</v>
      </c>
      <c r="D37" s="41">
        <v>1845</v>
      </c>
      <c r="E37" s="43">
        <v>100</v>
      </c>
      <c r="F37" s="54" t="s">
        <v>51</v>
      </c>
      <c r="G37" s="55">
        <v>1946</v>
      </c>
      <c r="H37" s="56" t="s">
        <v>30</v>
      </c>
      <c r="I37" s="59">
        <v>159</v>
      </c>
    </row>
    <row r="38" spans="1:9" ht="17" customHeight="1">
      <c r="A38" s="39">
        <v>44371</v>
      </c>
      <c r="B38" s="40" t="str">
        <f ca="1">IFERROR(__xludf.DUMMYFUNCTION("FILTER($J$2:$J$445,$K$2:$K$445=D50)"),"Public Speaking Organization")</f>
        <v>Public Speaking Organization</v>
      </c>
      <c r="C38" s="40" t="str">
        <f ca="1">IFERROR(__xludf.DUMMYFUNCTION("filter($M$1:$M$500, $N$1:$N$500=D50)"),"Academic")</f>
        <v>Academic</v>
      </c>
      <c r="D38" s="41">
        <v>1748</v>
      </c>
      <c r="E38" s="43">
        <v>590</v>
      </c>
      <c r="F38" s="54" t="s">
        <v>65</v>
      </c>
      <c r="G38" s="55">
        <v>1541</v>
      </c>
      <c r="H38" s="56" t="s">
        <v>66</v>
      </c>
      <c r="I38" s="59">
        <v>232</v>
      </c>
    </row>
    <row r="39" spans="1:9" ht="17" customHeight="1">
      <c r="A39" s="39">
        <v>44371</v>
      </c>
      <c r="B39" s="40" t="str">
        <f ca="1">IFERROR(__xludf.DUMMYFUNCTION("FILTER($J$2:$J$445,$K$2:$K$445=D60)"),"Active Minds at Rutgers")</f>
        <v>Active Minds at Rutgers</v>
      </c>
      <c r="C39" s="40" t="str">
        <f ca="1">IFERROR(__xludf.DUMMYFUNCTION("filter($M$1:$M$500, $N$1:$N$500=D60)"),"Academic")</f>
        <v>Academic</v>
      </c>
      <c r="D39" s="41">
        <v>1655</v>
      </c>
      <c r="E39" s="42">
        <v>1982.48</v>
      </c>
      <c r="F39" s="54" t="s">
        <v>77</v>
      </c>
      <c r="G39" s="55">
        <v>1926</v>
      </c>
      <c r="H39" s="56" t="s">
        <v>50</v>
      </c>
      <c r="I39" s="59">
        <v>293</v>
      </c>
    </row>
    <row r="40" spans="1:9" ht="17" customHeight="1">
      <c r="A40" s="39">
        <v>44371</v>
      </c>
      <c r="B40" s="40" t="str">
        <f ca="1">IFERROR(__xludf.DUMMYFUNCTION("FILTER($J$2:$J$445,$K$2:$K$445=D67)"),"Kidney Disease Screening and Awareness Program")</f>
        <v>Kidney Disease Screening and Awareness Program</v>
      </c>
      <c r="C40" s="40" t="str">
        <f ca="1">IFERROR(__xludf.DUMMYFUNCTION("filter($M$1:$M$500, $N$1:$N$500=D67)"),"Academic")</f>
        <v>Academic</v>
      </c>
      <c r="D40" s="41">
        <v>1542</v>
      </c>
      <c r="E40" s="43">
        <v>900</v>
      </c>
      <c r="F40" s="54" t="s">
        <v>84</v>
      </c>
      <c r="G40" s="55">
        <v>414</v>
      </c>
      <c r="H40" s="56" t="s">
        <v>8</v>
      </c>
      <c r="I40" s="59">
        <v>344</v>
      </c>
    </row>
    <row r="41" spans="1:9" ht="17" customHeight="1">
      <c r="A41" s="39">
        <v>44371</v>
      </c>
      <c r="B41" s="40" t="str">
        <f ca="1">IFERROR(__xludf.DUMMYFUNCTION("FILTER($J$2:$J$445,$K$2:$K$445=D82)"),"Geology Club")</f>
        <v>Geology Club</v>
      </c>
      <c r="C41" s="40" t="str">
        <f ca="1">IFERROR(__xludf.DUMMYFUNCTION("filter($M$1:$M$500, $N$1:$N$500=D82)"),"Academic")</f>
        <v>Academic</v>
      </c>
      <c r="D41" s="41">
        <v>1320</v>
      </c>
      <c r="E41" s="43">
        <v>50</v>
      </c>
      <c r="F41" s="54" t="s">
        <v>99</v>
      </c>
      <c r="G41" s="55">
        <v>749</v>
      </c>
      <c r="H41" s="56" t="s">
        <v>60</v>
      </c>
      <c r="I41" s="59">
        <v>414</v>
      </c>
    </row>
    <row r="42" spans="1:9" ht="17" customHeight="1">
      <c r="A42" s="39">
        <v>44371</v>
      </c>
      <c r="B42" s="40" t="str">
        <f ca="1">IFERROR(__xludf.DUMMYFUNCTION("FILTER($J$2:$J$445,$K$2:$K$445=D89)"),"Undergraduate Math Association")</f>
        <v>Undergraduate Math Association</v>
      </c>
      <c r="C42" s="40" t="str">
        <f ca="1">IFERROR(__xludf.DUMMYFUNCTION("filter($M$1:$M$500, $N$1:$N$500=D89)"),"Academic")</f>
        <v>Academic</v>
      </c>
      <c r="D42" s="41">
        <v>1256</v>
      </c>
      <c r="E42" s="43">
        <v>100</v>
      </c>
      <c r="F42" s="58" t="s">
        <v>106</v>
      </c>
      <c r="G42" s="55">
        <v>1611</v>
      </c>
      <c r="H42" s="56" t="s">
        <v>50</v>
      </c>
      <c r="I42" s="59">
        <v>492</v>
      </c>
    </row>
    <row r="43" spans="1:9" ht="17" customHeight="1">
      <c r="A43" s="39">
        <v>44371</v>
      </c>
      <c r="B43" s="40" t="str">
        <f ca="1">IFERROR(__xludf.DUMMYFUNCTION("FILTER($J$2:$J$445,$K$2:$K$445=D90)"),"Real Estate Club")</f>
        <v>Real Estate Club</v>
      </c>
      <c r="C43" s="40" t="str">
        <f ca="1">IFERROR(__xludf.DUMMYFUNCTION("filter($M$1:$M$500, $N$1:$N$500=D90)"),"Academic")</f>
        <v>Academic</v>
      </c>
      <c r="D43" s="41">
        <v>1220</v>
      </c>
      <c r="E43" s="43">
        <v>210</v>
      </c>
      <c r="F43" s="58" t="s">
        <v>107</v>
      </c>
      <c r="G43" s="55">
        <v>320</v>
      </c>
      <c r="H43" s="56" t="s">
        <v>10</v>
      </c>
      <c r="I43" s="59">
        <v>493</v>
      </c>
    </row>
    <row r="44" spans="1:9" ht="17" customHeight="1">
      <c r="A44" s="39">
        <v>44371</v>
      </c>
      <c r="B44" s="40" t="str">
        <f ca="1">IFERROR(__xludf.DUMMYFUNCTION("FILTER($J$2:$J$445,$K$2:$K$445=D101)"),"Actuarial Club")</f>
        <v>Actuarial Club</v>
      </c>
      <c r="C44" s="40" t="str">
        <f ca="1">IFERROR(__xludf.DUMMYFUNCTION("filter($M$1:$M$500, $N$1:$N$500=D101)"),"Academic")</f>
        <v>Academic</v>
      </c>
      <c r="D44" s="41">
        <v>1054</v>
      </c>
      <c r="E44" s="43">
        <v>375</v>
      </c>
      <c r="F44" s="58" t="s">
        <v>118</v>
      </c>
      <c r="G44" s="55">
        <v>57</v>
      </c>
      <c r="H44" s="56" t="s">
        <v>34</v>
      </c>
      <c r="I44" s="59">
        <v>568</v>
      </c>
    </row>
    <row r="45" spans="1:9" ht="17" customHeight="1">
      <c r="A45" s="39">
        <v>44371</v>
      </c>
      <c r="B45" s="40" t="str">
        <f ca="1">IFERROR(__xludf.DUMMYFUNCTION("FILTER($J$2:$J$445,$K$2:$K$445=D105)"),"Undergraduate Social Work Organization")</f>
        <v>Undergraduate Social Work Organization</v>
      </c>
      <c r="C45" s="40" t="str">
        <f ca="1">IFERROR(__xludf.DUMMYFUNCTION("filter($M$1:$M$500, $N$1:$N$500=D105)"),"Academic")</f>
        <v>Academic</v>
      </c>
      <c r="D45" s="41">
        <v>821</v>
      </c>
      <c r="E45" s="43">
        <v>170</v>
      </c>
      <c r="F45" s="58" t="s">
        <v>122</v>
      </c>
      <c r="G45" s="55">
        <v>1937</v>
      </c>
      <c r="H45" s="56" t="s">
        <v>10</v>
      </c>
      <c r="I45" s="59">
        <v>588</v>
      </c>
    </row>
    <row r="46" spans="1:9" ht="17" customHeight="1">
      <c r="A46" s="39">
        <v>44371</v>
      </c>
      <c r="B46" s="40" t="str">
        <f ca="1">IFERROR(__xludf.DUMMYFUNCTION("FILTER($J$2:$J$445,$K$2:$K$445=D131)"),"Chemistry Society")</f>
        <v>Chemistry Society</v>
      </c>
      <c r="C46" s="40" t="str">
        <f ca="1">IFERROR(__xludf.DUMMYFUNCTION("filter($M$1:$M$500, $N$1:$N$500=D131)"),"Academic")</f>
        <v>Academic</v>
      </c>
      <c r="D46" s="41">
        <v>512</v>
      </c>
      <c r="E46" s="43">
        <v>54</v>
      </c>
      <c r="F46" s="58" t="s">
        <v>149</v>
      </c>
      <c r="G46" s="55">
        <v>48</v>
      </c>
      <c r="H46" s="56" t="s">
        <v>17</v>
      </c>
      <c r="I46" s="59">
        <v>733</v>
      </c>
    </row>
    <row r="47" spans="1:9" ht="17" customHeight="1">
      <c r="A47" s="39">
        <v>44371</v>
      </c>
      <c r="B47" s="40" t="str">
        <f ca="1">IFERROR(__xludf.DUMMYFUNCTION("FILTER($J$2:$J$445,$K$2:$K$445=D134)"),"Psychological Society")</f>
        <v>Psychological Society</v>
      </c>
      <c r="C47" s="40" t="str">
        <f ca="1">IFERROR(__xludf.DUMMYFUNCTION("filter($M$1:$M$500, $N$1:$N$500=D134)"),"Academic")</f>
        <v>Academic</v>
      </c>
      <c r="D47" s="41">
        <v>492</v>
      </c>
      <c r="E47" s="42">
        <v>2550</v>
      </c>
      <c r="F47" s="54" t="s">
        <v>152</v>
      </c>
      <c r="G47" s="55">
        <v>1412</v>
      </c>
      <c r="H47" s="56" t="s">
        <v>153</v>
      </c>
      <c r="I47" s="59">
        <v>745</v>
      </c>
    </row>
    <row r="48" spans="1:9" ht="17" customHeight="1">
      <c r="A48" s="39">
        <v>44371</v>
      </c>
      <c r="B48" s="40" t="str">
        <f ca="1">IFERROR(__xludf.DUMMYFUNCTION("FILTER($J$2:$J$445,$K$2:$K$445=D140)"),"Academic Team")</f>
        <v>Academic Team</v>
      </c>
      <c r="C48" s="40" t="str">
        <f ca="1">IFERROR(__xludf.DUMMYFUNCTION("filter($M$1:$M$500, $N$1:$N$500=D140)"),"Academic")</f>
        <v>Academic</v>
      </c>
      <c r="D48" s="41">
        <v>405</v>
      </c>
      <c r="E48" s="43">
        <v>750</v>
      </c>
      <c r="F48" s="58" t="s">
        <v>159</v>
      </c>
      <c r="G48" s="55">
        <v>1594</v>
      </c>
      <c r="H48" s="56" t="s">
        <v>28</v>
      </c>
      <c r="I48" s="59">
        <v>768</v>
      </c>
    </row>
    <row r="49" spans="1:9" ht="17" customHeight="1">
      <c r="A49" s="39">
        <v>44371</v>
      </c>
      <c r="B49" s="40" t="str">
        <f ca="1">IFERROR(__xludf.DUMMYFUNCTION("FILTER($J$2:$J$445,$K$2:$K$445=D145)"),"Undergraduate Students Alliance of Computer Science")</f>
        <v>Undergraduate Students Alliance of Computer Science</v>
      </c>
      <c r="C49" s="40" t="str">
        <f ca="1">IFERROR(__xludf.DUMMYFUNCTION("filter($M$1:$M$500, $N$1:$N$500=D145)"),"Academic")</f>
        <v>Academic</v>
      </c>
      <c r="D49" s="41">
        <v>352</v>
      </c>
      <c r="E49" s="43">
        <v>100</v>
      </c>
      <c r="F49" s="58" t="s">
        <v>164</v>
      </c>
      <c r="G49" s="55">
        <v>660</v>
      </c>
      <c r="H49" s="56" t="s">
        <v>28</v>
      </c>
      <c r="I49" s="59">
        <v>1013</v>
      </c>
    </row>
    <row r="50" spans="1:9" ht="17" customHeight="1">
      <c r="A50" s="39">
        <v>44371</v>
      </c>
      <c r="B50" s="40" t="str">
        <f ca="1">IFERROR(__xludf.DUMMYFUNCTION("FILTER($J$2:$J$445,$K$2:$K$445=D202)"),"Korean Language Club")</f>
        <v>Korean Language Club</v>
      </c>
      <c r="C50" s="40" t="str">
        <f ca="1">IFERROR(__xludf.DUMMYFUNCTION("filter($M$1:$M$500, $N$1:$N$500=D202)"),"Academic")</f>
        <v>Academic</v>
      </c>
      <c r="D50" s="41">
        <v>1940</v>
      </c>
      <c r="E50" s="43">
        <v>513.08000000000004</v>
      </c>
      <c r="F50" s="58" t="s">
        <v>221</v>
      </c>
      <c r="G50" s="55">
        <v>1150</v>
      </c>
      <c r="H50" s="56" t="s">
        <v>153</v>
      </c>
      <c r="I50" s="59">
        <v>1399</v>
      </c>
    </row>
    <row r="51" spans="1:9" ht="17" customHeight="1">
      <c r="A51" s="39">
        <v>44371</v>
      </c>
      <c r="B51" s="40" t="str">
        <f ca="1">IFERROR(__xludf.DUMMYFUNCTION("FILTER($J$2:$J$445,$K$2:$K$445=D206)"),"Rutgers Health Guardians of America")</f>
        <v>Rutgers Health Guardians of America</v>
      </c>
      <c r="C51" s="40" t="str">
        <f ca="1">IFERROR(__xludf.DUMMYFUNCTION("filter($M$1:$M$500, $N$1:$N$500=D206)"),"Academic")</f>
        <v>Academic</v>
      </c>
      <c r="D51" s="41">
        <v>1908</v>
      </c>
      <c r="E51" s="43">
        <v>337</v>
      </c>
      <c r="F51" s="58" t="s">
        <v>225</v>
      </c>
      <c r="G51" s="55">
        <v>407</v>
      </c>
      <c r="H51" s="56" t="s">
        <v>21</v>
      </c>
      <c r="I51" s="59">
        <v>1415</v>
      </c>
    </row>
    <row r="52" spans="1:9" ht="17" customHeight="1">
      <c r="A52" s="39">
        <v>44371</v>
      </c>
      <c r="B52" s="40" t="str">
        <f ca="1">IFERROR(__xludf.DUMMYFUNCTION("FILTER($J$2:$J$445,$K$2:$K$445=D211)"),"Rutgers University Moot Court Association")</f>
        <v>Rutgers University Moot Court Association</v>
      </c>
      <c r="C52" s="40" t="str">
        <f ca="1">IFERROR(__xludf.DUMMYFUNCTION("filter($M$1:$M$500, $N$1:$N$500=D211)"),"Academic")</f>
        <v>Academic</v>
      </c>
      <c r="D52" s="41">
        <v>1881</v>
      </c>
      <c r="E52" s="43">
        <v>196</v>
      </c>
      <c r="F52" s="58" t="s">
        <v>230</v>
      </c>
      <c r="G52" s="55">
        <v>630</v>
      </c>
      <c r="H52" s="56" t="s">
        <v>21</v>
      </c>
      <c r="I52" s="59">
        <v>1433</v>
      </c>
    </row>
    <row r="53" spans="1:9" ht="17" customHeight="1">
      <c r="A53" s="39">
        <v>44371</v>
      </c>
      <c r="B53" s="40" t="str">
        <f ca="1">IFERROR(__xludf.DUMMYFUNCTION("FILTER($J$2:$J$445,$K$2:$K$445=D224)"),"Spanish Club")</f>
        <v>Spanish Club</v>
      </c>
      <c r="C53" s="40" t="str">
        <f ca="1">IFERROR(__xludf.DUMMYFUNCTION("filter($M$1:$M$500, $N$1:$N$500=D224)"),"Academic")</f>
        <v>Academic</v>
      </c>
      <c r="D53" s="41">
        <v>1795</v>
      </c>
      <c r="E53" s="43">
        <v>113</v>
      </c>
      <c r="F53" s="58" t="s">
        <v>243</v>
      </c>
      <c r="G53" s="55">
        <v>1897</v>
      </c>
      <c r="H53" s="56" t="s">
        <v>66</v>
      </c>
      <c r="I53" s="59">
        <v>1490</v>
      </c>
    </row>
    <row r="54" spans="1:9" ht="17" customHeight="1">
      <c r="A54" s="39">
        <v>44371</v>
      </c>
      <c r="B54" s="40" t="str">
        <f ca="1">IFERROR(__xludf.DUMMYFUNCTION("FILTER($J$2:$J$445,$K$2:$K$445=D240)"),"Rutgers Security Club ")</f>
        <v xml:space="preserve">Rutgers Security Club </v>
      </c>
      <c r="C54" s="40" t="str">
        <f ca="1">IFERROR(__xludf.DUMMYFUNCTION("filter($M$1:$M$500, $N$1:$N$500=D240)"),"Academic")</f>
        <v>Academic</v>
      </c>
      <c r="D54" s="41">
        <v>1674</v>
      </c>
      <c r="E54" s="43">
        <v>297</v>
      </c>
      <c r="F54" s="58" t="s">
        <v>259</v>
      </c>
      <c r="G54" s="55">
        <v>1328</v>
      </c>
      <c r="H54" s="56" t="s">
        <v>34</v>
      </c>
      <c r="I54" s="59">
        <v>1568</v>
      </c>
    </row>
    <row r="55" spans="1:9" ht="17" customHeight="1">
      <c r="A55" s="39">
        <v>44371</v>
      </c>
      <c r="B55" s="40" t="str">
        <f ca="1">IFERROR(__xludf.DUMMYFUNCTION("FILTER($J$2:$J$445,$K$2:$K$445=D243)"),"Active Minds at Rutgers")</f>
        <v>Active Minds at Rutgers</v>
      </c>
      <c r="C55" s="40" t="str">
        <f ca="1">IFERROR(__xludf.DUMMYFUNCTION("filter($M$1:$M$500, $N$1:$N$500=D243)"),"Academic")</f>
        <v>Academic</v>
      </c>
      <c r="D55" s="41">
        <v>1655</v>
      </c>
      <c r="E55" s="43">
        <v>622</v>
      </c>
      <c r="F55" s="58" t="s">
        <v>262</v>
      </c>
      <c r="G55" s="55">
        <v>1186</v>
      </c>
      <c r="H55" s="56" t="s">
        <v>50</v>
      </c>
      <c r="I55" s="59">
        <v>1574</v>
      </c>
    </row>
    <row r="56" spans="1:9" ht="17" customHeight="1">
      <c r="A56" s="39">
        <v>44371</v>
      </c>
      <c r="B56" s="40" t="str">
        <f ca="1">IFERROR(__xludf.DUMMYFUNCTION("FILTER($J$2:$J$445,$K$2:$K$445=D249)"),"KSEA-Rutgers")</f>
        <v>KSEA-Rutgers</v>
      </c>
      <c r="C56" s="40" t="str">
        <f ca="1">IFERROR(__xludf.DUMMYFUNCTION("filter($M$1:$M$500, $N$1:$N$500=D249)"),"Academic")</f>
        <v>Academic</v>
      </c>
      <c r="D56" s="41">
        <v>1574</v>
      </c>
      <c r="E56" s="43">
        <v>337</v>
      </c>
      <c r="F56" s="54" t="s">
        <v>268</v>
      </c>
      <c r="G56" s="55">
        <v>1514</v>
      </c>
      <c r="H56" s="56" t="s">
        <v>8</v>
      </c>
      <c r="I56" s="59">
        <v>1592</v>
      </c>
    </row>
    <row r="57" spans="1:9" ht="17" customHeight="1">
      <c r="A57" s="39">
        <v>44371</v>
      </c>
      <c r="B57" s="40" t="str">
        <f ca="1">IFERROR(__xludf.DUMMYFUNCTION("FILTER($J$2:$J$445,$K$2:$K$445=D252)"),"Kidney Disease Screening and Awareness Program")</f>
        <v>Kidney Disease Screening and Awareness Program</v>
      </c>
      <c r="C57" s="40" t="str">
        <f ca="1">IFERROR(__xludf.DUMMYFUNCTION("filter($M$1:$M$500, $N$1:$N$500=D252)"),"Academic")</f>
        <v>Academic</v>
      </c>
      <c r="D57" s="41">
        <v>1542</v>
      </c>
      <c r="E57" s="43">
        <v>93</v>
      </c>
      <c r="F57" s="58" t="s">
        <v>271</v>
      </c>
      <c r="G57" s="55">
        <v>1749</v>
      </c>
      <c r="H57" s="56" t="s">
        <v>28</v>
      </c>
      <c r="I57" s="59">
        <v>1602</v>
      </c>
    </row>
    <row r="58" spans="1:9" ht="17" customHeight="1">
      <c r="A58" s="39">
        <v>44371</v>
      </c>
      <c r="B58" s="40" t="str">
        <f ca="1">IFERROR(__xludf.DUMMYFUNCTION("FILTER($J$2:$J$445,$K$2:$K$445=D254)"),"TEDxRutgers")</f>
        <v>TEDxRutgers</v>
      </c>
      <c r="C58" s="40" t="str">
        <f ca="1">IFERROR(__xludf.DUMMYFUNCTION("filter($M$1:$M$500, $N$1:$N$500=D254)"),"Academic")</f>
        <v>Academic</v>
      </c>
      <c r="D58" s="41">
        <v>1538</v>
      </c>
      <c r="E58" s="43">
        <v>5.01</v>
      </c>
      <c r="F58" s="54" t="s">
        <v>273</v>
      </c>
      <c r="G58" s="55">
        <v>624</v>
      </c>
      <c r="H58" s="56" t="s">
        <v>8</v>
      </c>
      <c r="I58" s="59">
        <v>1615</v>
      </c>
    </row>
    <row r="59" spans="1:9" ht="17" customHeight="1">
      <c r="A59" s="39">
        <v>44371</v>
      </c>
      <c r="B59" s="40" t="str">
        <f ca="1">IFERROR(__xludf.DUMMYFUNCTION("FILTER($J$2:$J$445,$K$2:$K$445=D278)"),"Geology Club")</f>
        <v>Geology Club</v>
      </c>
      <c r="C59" s="40" t="str">
        <f ca="1">IFERROR(__xludf.DUMMYFUNCTION("filter($M$1:$M$500, $N$1:$N$500=D278)"),"Academic")</f>
        <v>Academic</v>
      </c>
      <c r="D59" s="41">
        <v>1320</v>
      </c>
      <c r="E59" s="43">
        <v>453</v>
      </c>
      <c r="F59" s="54" t="s">
        <v>297</v>
      </c>
      <c r="G59" s="55">
        <v>211</v>
      </c>
      <c r="H59" s="56" t="s">
        <v>50</v>
      </c>
      <c r="I59" s="59">
        <v>1748</v>
      </c>
    </row>
    <row r="60" spans="1:9" ht="17" customHeight="1">
      <c r="A60" s="39">
        <v>44371</v>
      </c>
      <c r="B60" s="40" t="str">
        <f ca="1">IFERROR(__xludf.DUMMYFUNCTION("FILTER($J$2:$J$445,$K$2:$K$445=D289)"),"Real Estate Club")</f>
        <v>Real Estate Club</v>
      </c>
      <c r="C60" s="40" t="str">
        <f ca="1">IFERROR(__xludf.DUMMYFUNCTION("filter($M$1:$M$500, $N$1:$N$500=D289)"),"Academic")</f>
        <v>Academic</v>
      </c>
      <c r="D60" s="41">
        <v>1220</v>
      </c>
      <c r="E60" s="42">
        <v>1544.84</v>
      </c>
      <c r="F60" s="58" t="s">
        <v>308</v>
      </c>
      <c r="G60" s="55">
        <v>75</v>
      </c>
      <c r="H60" s="56" t="s">
        <v>17</v>
      </c>
      <c r="I60" s="59">
        <v>1773</v>
      </c>
    </row>
    <row r="61" spans="1:9" ht="17" customHeight="1">
      <c r="A61" s="39">
        <v>44371</v>
      </c>
      <c r="B61" s="40" t="str">
        <f ca="1">IFERROR(__xludf.DUMMYFUNCTION("FILTER($J$2:$J$445,$K$2:$K$445=D292)"),"READ, the Rutgers University Book Club")</f>
        <v>READ, the Rutgers University Book Club</v>
      </c>
      <c r="C61" s="40" t="str">
        <f ca="1">IFERROR(__xludf.DUMMYFUNCTION("filter($M$1:$M$500, $N$1:$N$500=D292)"),"Academic")</f>
        <v>Academic</v>
      </c>
      <c r="D61" s="41">
        <v>1186</v>
      </c>
      <c r="E61" s="43">
        <v>309</v>
      </c>
      <c r="F61" s="54" t="s">
        <v>311</v>
      </c>
      <c r="G61" s="55">
        <v>148</v>
      </c>
      <c r="H61" s="56" t="s">
        <v>153</v>
      </c>
      <c r="I61" s="59">
        <v>1786</v>
      </c>
    </row>
    <row r="62" spans="1:9" ht="17" customHeight="1">
      <c r="A62" s="39">
        <v>44371</v>
      </c>
      <c r="B62" s="40" t="str">
        <f ca="1">IFERROR(__xludf.DUMMYFUNCTION("FILTER($J$2:$J$445,$K$2:$K$445=D297)"),"American Sign Language Club")</f>
        <v>American Sign Language Club</v>
      </c>
      <c r="C62" s="40" t="str">
        <f ca="1">IFERROR(__xludf.DUMMYFUNCTION("filter($M$1:$M$500, $N$1:$N$500=D297)"),"Academic")</f>
        <v>Academic</v>
      </c>
      <c r="D62" s="41">
        <v>1103</v>
      </c>
      <c r="E62" s="43">
        <v>973</v>
      </c>
      <c r="F62" s="54" t="s">
        <v>316</v>
      </c>
      <c r="G62" s="55">
        <v>1324</v>
      </c>
      <c r="H62" s="56" t="s">
        <v>8</v>
      </c>
      <c r="I62" s="59">
        <v>1801</v>
      </c>
    </row>
    <row r="63" spans="1:9" ht="17" customHeight="1">
      <c r="A63" s="39">
        <v>44371</v>
      </c>
      <c r="B63" s="40" t="str">
        <f ca="1">IFERROR(__xludf.DUMMYFUNCTION("FILTER($J$2:$J$445,$K$2:$K$445=D298)"),"Actuarial Club")</f>
        <v>Actuarial Club</v>
      </c>
      <c r="C63" s="40" t="str">
        <f ca="1">IFERROR(__xludf.DUMMYFUNCTION("filter($M$1:$M$500, $N$1:$N$500=D298)"),"Academic")</f>
        <v>Academic</v>
      </c>
      <c r="D63" s="41">
        <v>1054</v>
      </c>
      <c r="E63" s="42">
        <v>1042</v>
      </c>
      <c r="F63" s="54" t="s">
        <v>317</v>
      </c>
      <c r="G63" s="55">
        <v>1881</v>
      </c>
      <c r="H63" s="56" t="s">
        <v>8</v>
      </c>
      <c r="I63" s="59">
        <v>1812</v>
      </c>
    </row>
    <row r="64" spans="1:9" ht="17" customHeight="1">
      <c r="A64" s="39">
        <v>44371</v>
      </c>
      <c r="B64" s="40" t="str">
        <f ca="1">IFERROR(__xludf.DUMMYFUNCTION("FILTER($J$2:$J$445,$K$2:$K$445=D300)"),"Cell Biology and Neuroscience Society")</f>
        <v>Cell Biology and Neuroscience Society</v>
      </c>
      <c r="C64" s="40" t="str">
        <f ca="1">IFERROR(__xludf.DUMMYFUNCTION("filter($M$1:$M$500, $N$1:$N$500=D300)"),"Academic")</f>
        <v>Academic</v>
      </c>
      <c r="D64" s="41">
        <v>1030</v>
      </c>
      <c r="E64" s="43">
        <v>326</v>
      </c>
      <c r="F64" s="58" t="s">
        <v>319</v>
      </c>
      <c r="G64" s="55">
        <v>1772</v>
      </c>
      <c r="H64" s="56" t="s">
        <v>34</v>
      </c>
      <c r="I64" s="59">
        <v>1818</v>
      </c>
    </row>
    <row r="65" spans="1:9" ht="17" customHeight="1">
      <c r="A65" s="39">
        <v>44371</v>
      </c>
      <c r="B65" s="40" t="str">
        <f ca="1">IFERROR(__xludf.DUMMYFUNCTION("FILTER($J$2:$J$445,$K$2:$K$445=D302)"),"Undergraduate Social Work Organization")</f>
        <v>Undergraduate Social Work Organization</v>
      </c>
      <c r="C65" s="40" t="str">
        <f ca="1">IFERROR(__xludf.DUMMYFUNCTION("filter($M$1:$M$500, $N$1:$N$500=D302)"),"Academic")</f>
        <v>Academic</v>
      </c>
      <c r="D65" s="41">
        <v>821</v>
      </c>
      <c r="E65" s="43">
        <v>168</v>
      </c>
      <c r="F65" s="58" t="s">
        <v>321</v>
      </c>
      <c r="G65" s="55">
        <v>0</v>
      </c>
      <c r="H65" s="56" t="s">
        <v>50</v>
      </c>
      <c r="I65" s="59">
        <v>1822</v>
      </c>
    </row>
    <row r="66" spans="1:9" ht="17" customHeight="1">
      <c r="A66" s="39">
        <v>44371</v>
      </c>
      <c r="B66" s="40" t="str">
        <f ca="1">IFERROR(__xludf.DUMMYFUNCTION("FILTER($J$2:$J$445,$K$2:$K$445=D303)"),"Toastmasters")</f>
        <v>Toastmasters</v>
      </c>
      <c r="C66" s="40" t="str">
        <f ca="1">IFERROR(__xludf.DUMMYFUNCTION("filter($M$1:$M$500, $N$1:$N$500=D303)"),"Academic")</f>
        <v>Academic</v>
      </c>
      <c r="D66" s="41">
        <v>782</v>
      </c>
      <c r="E66" s="43">
        <v>185</v>
      </c>
      <c r="F66" s="54" t="s">
        <v>322</v>
      </c>
      <c r="G66" s="55">
        <v>1663</v>
      </c>
      <c r="H66" s="56" t="s">
        <v>34</v>
      </c>
      <c r="I66" s="59">
        <v>1823</v>
      </c>
    </row>
    <row r="67" spans="1:9" ht="17" customHeight="1">
      <c r="A67" s="39">
        <v>44371</v>
      </c>
      <c r="B67" s="40" t="str">
        <f ca="1">IFERROR(__xludf.DUMMYFUNCTION("FILTER($J$2:$J$445,$K$2:$K$445=D316)"),"Astronomical Society")</f>
        <v>Astronomical Society</v>
      </c>
      <c r="C67" s="40" t="str">
        <f ca="1">IFERROR(__xludf.DUMMYFUNCTION("filter($M$1:$M$500, $N$1:$N$500=D316)"),"Academic")</f>
        <v>Academic</v>
      </c>
      <c r="D67" s="41">
        <v>675</v>
      </c>
      <c r="E67" s="43">
        <v>614</v>
      </c>
      <c r="F67" s="58" t="s">
        <v>336</v>
      </c>
      <c r="G67" s="55">
        <v>1878</v>
      </c>
      <c r="H67" s="56" t="s">
        <v>66</v>
      </c>
      <c r="I67" s="59">
        <v>1866</v>
      </c>
    </row>
    <row r="68" spans="1:9" ht="17" customHeight="1">
      <c r="A68" s="39">
        <v>44371</v>
      </c>
      <c r="B68" s="40" t="str">
        <f ca="1">IFERROR(__xludf.DUMMYFUNCTION("FILTER($J$2:$J$445,$K$2:$K$445=D324)"),"Society of Physics Students")</f>
        <v>Society of Physics Students</v>
      </c>
      <c r="C68" s="40" t="str">
        <f ca="1">IFERROR(__xludf.DUMMYFUNCTION("filter($M$1:$M$500, $N$1:$N$500=D324)"),"Academic")</f>
        <v>Academic</v>
      </c>
      <c r="D68" s="41">
        <v>615</v>
      </c>
      <c r="E68" s="43">
        <v>51.76</v>
      </c>
      <c r="F68" s="54" t="s">
        <v>344</v>
      </c>
      <c r="G68" s="55">
        <v>1950</v>
      </c>
      <c r="H68" s="56" t="s">
        <v>60</v>
      </c>
      <c r="I68" s="59">
        <v>1879</v>
      </c>
    </row>
    <row r="69" spans="1:9" ht="17" customHeight="1">
      <c r="A69" s="39">
        <v>44371</v>
      </c>
      <c r="B69" s="40" t="str">
        <f ca="1">IFERROR(__xludf.DUMMYFUNCTION("FILTER($J$2:$J$445,$K$2:$K$445=D333)"),"Psychological Society")</f>
        <v>Psychological Society</v>
      </c>
      <c r="C69" s="40" t="str">
        <f ca="1">IFERROR(__xludf.DUMMYFUNCTION("filter($M$1:$M$500, $N$1:$N$500=D333)"),"Academic")</f>
        <v>Academic</v>
      </c>
      <c r="D69" s="41">
        <v>492</v>
      </c>
      <c r="E69" s="43">
        <v>791</v>
      </c>
      <c r="F69" s="58" t="s">
        <v>354</v>
      </c>
      <c r="G69" s="55">
        <v>1929</v>
      </c>
      <c r="H69" s="56" t="s">
        <v>66</v>
      </c>
      <c r="I69" s="59">
        <v>1906</v>
      </c>
    </row>
    <row r="70" spans="1:9" ht="17" customHeight="1">
      <c r="A70" s="39">
        <v>44371</v>
      </c>
      <c r="B70" s="40" t="str">
        <f ca="1">IFERROR(__xludf.DUMMYFUNCTION("FILTER($J$2:$J$445,$K$2:$K$445=D342)"),"Undergraduate Anthropology Club")</f>
        <v>Undergraduate Anthropology Club</v>
      </c>
      <c r="C70" s="40" t="str">
        <f ca="1">IFERROR(__xludf.DUMMYFUNCTION("filter($M$1:$M$500, $N$1:$N$500=D342)"),"Academic")</f>
        <v>Academic</v>
      </c>
      <c r="D70" s="41">
        <v>391</v>
      </c>
      <c r="E70" s="43">
        <v>483.71</v>
      </c>
      <c r="F70" s="54" t="s">
        <v>363</v>
      </c>
      <c r="G70" s="55">
        <v>1951</v>
      </c>
      <c r="H70" s="56" t="s">
        <v>60</v>
      </c>
      <c r="I70" s="59">
        <v>1937</v>
      </c>
    </row>
    <row r="71" spans="1:9" ht="17" customHeight="1">
      <c r="A71" s="39">
        <v>44371</v>
      </c>
      <c r="B71" s="40" t="str">
        <f ca="1">IFERROR(__xludf.DUMMYFUNCTION("FILTER($J$2:$J$445,$K$2:$K$445=D348)"),"Undergraduate Students Alliance of Computer Science")</f>
        <v>Undergraduate Students Alliance of Computer Science</v>
      </c>
      <c r="C71" s="40" t="str">
        <f ca="1">IFERROR(__xludf.DUMMYFUNCTION("filter($M$1:$M$500, $N$1:$N$500=D348)"),"Academic")</f>
        <v>Academic</v>
      </c>
      <c r="D71" s="41">
        <v>352</v>
      </c>
      <c r="E71" s="43">
        <v>257.04000000000002</v>
      </c>
      <c r="F71" s="54" t="s">
        <v>369</v>
      </c>
      <c r="G71" s="55">
        <v>1391</v>
      </c>
      <c r="H71" s="56" t="s">
        <v>60</v>
      </c>
      <c r="I71" s="59">
        <v>1943</v>
      </c>
    </row>
    <row r="72" spans="1:9" ht="17" customHeight="1">
      <c r="A72" s="39">
        <v>44371</v>
      </c>
      <c r="B72" s="40" t="str">
        <f ca="1">IFERROR(__xludf.DUMMYFUNCTION("FILTER($J$2:$J$445,$K$2:$K$445=D371)"),"Debate Union")</f>
        <v>Debate Union</v>
      </c>
      <c r="C72" s="40" t="str">
        <f ca="1">IFERROR(__xludf.DUMMYFUNCTION("filter($M$1:$M$500, $N$1:$N$500=D371)"),"Academic")</f>
        <v>Academic</v>
      </c>
      <c r="D72" s="41">
        <v>157</v>
      </c>
      <c r="E72" s="43">
        <v>595</v>
      </c>
      <c r="F72" s="54" t="s">
        <v>393</v>
      </c>
      <c r="G72" s="55">
        <v>733</v>
      </c>
    </row>
    <row r="73" spans="1:9" ht="17" customHeight="1">
      <c r="A73" s="39">
        <v>44371</v>
      </c>
      <c r="B73" s="40" t="str">
        <f ca="1">IFERROR(__xludf.DUMMYFUNCTION("FILTER($J$2:$J$445,$K$2:$K$445=D30)"),"Mind and Media ")</f>
        <v xml:space="preserve">Mind and Media </v>
      </c>
      <c r="C73" s="40" t="str">
        <f ca="1">IFERROR(__xludf.DUMMYFUNCTION("filter($M$1:$M$500, $N$1:$N$500=D30)"),"Community Service")</f>
        <v>Community Service</v>
      </c>
      <c r="D73" s="41">
        <v>1899</v>
      </c>
      <c r="E73" s="43">
        <v>300</v>
      </c>
      <c r="F73" s="54" t="s">
        <v>43</v>
      </c>
      <c r="G73" s="55">
        <v>154</v>
      </c>
      <c r="H73" s="56" t="s">
        <v>34</v>
      </c>
      <c r="I73" s="59">
        <v>137</v>
      </c>
    </row>
    <row r="74" spans="1:9" ht="17" customHeight="1">
      <c r="A74" s="39">
        <v>44371</v>
      </c>
      <c r="B74" s="40" t="str">
        <f ca="1">IFERROR(__xludf.DUMMYFUNCTION("FILTER($J$2:$J$445,$K$2:$K$445=D34)"),"#N/A")</f>
        <v>#N/A</v>
      </c>
      <c r="C74" s="40" t="str">
        <f ca="1">IFERROR(__xludf.DUMMYFUNCTION("filter($M$1:$M$500, $N$1:$N$500=D34)"),"Community Service")</f>
        <v>Community Service</v>
      </c>
      <c r="D74" s="41">
        <v>1874</v>
      </c>
      <c r="E74" s="43">
        <v>4</v>
      </c>
      <c r="F74" s="54" t="s">
        <v>47</v>
      </c>
      <c r="G74" s="55">
        <v>1410</v>
      </c>
      <c r="H74" s="56" t="s">
        <v>8</v>
      </c>
      <c r="I74" s="59">
        <v>149</v>
      </c>
    </row>
    <row r="75" spans="1:9" ht="17" customHeight="1">
      <c r="A75" s="39">
        <v>44371</v>
      </c>
      <c r="B75" s="40" t="str">
        <f ca="1">IFERROR(__xludf.DUMMYFUNCTION("FILTER($J$2:$J$445,$K$2:$K$445=D39)"),"Petey Greene")</f>
        <v>Petey Greene</v>
      </c>
      <c r="C75" s="40" t="str">
        <f ca="1">IFERROR(__xludf.DUMMYFUNCTION("filter($M$1:$M$500, $N$1:$N$500=D39)"),"Community Service")</f>
        <v>Community Service</v>
      </c>
      <c r="D75" s="41">
        <v>1835</v>
      </c>
      <c r="E75" s="42">
        <v>1800</v>
      </c>
      <c r="F75" s="58" t="s">
        <v>53</v>
      </c>
      <c r="G75" s="55">
        <v>697</v>
      </c>
      <c r="H75" s="56" t="s">
        <v>8</v>
      </c>
      <c r="I75" s="59">
        <v>164</v>
      </c>
    </row>
    <row r="76" spans="1:9" ht="17" customHeight="1">
      <c r="A76" s="39">
        <v>44371</v>
      </c>
      <c r="B76" s="40" t="str">
        <f ca="1">IFERROR(__xludf.DUMMYFUNCTION("FILTER($J$2:$J$445,$K$2:$K$445=D40)"),"Charity Water Rutgers")</f>
        <v>Charity Water Rutgers</v>
      </c>
      <c r="C76" s="40" t="str">
        <f ca="1">IFERROR(__xludf.DUMMYFUNCTION("filter($M$1:$M$500, $N$1:$N$500=D40)"),"Community Service")</f>
        <v>Community Service</v>
      </c>
      <c r="D76" s="41">
        <v>1831</v>
      </c>
      <c r="E76" s="43">
        <v>200</v>
      </c>
      <c r="F76" s="54" t="s">
        <v>54</v>
      </c>
      <c r="G76" s="55">
        <v>712</v>
      </c>
      <c r="H76" s="56" t="s">
        <v>28</v>
      </c>
      <c r="I76" s="59">
        <v>170</v>
      </c>
    </row>
    <row r="77" spans="1:9" ht="17" customHeight="1">
      <c r="A77" s="39">
        <v>44371</v>
      </c>
      <c r="B77" s="40" t="str">
        <f ca="1">IFERROR(__xludf.DUMMYFUNCTION("FILTER($J$2:$J$445,$K$2:$K$445=D49)"),"Rutgers North American Disease")</f>
        <v>Rutgers North American Disease</v>
      </c>
      <c r="C77" s="40" t="str">
        <f ca="1">IFERROR(__xludf.DUMMYFUNCTION("filter($M$1:$M$500, $N$1:$N$500=D49)"),"Community Service")</f>
        <v>Community Service</v>
      </c>
      <c r="D77" s="41">
        <v>1753</v>
      </c>
      <c r="E77" s="43">
        <v>246.43</v>
      </c>
      <c r="F77" s="58" t="s">
        <v>64</v>
      </c>
      <c r="G77" s="55">
        <v>1841</v>
      </c>
      <c r="H77" s="56" t="s">
        <v>8</v>
      </c>
      <c r="I77" s="59">
        <v>230</v>
      </c>
    </row>
    <row r="78" spans="1:9" ht="17" customHeight="1">
      <c r="A78" s="39">
        <v>44371</v>
      </c>
      <c r="B78" s="40" t="str">
        <f ca="1">IFERROR(__xludf.DUMMYFUNCTION("FILTER($J$2:$J$445,$K$2:$K$445=D54)"),"Healthy Kids of New Brunswick")</f>
        <v>Healthy Kids of New Brunswick</v>
      </c>
      <c r="C78" s="40" t="str">
        <f ca="1">IFERROR(__xludf.DUMMYFUNCTION("filter($M$1:$M$500, $N$1:$N$500=D54)"),"Community Service")</f>
        <v>Community Service</v>
      </c>
      <c r="D78" s="41">
        <v>1717</v>
      </c>
      <c r="E78" s="43">
        <v>210</v>
      </c>
      <c r="F78" s="54" t="s">
        <v>70</v>
      </c>
      <c r="G78" s="55">
        <v>1023</v>
      </c>
      <c r="H78" s="56" t="s">
        <v>8</v>
      </c>
      <c r="I78" s="59">
        <v>264</v>
      </c>
    </row>
    <row r="79" spans="1:9" ht="17" customHeight="1">
      <c r="A79" s="39">
        <v>44371</v>
      </c>
      <c r="B79" s="40" t="str">
        <f ca="1">IFERROR(__xludf.DUMMYFUNCTION("FILTER($J$2:$J$445,$K$2:$K$445=D58)"),"Rutgers BuildOn ")</f>
        <v xml:space="preserve">Rutgers BuildOn </v>
      </c>
      <c r="C79" s="40" t="str">
        <f ca="1">IFERROR(__xludf.DUMMYFUNCTION("filter($M$1:$M$500, $N$1:$N$500=D58)"),"Community Service")</f>
        <v>Community Service</v>
      </c>
      <c r="D79" s="41">
        <v>1692</v>
      </c>
      <c r="E79" s="43">
        <v>250</v>
      </c>
      <c r="F79" s="58" t="s">
        <v>75</v>
      </c>
      <c r="G79" s="55">
        <v>567</v>
      </c>
      <c r="H79" s="56" t="s">
        <v>21</v>
      </c>
      <c r="I79" s="59">
        <v>291</v>
      </c>
    </row>
    <row r="80" spans="1:9" ht="17" customHeight="1">
      <c r="A80" s="39">
        <v>44371</v>
      </c>
      <c r="B80" s="40" t="str">
        <f ca="1">IFERROR(__xludf.DUMMYFUNCTION("FILTER($J$2:$J$445,$K$2:$K$445=D71)"),"Craft to Cure")</f>
        <v>Craft to Cure</v>
      </c>
      <c r="C80" s="40" t="str">
        <f ca="1">IFERROR(__xludf.DUMMYFUNCTION("filter($M$1:$M$500, $N$1:$N$500=D71)"),"Community Service")</f>
        <v>Community Service</v>
      </c>
      <c r="D80" s="41">
        <v>1474</v>
      </c>
      <c r="E80" s="43">
        <v>51.93</v>
      </c>
      <c r="F80" s="54" t="s">
        <v>88</v>
      </c>
      <c r="G80" s="55">
        <v>178</v>
      </c>
      <c r="H80" s="56" t="s">
        <v>50</v>
      </c>
      <c r="I80" s="59">
        <v>352</v>
      </c>
    </row>
    <row r="81" spans="1:10" ht="17" customHeight="1">
      <c r="A81" s="39">
        <v>44371</v>
      </c>
      <c r="B81" s="40" t="str">
        <f ca="1">IFERROR(__xludf.DUMMYFUNCTION("FILTER($J$2:$J$445,$K$2:$K$445=D94)"),"Rutgers Future Scholars Dream Team ")</f>
        <v xml:space="preserve">Rutgers Future Scholars Dream Team </v>
      </c>
      <c r="C81" s="40" t="str">
        <f ca="1">IFERROR(__xludf.DUMMYFUNCTION("filter($M$1:$M$500, $N$1:$N$500=D94)"),"Community Service")</f>
        <v>Community Service</v>
      </c>
      <c r="D81" s="41">
        <v>1169</v>
      </c>
      <c r="E81" s="42">
        <v>3470</v>
      </c>
      <c r="F81" s="58" t="s">
        <v>111</v>
      </c>
      <c r="G81" s="55">
        <v>750</v>
      </c>
      <c r="H81" s="56" t="s">
        <v>8</v>
      </c>
      <c r="I81" s="59">
        <v>504</v>
      </c>
    </row>
    <row r="82" spans="1:10" ht="17" customHeight="1">
      <c r="A82" s="39">
        <v>44371</v>
      </c>
      <c r="B82" s="40" t="str">
        <f ca="1">IFERROR(__xludf.DUMMYFUNCTION("FILTER($J$2:$J$445,$K$2:$K$445=D129)"),"The G.O.Y.A. Project ")</f>
        <v xml:space="preserve">The G.O.Y.A. Project </v>
      </c>
      <c r="C82" s="40" t="str">
        <f ca="1">IFERROR(__xludf.DUMMYFUNCTION("filter($M$1:$M$500, $N$1:$N$500=D129)"),"Community Service")</f>
        <v>Community Service</v>
      </c>
      <c r="D82" s="41">
        <v>545</v>
      </c>
      <c r="E82" s="43">
        <v>225</v>
      </c>
      <c r="F82" s="54" t="s">
        <v>147</v>
      </c>
      <c r="G82" s="55">
        <v>1467</v>
      </c>
      <c r="H82" s="56" t="s">
        <v>8</v>
      </c>
      <c r="I82" s="59">
        <v>725</v>
      </c>
    </row>
    <row r="83" spans="1:10" ht="17" customHeight="1">
      <c r="A83" s="39">
        <v>44371</v>
      </c>
      <c r="B83" s="40" t="str">
        <f ca="1">IFERROR(__xludf.DUMMYFUNCTION("FILTER($J$2:$J$445,$K$2:$K$445=D141)"),"Circle K ")</f>
        <v xml:space="preserve">Circle K </v>
      </c>
      <c r="C83" s="40" t="str">
        <f ca="1">IFERROR(__xludf.DUMMYFUNCTION("filter($M$1:$M$500, $N$1:$N$500=D141)"),"Community Service")</f>
        <v>Community Service</v>
      </c>
      <c r="D83" s="41">
        <v>401</v>
      </c>
      <c r="E83" s="43">
        <v>25</v>
      </c>
      <c r="F83" s="58" t="s">
        <v>160</v>
      </c>
      <c r="G83" s="55">
        <v>1599</v>
      </c>
      <c r="H83" s="56" t="s">
        <v>34</v>
      </c>
      <c r="I83" s="59">
        <v>769</v>
      </c>
    </row>
    <row r="84" spans="1:10" ht="17" customHeight="1">
      <c r="A84" s="39">
        <v>44371</v>
      </c>
      <c r="B84" s="40" t="str">
        <f ca="1">IFERROR(__xludf.DUMMYFUNCTION("FILTER($J$2:$J$445,$K$2:$K$445=D151)"),"Habitat for Humanity")</f>
        <v>Habitat for Humanity</v>
      </c>
      <c r="C84" s="40" t="str">
        <f ca="1">IFERROR(__xludf.DUMMYFUNCTION("filter($M$1:$M$500, $N$1:$N$500=D151)"),"Community Service")</f>
        <v>Community Service</v>
      </c>
      <c r="D84" s="41">
        <v>292</v>
      </c>
      <c r="E84" s="43">
        <v>300</v>
      </c>
      <c r="F84" s="58" t="s">
        <v>170</v>
      </c>
      <c r="G84" s="55">
        <v>614</v>
      </c>
      <c r="H84" s="56" t="s">
        <v>60</v>
      </c>
      <c r="I84" s="59">
        <v>1055</v>
      </c>
      <c r="J84" t="s">
        <v>471</v>
      </c>
    </row>
    <row r="85" spans="1:10" ht="17" customHeight="1">
      <c r="A85" s="39">
        <v>44371</v>
      </c>
      <c r="B85" s="40" t="str">
        <f ca="1">IFERROR(__xludf.DUMMYFUNCTION("FILTER($J$2:$J$445,$K$2:$K$445=D155)"),"Reach Out And Read")</f>
        <v>Reach Out And Read</v>
      </c>
      <c r="C85" s="40" t="str">
        <f ca="1">IFERROR(__xludf.DUMMYFUNCTION("filter($M$1:$M$500, $N$1:$N$500=D155)"),"Community Service")</f>
        <v>Community Service</v>
      </c>
      <c r="D85" s="41">
        <v>244</v>
      </c>
      <c r="E85" s="43">
        <v>61.47</v>
      </c>
      <c r="F85" s="54" t="s">
        <v>174</v>
      </c>
      <c r="G85" s="55">
        <v>1143</v>
      </c>
      <c r="H85" s="56" t="s">
        <v>21</v>
      </c>
      <c r="I85" s="59">
        <v>1084</v>
      </c>
    </row>
    <row r="86" spans="1:10" ht="17" customHeight="1">
      <c r="A86" s="39">
        <v>44371</v>
      </c>
      <c r="B86" s="40" t="str">
        <f ca="1">IFERROR(__xludf.DUMMYFUNCTION("FILTER($J$2:$J$445,$K$2:$K$445=D162)"),"Big Buddy")</f>
        <v>Big Buddy</v>
      </c>
      <c r="C86" s="40" t="str">
        <f ca="1">IFERROR(__xludf.DUMMYFUNCTION("filter($M$1:$M$500, $N$1:$N$500=D162)"),"Community Service")</f>
        <v>Community Service</v>
      </c>
      <c r="D86" s="41">
        <v>170</v>
      </c>
      <c r="E86" s="43">
        <v>225</v>
      </c>
      <c r="F86" s="54" t="s">
        <v>181</v>
      </c>
      <c r="G86" s="55">
        <v>1797</v>
      </c>
      <c r="H86" s="56" t="s">
        <v>30</v>
      </c>
      <c r="I86" s="59">
        <v>1141</v>
      </c>
    </row>
    <row r="87" spans="1:10" ht="17" customHeight="1">
      <c r="A87" s="39">
        <v>44371</v>
      </c>
      <c r="B87" s="40" t="str">
        <f ca="1">IFERROR(__xludf.DUMMYFUNCTION("FILTER($J$2:$J$445,$K$2:$K$445=D176)"),"Envision ")</f>
        <v xml:space="preserve">Envision </v>
      </c>
      <c r="C87" s="40" t="str">
        <f ca="1">IFERROR(__xludf.DUMMYFUNCTION("filter($M$1:$M$500, $N$1:$N$500=D176)"),"Community Service")</f>
        <v>Community Service</v>
      </c>
      <c r="D87" s="41">
        <v>66</v>
      </c>
      <c r="E87" s="42">
        <v>1717.15</v>
      </c>
      <c r="F87" s="54" t="s">
        <v>195</v>
      </c>
      <c r="G87" s="55">
        <v>761</v>
      </c>
      <c r="H87" s="56" t="s">
        <v>28</v>
      </c>
      <c r="I87" s="59">
        <v>1236</v>
      </c>
    </row>
    <row r="88" spans="1:10" ht="17" customHeight="1">
      <c r="A88" s="39">
        <v>44371</v>
      </c>
      <c r="B88" s="40" t="str">
        <f ca="1">IFERROR(__xludf.DUMMYFUNCTION("FILTER($J$2:$J$445,$K$2:$K$445=D217)"),"Petey Greene")</f>
        <v>Petey Greene</v>
      </c>
      <c r="C88" s="40" t="str">
        <f ca="1">IFERROR(__xludf.DUMMYFUNCTION("filter($M$1:$M$500, $N$1:$N$500=D217)"),"Community Service")</f>
        <v>Community Service</v>
      </c>
      <c r="D88" s="41">
        <v>1835</v>
      </c>
      <c r="E88" s="43">
        <v>122</v>
      </c>
      <c r="F88" s="58" t="s">
        <v>236</v>
      </c>
      <c r="G88" s="55">
        <v>504</v>
      </c>
      <c r="H88" s="56" t="s">
        <v>28</v>
      </c>
      <c r="I88" s="59">
        <v>1474</v>
      </c>
    </row>
    <row r="89" spans="1:10" ht="17" customHeight="1">
      <c r="A89" s="39">
        <v>44371</v>
      </c>
      <c r="B89" s="40" t="str">
        <f ca="1">IFERROR(__xludf.DUMMYFUNCTION("FILTER($J$2:$J$445,$K$2:$K$445=D218)"),"Charity Water Rutgers")</f>
        <v>Charity Water Rutgers</v>
      </c>
      <c r="C89" s="40" t="str">
        <f ca="1">IFERROR(__xludf.DUMMYFUNCTION("filter($M$1:$M$500, $N$1:$N$500=D218)"),"Community Service")</f>
        <v>Community Service</v>
      </c>
      <c r="D89" s="41">
        <v>1831</v>
      </c>
      <c r="E89" s="43">
        <v>182</v>
      </c>
      <c r="F89" s="58" t="s">
        <v>237</v>
      </c>
      <c r="G89" s="55">
        <v>708</v>
      </c>
      <c r="H89" s="56" t="s">
        <v>17</v>
      </c>
      <c r="I89" s="59">
        <v>1475</v>
      </c>
    </row>
    <row r="90" spans="1:10" ht="17" customHeight="1">
      <c r="A90" s="39">
        <v>44371</v>
      </c>
      <c r="B90" s="40" t="str">
        <f ca="1">IFERROR(__xludf.DUMMYFUNCTION("FILTER($J$2:$J$445,$K$2:$K$445=D233)"),"Rutgers North American Disease")</f>
        <v>Rutgers North American Disease</v>
      </c>
      <c r="C90" s="40" t="str">
        <f ca="1">IFERROR(__xludf.DUMMYFUNCTION("filter($M$1:$M$500, $N$1:$N$500=D233)"),"Community Service")</f>
        <v>Community Service</v>
      </c>
      <c r="D90" s="41">
        <v>1753</v>
      </c>
      <c r="E90" s="43">
        <v>0.26</v>
      </c>
      <c r="F90" s="58" t="s">
        <v>252</v>
      </c>
      <c r="G90" s="55">
        <v>1495</v>
      </c>
      <c r="H90" s="56" t="s">
        <v>153</v>
      </c>
      <c r="I90" s="59">
        <v>1529</v>
      </c>
    </row>
    <row r="91" spans="1:10" ht="17" customHeight="1">
      <c r="A91" s="39">
        <v>44371</v>
      </c>
      <c r="B91" s="40" t="str">
        <f ca="1">IFERROR(__xludf.DUMMYFUNCTION("FILTER($J$2:$J$445,$K$2:$K$445=D242)"),"Dental Knights Association ")</f>
        <v xml:space="preserve">Dental Knights Association </v>
      </c>
      <c r="C91" s="40" t="str">
        <f ca="1">IFERROR(__xludf.DUMMYFUNCTION("filter($M$1:$M$500, $N$1:$N$500=D242)"),"Community Service")</f>
        <v>Community Service</v>
      </c>
      <c r="D91" s="41">
        <v>1662</v>
      </c>
      <c r="E91" s="43">
        <v>100</v>
      </c>
      <c r="F91" s="58" t="s">
        <v>261</v>
      </c>
      <c r="G91" s="55">
        <v>244</v>
      </c>
      <c r="H91" s="56" t="s">
        <v>50</v>
      </c>
      <c r="I91" s="59">
        <v>1572</v>
      </c>
    </row>
    <row r="92" spans="1:10" ht="17" customHeight="1">
      <c r="A92" s="39">
        <v>44371</v>
      </c>
      <c r="B92" s="40" t="str">
        <f ca="1">IFERROR(__xludf.DUMMYFUNCTION("FILTER($J$2:$J$445,$K$2:$K$445=D255)"),"Youth Empowerment Club")</f>
        <v>Youth Empowerment Club</v>
      </c>
      <c r="C92" s="40" t="str">
        <f ca="1">IFERROR(__xludf.DUMMYFUNCTION("filter($M$1:$M$500, $N$1:$N$500=D255)"),"Community Service")</f>
        <v>Community Service</v>
      </c>
      <c r="D92" s="41">
        <v>1530</v>
      </c>
      <c r="E92" s="43">
        <v>352</v>
      </c>
      <c r="F92" s="54" t="s">
        <v>274</v>
      </c>
      <c r="G92" s="55">
        <v>1849</v>
      </c>
      <c r="H92" s="56" t="s">
        <v>30</v>
      </c>
      <c r="I92" s="59">
        <v>1651</v>
      </c>
    </row>
    <row r="93" spans="1:10" ht="17" customHeight="1">
      <c r="A93" s="39">
        <v>44371</v>
      </c>
      <c r="B93" s="40" t="str">
        <f ca="1">IFERROR(__xludf.DUMMYFUNCTION("FILTER($J$2:$J$445,$K$2:$K$445=D264)"),"Craft to Cure")</f>
        <v>Craft to Cure</v>
      </c>
      <c r="C93" s="40" t="str">
        <f ca="1">IFERROR(__xludf.DUMMYFUNCTION("filter($M$1:$M$500, $N$1:$N$500=D264)"),"Community Service")</f>
        <v>Community Service</v>
      </c>
      <c r="D93" s="41">
        <v>1474</v>
      </c>
      <c r="E93" s="43">
        <v>178.7</v>
      </c>
      <c r="F93" s="54" t="s">
        <v>283</v>
      </c>
      <c r="G93" s="55">
        <v>1845</v>
      </c>
      <c r="H93" s="56" t="s">
        <v>50</v>
      </c>
      <c r="I93" s="59">
        <v>1674</v>
      </c>
    </row>
    <row r="94" spans="1:10" ht="17" customHeight="1">
      <c r="A94" s="39">
        <v>44371</v>
      </c>
      <c r="B94" s="40" t="str">
        <f ca="1">IFERROR(__xludf.DUMMYFUNCTION("FILTER($J$2:$J$445,$K$2:$K$445=D314)"),"Bloustein Public Service Association")</f>
        <v>Bloustein Public Service Association</v>
      </c>
      <c r="C94" s="40" t="str">
        <f ca="1">IFERROR(__xludf.DUMMYFUNCTION("filter($M$1:$M$500, $N$1:$N$500=D314)"),"Community Service")</f>
        <v>Community Service</v>
      </c>
      <c r="D94" s="41">
        <v>691</v>
      </c>
      <c r="E94" s="43">
        <v>286</v>
      </c>
      <c r="F94" s="54" t="s">
        <v>333</v>
      </c>
      <c r="G94" s="61">
        <v>1876</v>
      </c>
      <c r="H94" s="56" t="s">
        <v>17</v>
      </c>
      <c r="I94" s="59">
        <v>1849</v>
      </c>
    </row>
    <row r="95" spans="1:10" ht="17" customHeight="1">
      <c r="A95" s="39">
        <v>44371</v>
      </c>
      <c r="B95" s="40" t="str">
        <f ca="1">IFERROR(__xludf.DUMMYFUNCTION("FILTER($J$2:$J$445,$K$2:$K$445=D341)"),"Circle K ")</f>
        <v xml:space="preserve">Circle K </v>
      </c>
      <c r="C95" s="40" t="str">
        <f ca="1">IFERROR(__xludf.DUMMYFUNCTION("filter($M$1:$M$500, $N$1:$N$500=D341)"),"Community Service")</f>
        <v>Community Service</v>
      </c>
      <c r="D95" s="41">
        <v>401</v>
      </c>
      <c r="E95" s="43">
        <v>134.05000000000001</v>
      </c>
      <c r="F95" s="58" t="s">
        <v>362</v>
      </c>
      <c r="G95" s="55">
        <v>516</v>
      </c>
      <c r="H95" s="56" t="s">
        <v>353</v>
      </c>
      <c r="I95" s="59">
        <v>1936</v>
      </c>
    </row>
    <row r="96" spans="1:10" ht="17" customHeight="1">
      <c r="A96" s="39">
        <v>44371</v>
      </c>
      <c r="B96" s="40" t="str">
        <f ca="1">IFERROR(__xludf.DUMMYFUNCTION("FILTER($J$2:$J$445,$K$2:$K$445=D356)"),"Habitat for Humanity")</f>
        <v>Habitat for Humanity</v>
      </c>
      <c r="C96" s="40" t="str">
        <f ca="1">IFERROR(__xludf.DUMMYFUNCTION("filter($M$1:$M$500, $N$1:$N$500=D356)"),"Community Service")</f>
        <v>Community Service</v>
      </c>
      <c r="D96" s="41">
        <v>292</v>
      </c>
      <c r="E96" s="43">
        <v>300</v>
      </c>
      <c r="F96" s="58" t="s">
        <v>378</v>
      </c>
      <c r="G96" s="55">
        <v>1543</v>
      </c>
      <c r="H96" s="56" t="s">
        <v>66</v>
      </c>
      <c r="I96" s="59">
        <v>1951</v>
      </c>
    </row>
    <row r="97" spans="1:9" ht="17" customHeight="1">
      <c r="A97" s="39">
        <v>44371</v>
      </c>
      <c r="B97" s="40" t="str">
        <f ca="1">IFERROR(__xludf.DUMMYFUNCTION("FILTER($J$2:$J$445,$K$2:$K$445=D360)"),"Reach Out And Read")</f>
        <v>Reach Out And Read</v>
      </c>
      <c r="C97" s="40" t="str">
        <f ca="1">IFERROR(__xludf.DUMMYFUNCTION("filter($M$1:$M$500, $N$1:$N$500=D360)"),"Community Service")</f>
        <v>Community Service</v>
      </c>
      <c r="D97" s="41">
        <v>244</v>
      </c>
      <c r="E97" s="43">
        <v>84</v>
      </c>
      <c r="F97" s="58" t="s">
        <v>382</v>
      </c>
      <c r="G97" s="55">
        <v>833</v>
      </c>
      <c r="H97" s="56" t="s">
        <v>353</v>
      </c>
      <c r="I97" s="59">
        <v>1956</v>
      </c>
    </row>
    <row r="98" spans="1:9" ht="17" customHeight="1">
      <c r="A98" s="39">
        <v>44371</v>
      </c>
      <c r="B98" s="40" t="str">
        <f ca="1">IFERROR(__xludf.DUMMYFUNCTION("FILTER($J$2:$J$445,$K$2:$K$445=D368)"),"Big Buddy")</f>
        <v>Big Buddy</v>
      </c>
      <c r="C98" s="40" t="str">
        <f ca="1">IFERROR(__xludf.DUMMYFUNCTION("filter($M$1:$M$500, $N$1:$N$500=D368)"),"Community Service")</f>
        <v>Community Service</v>
      </c>
      <c r="D98" s="41">
        <v>170</v>
      </c>
      <c r="E98" s="43">
        <v>920.8</v>
      </c>
      <c r="F98" s="54" t="s">
        <v>390</v>
      </c>
      <c r="G98" s="55">
        <v>1974</v>
      </c>
      <c r="H98" s="62" t="s">
        <v>353</v>
      </c>
      <c r="I98" s="63">
        <v>1972</v>
      </c>
    </row>
    <row r="99" spans="1:9" ht="17" customHeight="1">
      <c r="A99" s="39">
        <v>44371</v>
      </c>
      <c r="B99" s="40" t="str">
        <f ca="1">IFERROR(__xludf.DUMMYFUNCTION("FILTER($J$2:$J$445,$K$2:$K$445=D386)"),"Envision ")</f>
        <v xml:space="preserve">Envision </v>
      </c>
      <c r="C99" s="40" t="str">
        <f ca="1">IFERROR(__xludf.DUMMYFUNCTION("filter($M$1:$M$500, $N$1:$N$500=D386)"),"Community Service")</f>
        <v>Community Service</v>
      </c>
      <c r="D99" s="41">
        <v>66</v>
      </c>
      <c r="E99" s="43">
        <v>360.32</v>
      </c>
      <c r="F99" s="58" t="s">
        <v>408</v>
      </c>
      <c r="G99" s="55">
        <v>1538</v>
      </c>
    </row>
    <row r="100" spans="1:9" ht="17" customHeight="1">
      <c r="A100" s="39">
        <v>44371</v>
      </c>
      <c r="B100" s="40" t="str">
        <f ca="1">IFERROR(__xludf.DUMMYFUNCTION("FILTER($J$2:$J$445,$K$2:$K$445=D5)"),"United Black Council")</f>
        <v>United Black Council</v>
      </c>
      <c r="C100" s="40" t="str">
        <f ca="1">IFERROR(__xludf.DUMMYFUNCTION("filter($M$1:$M$500, $N$1:$N$500=D5)"),"Cultural")</f>
        <v>Cultural</v>
      </c>
      <c r="D100" s="41">
        <v>468</v>
      </c>
      <c r="E100" s="42">
        <v>6500</v>
      </c>
      <c r="F100" s="58" t="s">
        <v>12</v>
      </c>
      <c r="G100" s="55">
        <v>1655</v>
      </c>
      <c r="H100" s="54" t="s">
        <v>13</v>
      </c>
      <c r="I100" s="59">
        <v>21</v>
      </c>
    </row>
    <row r="101" spans="1:9" ht="17" customHeight="1">
      <c r="A101" s="39">
        <v>44371</v>
      </c>
      <c r="B101" s="40" t="str">
        <f ca="1">IFERROR(__xludf.DUMMYFUNCTION("FILTER($J$2:$J$445,$K$2:$K$445=D6)"),"Asian Student Council")</f>
        <v>Asian Student Council</v>
      </c>
      <c r="C101" s="40" t="str">
        <f ca="1">IFERROR(__xludf.DUMMYFUNCTION("filter($M$1:$M$500, $N$1:$N$500=D6)"),"Cultural")</f>
        <v>Cultural</v>
      </c>
      <c r="D101" s="41">
        <v>452</v>
      </c>
      <c r="E101" s="42">
        <v>2870</v>
      </c>
      <c r="F101" s="58" t="s">
        <v>14</v>
      </c>
      <c r="G101" s="55">
        <v>1054</v>
      </c>
      <c r="H101" s="54" t="s">
        <v>8</v>
      </c>
      <c r="I101" s="59">
        <v>22</v>
      </c>
    </row>
    <row r="102" spans="1:9" ht="17" customHeight="1">
      <c r="A102" s="39">
        <v>44371</v>
      </c>
      <c r="B102" s="40" t="str">
        <f ca="1">IFERROR(__xludf.DUMMYFUNCTION("FILTER($J$2:$J$445,$K$2:$K$445=D7)"),"Latino Student Council")</f>
        <v>Latino Student Council</v>
      </c>
      <c r="C102" s="40" t="str">
        <f ca="1">IFERROR(__xludf.DUMMYFUNCTION("filter($M$1:$M$500, $N$1:$N$500=D7)"),"Cultural")</f>
        <v>Cultural</v>
      </c>
      <c r="D102" s="41">
        <v>344</v>
      </c>
      <c r="E102" s="43">
        <v>0.04</v>
      </c>
      <c r="F102" s="58" t="s">
        <v>15</v>
      </c>
      <c r="G102" s="55">
        <v>1203</v>
      </c>
      <c r="H102" s="54" t="s">
        <v>8</v>
      </c>
      <c r="I102" s="59">
        <v>25</v>
      </c>
    </row>
    <row r="103" spans="1:9" ht="17" customHeight="1">
      <c r="A103" s="39">
        <v>44371</v>
      </c>
      <c r="B103" s="40" t="str">
        <f ca="1">IFERROR(__xludf.DUMMYFUNCTION("FILTER($J$2:$J$445,$K$2:$K$445=D8)"),"Association of Indians at Rutgers")</f>
        <v>Association of Indians at Rutgers</v>
      </c>
      <c r="C103" s="40" t="str">
        <f ca="1">IFERROR(__xludf.DUMMYFUNCTION("filter($M$1:$M$500, $N$1:$N$500=D8)"),"Cultural")</f>
        <v>Cultural</v>
      </c>
      <c r="D103" s="41">
        <v>22</v>
      </c>
      <c r="E103" s="42">
        <v>8000</v>
      </c>
      <c r="F103" s="58" t="s">
        <v>16</v>
      </c>
      <c r="G103" s="55">
        <v>1369</v>
      </c>
      <c r="H103" s="54" t="s">
        <v>17</v>
      </c>
      <c r="I103" s="59">
        <v>26</v>
      </c>
    </row>
    <row r="104" spans="1:9" ht="17" customHeight="1">
      <c r="A104" s="39">
        <v>44371</v>
      </c>
      <c r="B104" s="40" t="str">
        <f ca="1">IFERROR(__xludf.DUMMYFUNCTION("FILTER($J$2:$J$445,$K$2:$K$445=D11)"),"Taiwanese American Student Association")</f>
        <v>Taiwanese American Student Association</v>
      </c>
      <c r="C104" s="40" t="str">
        <f ca="1">IFERROR(__xludf.DUMMYFUNCTION("filter($M$1:$M$500, $N$1:$N$500=D11)"),"Cultural")</f>
        <v>Cultural</v>
      </c>
      <c r="D104" s="41">
        <v>494</v>
      </c>
      <c r="E104" s="43">
        <v>541.78</v>
      </c>
      <c r="F104" s="58" t="s">
        <v>20</v>
      </c>
      <c r="G104" s="55">
        <v>1513</v>
      </c>
      <c r="H104" s="54" t="s">
        <v>21</v>
      </c>
      <c r="I104" s="59">
        <v>48</v>
      </c>
    </row>
    <row r="105" spans="1:9" ht="17" customHeight="1">
      <c r="A105" s="39">
        <v>44371</v>
      </c>
      <c r="B105" s="40" t="str">
        <f ca="1">IFERROR(__xludf.DUMMYFUNCTION("FILTER($J$2:$J$445,$K$2:$K$445=D12)"),"Twese The Organization for Africans and Friends of Africa")</f>
        <v>Twese The Organization for Africans and Friends of Africa</v>
      </c>
      <c r="C105" s="40" t="str">
        <f ca="1">IFERROR(__xludf.DUMMYFUNCTION("filter($M$1:$M$500, $N$1:$N$500=D12)"),"Cultural")</f>
        <v>Cultural</v>
      </c>
      <c r="D105" s="41">
        <v>74</v>
      </c>
      <c r="E105" s="42">
        <v>2776</v>
      </c>
      <c r="F105" s="54" t="s">
        <v>22</v>
      </c>
      <c r="G105" s="55">
        <v>1433</v>
      </c>
      <c r="H105" s="54" t="s">
        <v>8</v>
      </c>
      <c r="I105" s="59">
        <v>52</v>
      </c>
    </row>
    <row r="106" spans="1:9" ht="17" customHeight="1">
      <c r="A106" s="39">
        <v>44371</v>
      </c>
      <c r="B106" s="40" t="str">
        <f ca="1">IFERROR(__xludf.DUMMYFUNCTION("FILTER($J$2:$J$445,$K$2:$K$445=D13)"),"Black Student Union")</f>
        <v>Black Student Union</v>
      </c>
      <c r="C106" s="40" t="str">
        <f ca="1">IFERROR(__xludf.DUMMYFUNCTION("filter($M$1:$M$500, $N$1:$N$500=D13)"),"Cultural")</f>
        <v>Cultural</v>
      </c>
      <c r="D106" s="41">
        <v>25</v>
      </c>
      <c r="E106" s="42">
        <v>14400</v>
      </c>
      <c r="F106" s="58" t="s">
        <v>23</v>
      </c>
      <c r="G106" s="55">
        <v>1433</v>
      </c>
      <c r="H106" s="54" t="s">
        <v>21</v>
      </c>
      <c r="I106" s="59">
        <v>53</v>
      </c>
    </row>
    <row r="107" spans="1:9" ht="17" customHeight="1">
      <c r="A107" s="39">
        <v>44371</v>
      </c>
      <c r="B107" s="40" t="str">
        <f ca="1">IFERROR(__xludf.DUMMYFUNCTION("FILTER($J$2:$J$445,$K$2:$K$445=D20)"),"Albanian Roots")</f>
        <v>Albanian Roots</v>
      </c>
      <c r="C107" s="40" t="str">
        <f ca="1">IFERROR(__xludf.DUMMYFUNCTION("filter($M$1:$M$500, $N$1:$N$500=D20)"),"Cultural")</f>
        <v>Cultural</v>
      </c>
      <c r="D107" s="41">
        <v>1958</v>
      </c>
      <c r="E107" s="42">
        <v>1100</v>
      </c>
      <c r="F107" s="54" t="s">
        <v>32</v>
      </c>
      <c r="G107" s="55">
        <v>26</v>
      </c>
      <c r="H107" s="56" t="s">
        <v>8</v>
      </c>
      <c r="I107" s="59">
        <v>74</v>
      </c>
    </row>
    <row r="108" spans="1:9" ht="17" customHeight="1">
      <c r="A108" s="39">
        <v>44371</v>
      </c>
      <c r="B108" s="40" t="str">
        <f ca="1">IFERROR(__xludf.DUMMYFUNCTION("FILTER($J$2:$J$445,$K$2:$K$445=D25)"),"Hong Kong Student Association")</f>
        <v>Hong Kong Student Association</v>
      </c>
      <c r="C108" s="40" t="str">
        <f ca="1">IFERROR(__xludf.DUMMYFUNCTION("filter($M$1:$M$500, $N$1:$N$500=D25)"),"Cultural")</f>
        <v>Cultural</v>
      </c>
      <c r="D108" s="41">
        <v>1944</v>
      </c>
      <c r="E108" s="43">
        <v>150</v>
      </c>
      <c r="F108" s="58" t="s">
        <v>38</v>
      </c>
      <c r="G108" s="55">
        <v>686</v>
      </c>
      <c r="H108" s="56" t="s">
        <v>30</v>
      </c>
      <c r="I108" s="59">
        <v>98</v>
      </c>
    </row>
    <row r="109" spans="1:9" ht="17" customHeight="1">
      <c r="A109" s="39">
        <v>44371</v>
      </c>
      <c r="B109" s="40" t="str">
        <f ca="1">IFERROR(__xludf.DUMMYFUNCTION("FILTER($J$2:$J$445,$K$2:$K$445=D42)"),"Mexican American Student Association")</f>
        <v>Mexican American Student Association</v>
      </c>
      <c r="C109" s="40" t="str">
        <f ca="1">IFERROR(__xludf.DUMMYFUNCTION("filter($M$1:$M$500, $N$1:$N$500=D42)"),"Cultural")</f>
        <v>Cultural</v>
      </c>
      <c r="D109" s="41">
        <v>1801</v>
      </c>
      <c r="E109" s="43">
        <v>2.0099999999999998</v>
      </c>
      <c r="F109" s="58" t="s">
        <v>56</v>
      </c>
      <c r="G109" s="55">
        <v>1061</v>
      </c>
      <c r="H109" s="56" t="s">
        <v>30</v>
      </c>
      <c r="I109" s="59">
        <v>196</v>
      </c>
    </row>
    <row r="110" spans="1:9" ht="17" customHeight="1">
      <c r="A110" s="39">
        <v>44371</v>
      </c>
      <c r="B110" s="40" t="str">
        <f ca="1">IFERROR(__xludf.DUMMYFUNCTION("FILTER($J$2:$J$445,$K$2:$K$445=D47)"),"RU Suryoyo")</f>
        <v>RU Suryoyo</v>
      </c>
      <c r="C110" s="40" t="str">
        <f ca="1">IFERROR(__xludf.DUMMYFUNCTION("filter($M$1:$M$500, $N$1:$N$500=D47)"),"Cultural")</f>
        <v>Cultural</v>
      </c>
      <c r="D110" s="41">
        <v>1758</v>
      </c>
      <c r="E110" s="43">
        <v>50</v>
      </c>
      <c r="F110" s="58" t="s">
        <v>62</v>
      </c>
      <c r="G110" s="55">
        <v>691</v>
      </c>
      <c r="H110" s="56" t="s">
        <v>30</v>
      </c>
      <c r="I110" s="59">
        <v>222</v>
      </c>
    </row>
    <row r="111" spans="1:9" ht="17" customHeight="1">
      <c r="A111" s="39">
        <v>44371</v>
      </c>
      <c r="B111" s="40" t="str">
        <f ca="1">IFERROR(__xludf.DUMMYFUNCTION("FILTER($J$2:$J$445,$K$2:$K$445=D56)"),"Kendama Club")</f>
        <v>Kendama Club</v>
      </c>
      <c r="C111" s="40" t="str">
        <f ca="1">IFERROR(__xludf.DUMMYFUNCTION("filter($M$1:$M$500, $N$1:$N$500=D56)"),"Cultural")</f>
        <v>Cultural</v>
      </c>
      <c r="D111" s="41">
        <v>1703</v>
      </c>
      <c r="E111" s="43">
        <v>400</v>
      </c>
      <c r="F111" s="54" t="s">
        <v>73</v>
      </c>
      <c r="G111" s="55">
        <v>58</v>
      </c>
      <c r="H111" s="56" t="s">
        <v>21</v>
      </c>
      <c r="I111" s="59">
        <v>271</v>
      </c>
    </row>
    <row r="112" spans="1:9" ht="17" customHeight="1">
      <c r="A112" s="39">
        <v>44371</v>
      </c>
      <c r="B112" s="40" t="str">
        <f ca="1">IFERROR(__xludf.DUMMYFUNCTION("FILTER($J$2:$J$445,$K$2:$K$445=D63)"),"Native American Culture Association")</f>
        <v>Native American Culture Association</v>
      </c>
      <c r="C112" s="40" t="str">
        <f ca="1">IFERROR(__xludf.DUMMYFUNCTION("filter($M$1:$M$500, $N$1:$N$500=D63)"),"Cultural")</f>
        <v>Cultural</v>
      </c>
      <c r="D112" s="41">
        <v>1592</v>
      </c>
      <c r="E112" s="43">
        <v>500</v>
      </c>
      <c r="F112" s="58" t="s">
        <v>80</v>
      </c>
      <c r="G112" s="55">
        <v>328</v>
      </c>
      <c r="H112" s="56" t="s">
        <v>34</v>
      </c>
      <c r="I112" s="59">
        <v>301</v>
      </c>
    </row>
    <row r="113" spans="1:9" ht="17" customHeight="1">
      <c r="A113" s="39">
        <v>44371</v>
      </c>
      <c r="B113" s="40" t="str">
        <f ca="1">IFERROR(__xludf.DUMMYFUNCTION("FILTER($J$2:$J$445,$K$2:$K$445=D75)"),"Mishelanu (Hebrew Club)")</f>
        <v>Mishelanu (Hebrew Club)</v>
      </c>
      <c r="C113" s="40" t="str">
        <f ca="1">IFERROR(__xludf.DUMMYFUNCTION("filter($M$1:$M$500, $N$1:$N$500=D75)"),"Cultural")</f>
        <v>Cultural</v>
      </c>
      <c r="D113" s="41">
        <v>1412</v>
      </c>
      <c r="E113" s="43">
        <v>300</v>
      </c>
      <c r="F113" s="54" t="s">
        <v>92</v>
      </c>
      <c r="G113" s="55">
        <v>401</v>
      </c>
      <c r="H113" s="56" t="s">
        <v>30</v>
      </c>
      <c r="I113" s="59">
        <v>363</v>
      </c>
    </row>
    <row r="114" spans="1:9" ht="17" customHeight="1">
      <c r="A114" s="39">
        <v>44371</v>
      </c>
      <c r="B114" s="40" t="str">
        <f ca="1">IFERROR(__xludf.DUMMYFUNCTION("FILTER($J$2:$J$445,$K$2:$K$445=D91)"),"Wanawake")</f>
        <v>Wanawake</v>
      </c>
      <c r="C114" s="40" t="str">
        <f ca="1">IFERROR(__xludf.DUMMYFUNCTION("filter($M$1:$M$500, $N$1:$N$500=D91)"),"Cultural")</f>
        <v>Cultural</v>
      </c>
      <c r="D114" s="41">
        <v>1193</v>
      </c>
      <c r="E114" s="43">
        <v>490</v>
      </c>
      <c r="F114" s="54" t="s">
        <v>108</v>
      </c>
      <c r="G114" s="55">
        <v>29</v>
      </c>
      <c r="H114" s="56" t="s">
        <v>8</v>
      </c>
      <c r="I114" s="59">
        <v>494</v>
      </c>
    </row>
    <row r="115" spans="1:9" ht="17" customHeight="1">
      <c r="A115" s="39">
        <v>44371</v>
      </c>
      <c r="B115" s="40" t="str">
        <f ca="1">IFERROR(__xludf.DUMMYFUNCTION("FILTER($J$2:$J$445,$K$2:$K$445=D106)"),"Arab Cultural Club")</f>
        <v>Arab Cultural Club</v>
      </c>
      <c r="C115" s="40" t="str">
        <f ca="1">IFERROR(__xludf.DUMMYFUNCTION("filter($M$1:$M$500, $N$1:$N$500=D106)"),"Cultural")</f>
        <v>Cultural</v>
      </c>
      <c r="D115" s="41">
        <v>767</v>
      </c>
      <c r="E115" s="43">
        <v>860</v>
      </c>
      <c r="F115" s="58" t="s">
        <v>123</v>
      </c>
      <c r="G115" s="55">
        <v>1587</v>
      </c>
      <c r="H115" s="56" t="s">
        <v>8</v>
      </c>
      <c r="I115" s="59">
        <v>614</v>
      </c>
    </row>
    <row r="116" spans="1:9" ht="17" customHeight="1">
      <c r="A116" s="39">
        <v>44371</v>
      </c>
      <c r="B116" s="40" t="str">
        <f ca="1">IFERROR(__xludf.DUMMYFUNCTION("FILTER($J$2:$J$445,$K$2:$K$445=D113)"),"Desi Intercultural Youth Association")</f>
        <v>Desi Intercultural Youth Association</v>
      </c>
      <c r="C116" s="40" t="str">
        <f ca="1">IFERROR(__xludf.DUMMYFUNCTION("filter($M$1:$M$500, $N$1:$N$500=D113)"),"Cultural")</f>
        <v>Cultural</v>
      </c>
      <c r="D116" s="41">
        <v>722</v>
      </c>
      <c r="E116" s="42">
        <v>3700</v>
      </c>
      <c r="F116" s="54" t="s">
        <v>131</v>
      </c>
      <c r="G116" s="55">
        <v>710</v>
      </c>
      <c r="H116" s="56" t="s">
        <v>30</v>
      </c>
      <c r="I116" s="59">
        <v>639</v>
      </c>
    </row>
    <row r="117" spans="1:9" ht="17" customHeight="1">
      <c r="A117" s="39">
        <v>44371</v>
      </c>
      <c r="B117" s="40" t="str">
        <f ca="1">IFERROR(__xludf.DUMMYFUNCTION("FILTER($J$2:$J$445,$K$2:$K$445=D115)"),"Fusion: The Rutgers Union of Mixed People Student Organization of Rutgers")</f>
        <v>Fusion: The Rutgers Union of Mixed People Student Organization of Rutgers</v>
      </c>
      <c r="C117" s="40" t="str">
        <f ca="1">IFERROR(__xludf.DUMMYFUNCTION("filter($M$1:$M$500, $N$1:$N$500=D115)"),"Cultural")</f>
        <v>Cultural</v>
      </c>
      <c r="D117" s="41">
        <v>710</v>
      </c>
      <c r="E117" s="43">
        <v>2.0099999999999998</v>
      </c>
      <c r="F117" s="58" t="s">
        <v>133</v>
      </c>
      <c r="G117" s="55">
        <v>1387</v>
      </c>
      <c r="H117" s="56" t="s">
        <v>30</v>
      </c>
      <c r="I117" s="59">
        <v>653</v>
      </c>
    </row>
    <row r="118" spans="1:9" ht="17" customHeight="1">
      <c r="A118" s="39">
        <v>44371</v>
      </c>
      <c r="B118" s="40" t="str">
        <f ca="1">IFERROR(__xludf.DUMMYFUNCTION("FILTER($J$2:$J$445,$K$2:$K$445=D119)"),"The Black Men's Collective")</f>
        <v>The Black Men's Collective</v>
      </c>
      <c r="C118" s="40" t="str">
        <f ca="1">IFERROR(__xludf.DUMMYFUNCTION("filter($M$1:$M$500, $N$1:$N$500=D119)"),"Cultural")</f>
        <v>Cultural</v>
      </c>
      <c r="D118" s="41">
        <v>666</v>
      </c>
      <c r="E118" s="43">
        <v>70</v>
      </c>
      <c r="F118" s="58" t="s">
        <v>137</v>
      </c>
      <c r="G118" s="58" t="s">
        <v>128</v>
      </c>
      <c r="H118" s="56" t="s">
        <v>8</v>
      </c>
      <c r="I118" s="59">
        <v>666</v>
      </c>
    </row>
    <row r="119" spans="1:9" ht="17" customHeight="1">
      <c r="A119" s="39">
        <v>44371</v>
      </c>
      <c r="B119" s="40" t="str">
        <f ca="1">IFERROR(__xludf.DUMMYFUNCTION("FILTER($J$2:$J$445,$K$2:$K$445=D132)"),"Persian Cultural Club")</f>
        <v>Persian Cultural Club</v>
      </c>
      <c r="C119" s="40" t="str">
        <f ca="1">IFERROR(__xludf.DUMMYFUNCTION("filter($M$1:$M$500, $N$1:$N$500=D132)"),"Cultural")</f>
        <v>Cultural</v>
      </c>
      <c r="D119" s="41">
        <v>504</v>
      </c>
      <c r="E119" s="43">
        <v>400</v>
      </c>
      <c r="F119" s="54" t="s">
        <v>150</v>
      </c>
      <c r="G119" s="55">
        <v>1717</v>
      </c>
      <c r="H119" s="56" t="s">
        <v>17</v>
      </c>
      <c r="I119" s="59">
        <v>737</v>
      </c>
    </row>
    <row r="120" spans="1:9" ht="17" customHeight="1">
      <c r="A120" s="39">
        <v>44371</v>
      </c>
      <c r="B120" s="40" t="str">
        <f ca="1">IFERROR(__xludf.DUMMYFUNCTION("FILTER($J$2:$J$445,$K$2:$K$445=D133)"),"Taiwanese American Student Association")</f>
        <v>Taiwanese American Student Association</v>
      </c>
      <c r="C120" s="40" t="str">
        <f ca="1">IFERROR(__xludf.DUMMYFUNCTION("filter($M$1:$M$500, $N$1:$N$500=D133)"),"Cultural")</f>
        <v>Cultural</v>
      </c>
      <c r="D120" s="41">
        <v>494</v>
      </c>
      <c r="E120" s="43">
        <v>900</v>
      </c>
      <c r="F120" s="54" t="s">
        <v>151</v>
      </c>
      <c r="G120" s="55">
        <v>1786</v>
      </c>
      <c r="H120" s="56" t="s">
        <v>17</v>
      </c>
      <c r="I120" s="59">
        <v>741</v>
      </c>
    </row>
    <row r="121" spans="1:9" ht="17" customHeight="1">
      <c r="A121" s="39">
        <v>44371</v>
      </c>
      <c r="B121" s="40" t="str">
        <f ca="1">IFERROR(__xludf.DUMMYFUNCTION("FILTER($J$2:$J$445,$K$2:$K$445=D144)"),"Vietnamese Student Association")</f>
        <v>Vietnamese Student Association</v>
      </c>
      <c r="C121" s="40" t="str">
        <f ca="1">IFERROR(__xludf.DUMMYFUNCTION("filter($M$1:$M$500, $N$1:$N$500=D144)"),"Cultural")</f>
        <v>Cultural</v>
      </c>
      <c r="D121" s="41">
        <v>353</v>
      </c>
      <c r="E121" s="42">
        <v>1829.8</v>
      </c>
      <c r="F121" s="58" t="s">
        <v>163</v>
      </c>
      <c r="G121" s="55">
        <v>93</v>
      </c>
      <c r="H121" s="56" t="s">
        <v>34</v>
      </c>
      <c r="I121" s="59">
        <v>831</v>
      </c>
    </row>
    <row r="122" spans="1:9" ht="17" customHeight="1">
      <c r="A122" s="39">
        <v>44371</v>
      </c>
      <c r="B122" s="40" t="str">
        <f ca="1">IFERROR(__xludf.DUMMYFUNCTION("FILTER($J$2:$J$445,$K$2:$K$445=D146)"),"Union Estudiantil Puertorriquen")</f>
        <v>Union Estudiantil Puertorriquen</v>
      </c>
      <c r="C122" s="40" t="str">
        <f ca="1">IFERROR(__xludf.DUMMYFUNCTION("filter($M$1:$M$500, $N$1:$N$500=D146)"),"Cultural")</f>
        <v>Cultural</v>
      </c>
      <c r="D122" s="41">
        <v>347</v>
      </c>
      <c r="E122" s="42">
        <v>1060</v>
      </c>
      <c r="F122" s="58" t="s">
        <v>165</v>
      </c>
      <c r="G122" s="58" t="s">
        <v>128</v>
      </c>
      <c r="H122" s="56" t="s">
        <v>30</v>
      </c>
      <c r="I122" s="59">
        <v>1023</v>
      </c>
    </row>
    <row r="123" spans="1:9" ht="17" customHeight="1">
      <c r="A123" s="39">
        <v>44371</v>
      </c>
      <c r="B123" s="40" t="str">
        <f ca="1">IFERROR(__xludf.DUMMYFUNCTION("FILTER($J$2:$J$445,$K$2:$K$445=D147)"),"Latino Student Council")</f>
        <v>Latino Student Council</v>
      </c>
      <c r="C123" s="40" t="str">
        <f ca="1">IFERROR(__xludf.DUMMYFUNCTION("filter($M$1:$M$500, $N$1:$N$500=D147)"),"Cultural")</f>
        <v>Cultural</v>
      </c>
      <c r="D123" s="41">
        <v>344</v>
      </c>
      <c r="E123" s="43">
        <v>400</v>
      </c>
      <c r="F123" s="54" t="s">
        <v>166</v>
      </c>
      <c r="G123" s="55">
        <v>142</v>
      </c>
      <c r="H123" s="56" t="s">
        <v>50</v>
      </c>
      <c r="I123" s="59">
        <v>1030</v>
      </c>
    </row>
    <row r="124" spans="1:9" ht="17" customHeight="1">
      <c r="A124" s="39">
        <v>44371</v>
      </c>
      <c r="B124" s="40" t="str">
        <f ca="1">IFERROR(__xludf.DUMMYFUNCTION("FILTER($J$2:$J$445,$K$2:$K$445=D150)"),"Association of Phillipine Students")</f>
        <v>Association of Phillipine Students</v>
      </c>
      <c r="C124" s="40" t="str">
        <f ca="1">IFERROR(__xludf.DUMMYFUNCTION("filter($M$1:$M$500, $N$1:$N$500=D150)"),"Cultural")</f>
        <v>Cultural</v>
      </c>
      <c r="D124" s="41">
        <v>295</v>
      </c>
      <c r="E124" s="42">
        <v>2400</v>
      </c>
      <c r="F124" s="54" t="s">
        <v>169</v>
      </c>
      <c r="G124" s="55">
        <v>1575</v>
      </c>
      <c r="H124" s="56" t="s">
        <v>50</v>
      </c>
      <c r="I124" s="59">
        <v>1054</v>
      </c>
    </row>
    <row r="125" spans="1:9" ht="17" customHeight="1">
      <c r="A125" s="39">
        <v>44371</v>
      </c>
      <c r="B125" s="40" t="str">
        <f ca="1">IFERROR(__xludf.DUMMYFUNCTION("FILTER($J$2:$J$445,$K$2:$K$445=D158)"),"Haitian Association")</f>
        <v>Haitian Association</v>
      </c>
      <c r="C125" s="40" t="str">
        <f ca="1">IFERROR(__xludf.DUMMYFUNCTION("filter($M$1:$M$500, $N$1:$N$500=D158)"),"Cultural")</f>
        <v>Cultural</v>
      </c>
      <c r="D125" s="41">
        <v>218</v>
      </c>
      <c r="E125" s="43">
        <v>263</v>
      </c>
      <c r="F125" s="54" t="s">
        <v>177</v>
      </c>
      <c r="G125" s="55">
        <v>1542</v>
      </c>
      <c r="H125" s="54" t="s">
        <v>17</v>
      </c>
      <c r="I125" s="59">
        <v>1108</v>
      </c>
    </row>
    <row r="126" spans="1:9" ht="17" customHeight="1">
      <c r="A126" s="39">
        <v>44371</v>
      </c>
      <c r="B126" s="40" t="str">
        <f ca="1">IFERROR(__xludf.DUMMYFUNCTION("FILTER($J$2:$J$445,$K$2:$K$445=D163)"),"Korean Student Association")</f>
        <v>Korean Student Association</v>
      </c>
      <c r="C126" s="40" t="str">
        <f ca="1">IFERROR(__xludf.DUMMYFUNCTION("filter($M$1:$M$500, $N$1:$N$500=D163)"),"Cultural")</f>
        <v>Cultural</v>
      </c>
      <c r="D126" s="41">
        <v>164</v>
      </c>
      <c r="E126" s="43">
        <v>750</v>
      </c>
      <c r="F126" s="58" t="s">
        <v>182</v>
      </c>
      <c r="G126" s="55">
        <v>222</v>
      </c>
      <c r="H126" s="56" t="s">
        <v>21</v>
      </c>
      <c r="I126" s="59">
        <v>1143</v>
      </c>
    </row>
    <row r="127" spans="1:9" ht="17" customHeight="1">
      <c r="A127" s="39">
        <v>44371</v>
      </c>
      <c r="B127" s="40" t="str">
        <f ca="1">IFERROR(__xludf.DUMMYFUNCTION("FILTER($J$2:$J$445,$K$2:$K$445=D167)"),"Italian Club")</f>
        <v>Italian Club</v>
      </c>
      <c r="C127" s="40" t="str">
        <f ca="1">IFERROR(__xludf.DUMMYFUNCTION("filter($M$1:$M$500, $N$1:$N$500=D167)"),"Cultural")</f>
        <v>Cultural</v>
      </c>
      <c r="D127" s="41">
        <v>148</v>
      </c>
      <c r="E127" s="42">
        <v>1970</v>
      </c>
      <c r="F127" s="54" t="s">
        <v>186</v>
      </c>
      <c r="G127" s="55">
        <v>1940</v>
      </c>
      <c r="H127" s="56" t="s">
        <v>66</v>
      </c>
      <c r="I127" s="59">
        <v>1184</v>
      </c>
    </row>
    <row r="128" spans="1:9" ht="17" customHeight="1">
      <c r="A128" s="39">
        <v>44371</v>
      </c>
      <c r="B128" s="40" t="str">
        <f ca="1">IFERROR(__xludf.DUMMYFUNCTION("FILTER($J$2:$J$445,$K$2:$K$445=D168)"),"International Student Association of Rutgers University")</f>
        <v>International Student Association of Rutgers University</v>
      </c>
      <c r="C128" s="40" t="str">
        <f ca="1">IFERROR(__xludf.DUMMYFUNCTION("filter($M$1:$M$500, $N$1:$N$500=D168)"),"Cultural")</f>
        <v>Cultural</v>
      </c>
      <c r="D128" s="41">
        <v>142</v>
      </c>
      <c r="E128" s="43">
        <v>250</v>
      </c>
      <c r="F128" s="54" t="s">
        <v>187</v>
      </c>
      <c r="G128" s="55">
        <v>164</v>
      </c>
      <c r="H128" s="56" t="s">
        <v>50</v>
      </c>
      <c r="I128" s="59">
        <v>1186</v>
      </c>
    </row>
    <row r="129" spans="1:9" ht="17" customHeight="1">
      <c r="A129" s="39">
        <v>44371</v>
      </c>
      <c r="B129" s="40" t="str">
        <f ca="1">IFERROR(__xludf.DUMMYFUNCTION("FILTER($J$2:$J$445,$K$2:$K$445=D169)"),"Hellenic Cultural Association")</f>
        <v>Hellenic Cultural Association</v>
      </c>
      <c r="C129" s="40" t="str">
        <f ca="1">IFERROR(__xludf.DUMMYFUNCTION("filter($M$1:$M$500, $N$1:$N$500=D169)"),"Cultural")</f>
        <v>Cultural</v>
      </c>
      <c r="D129" s="41">
        <v>136</v>
      </c>
      <c r="E129" s="43">
        <v>220</v>
      </c>
      <c r="F129" s="54" t="s">
        <v>188</v>
      </c>
      <c r="G129" s="55">
        <v>1574</v>
      </c>
      <c r="H129" s="56" t="s">
        <v>34</v>
      </c>
      <c r="I129" s="59">
        <v>1187</v>
      </c>
    </row>
    <row r="130" spans="1:9" ht="17" customHeight="1">
      <c r="A130" s="39">
        <v>44371</v>
      </c>
      <c r="B130" s="40" t="str">
        <f ca="1">IFERROR(__xludf.DUMMYFUNCTION("FILTER($J$2:$J$445,$K$2:$K$445=D175)"),"Twese The Organization for Africans and Friends of Africa")</f>
        <v>Twese The Organization for Africans and Friends of Africa</v>
      </c>
      <c r="C130" s="40" t="str">
        <f ca="1">IFERROR(__xludf.DUMMYFUNCTION("filter($M$1:$M$500, $N$1:$N$500=D175)"),"Cultural")</f>
        <v>Cultural</v>
      </c>
      <c r="D130" s="41">
        <v>74</v>
      </c>
      <c r="E130" s="42">
        <v>3981.02</v>
      </c>
      <c r="F130" s="58" t="s">
        <v>194</v>
      </c>
      <c r="G130" s="55">
        <v>784</v>
      </c>
      <c r="H130" s="56" t="s">
        <v>66</v>
      </c>
      <c r="I130" s="59">
        <v>1231</v>
      </c>
    </row>
    <row r="131" spans="1:9" ht="17" customHeight="1">
      <c r="A131" s="39">
        <v>44371</v>
      </c>
      <c r="B131" s="40" t="str">
        <f ca="1">IFERROR(__xludf.DUMMYFUNCTION("FILTER($J$2:$J$445,$K$2:$K$445=D177)"),"Bengali Students Association")</f>
        <v>Bengali Students Association</v>
      </c>
      <c r="C131" s="40" t="str">
        <f ca="1">IFERROR(__xludf.DUMMYFUNCTION("filter($M$1:$M$500, $N$1:$N$500=D177)"),"Cultural")</f>
        <v>Cultural</v>
      </c>
      <c r="D131" s="41">
        <v>63</v>
      </c>
      <c r="E131" s="43">
        <v>30</v>
      </c>
      <c r="F131" s="58" t="s">
        <v>196</v>
      </c>
      <c r="G131" s="55">
        <v>197</v>
      </c>
      <c r="H131" s="56" t="s">
        <v>28</v>
      </c>
      <c r="I131" s="59">
        <v>1239</v>
      </c>
    </row>
    <row r="132" spans="1:9" ht="17" customHeight="1">
      <c r="A132" s="39">
        <v>44371</v>
      </c>
      <c r="B132" s="40" t="str">
        <f ca="1">IFERROR(__xludf.DUMMYFUNCTION("FILTER($J$2:$J$445,$K$2:$K$445=D182)"),"Black Student Union")</f>
        <v>Black Student Union</v>
      </c>
      <c r="C132" s="40" t="str">
        <f ca="1">IFERROR(__xludf.DUMMYFUNCTION("filter($M$1:$M$500, $N$1:$N$500=D182)"),"Cultural")</f>
        <v>Cultural</v>
      </c>
      <c r="D132" s="41">
        <v>25</v>
      </c>
      <c r="E132" s="43">
        <v>500</v>
      </c>
      <c r="F132" s="54" t="s">
        <v>201</v>
      </c>
      <c r="G132" s="55">
        <v>1801</v>
      </c>
      <c r="H132" s="56" t="s">
        <v>21</v>
      </c>
      <c r="I132" s="59">
        <v>1278</v>
      </c>
    </row>
    <row r="133" spans="1:9" ht="17" customHeight="1">
      <c r="A133" s="39">
        <v>44371</v>
      </c>
      <c r="B133" s="40" t="str">
        <f ca="1">IFERROR(__xludf.DUMMYFUNCTION("FILTER($J$2:$J$445,$K$2:$K$445=D183)"),"Association of Indians at Rutgers")</f>
        <v>Association of Indians at Rutgers</v>
      </c>
      <c r="C133" s="40" t="str">
        <f ca="1">IFERROR(__xludf.DUMMYFUNCTION("filter($M$1:$M$500, $N$1:$N$500=D183)"),"Cultural")</f>
        <v>Cultural</v>
      </c>
      <c r="D133" s="41">
        <v>22</v>
      </c>
      <c r="E133" s="42">
        <v>10915</v>
      </c>
      <c r="F133" s="58" t="s">
        <v>202</v>
      </c>
      <c r="G133" s="55">
        <v>1899</v>
      </c>
      <c r="H133" s="56" t="s">
        <v>17</v>
      </c>
      <c r="I133" s="59">
        <v>1280</v>
      </c>
    </row>
    <row r="134" spans="1:9" ht="17" customHeight="1">
      <c r="A134" s="39">
        <v>44371</v>
      </c>
      <c r="B134" s="40" t="str">
        <f ca="1">IFERROR(__xludf.DUMMYFUNCTION("FILTER($J$2:$J$445,$K$2:$K$445=D184)"),"Latin American Womyn's Organization")</f>
        <v>Latin American Womyn's Organization</v>
      </c>
      <c r="C134" s="40" t="str">
        <f ca="1">IFERROR(__xludf.DUMMYFUNCTION("filter($M$1:$M$500, $N$1:$N$500=D184)"),"Cultural")</f>
        <v>Cultural</v>
      </c>
      <c r="D134" s="41">
        <v>6</v>
      </c>
      <c r="E134" s="43">
        <v>350</v>
      </c>
      <c r="F134" s="58" t="s">
        <v>203</v>
      </c>
      <c r="G134" s="55">
        <v>72</v>
      </c>
      <c r="H134" s="56" t="s">
        <v>8</v>
      </c>
      <c r="I134" s="59">
        <v>1292</v>
      </c>
    </row>
    <row r="135" spans="1:9" ht="17" customHeight="1">
      <c r="A135" s="39">
        <v>44371</v>
      </c>
      <c r="B135" s="40" t="str">
        <f ca="1">IFERROR(__xludf.DUMMYFUNCTION("FILTER($J$2:$J$445,$K$2:$K$445=D201)"),"Hong Kong Student Association")</f>
        <v>Hong Kong Student Association</v>
      </c>
      <c r="C135" s="40" t="str">
        <f ca="1">IFERROR(__xludf.DUMMYFUNCTION("filter($M$1:$M$500, $N$1:$N$500=D201)"),"Cultural")</f>
        <v>Cultural</v>
      </c>
      <c r="D135" s="41">
        <v>1944</v>
      </c>
      <c r="E135" s="43">
        <v>200</v>
      </c>
      <c r="F135" s="58" t="s">
        <v>220</v>
      </c>
      <c r="G135" s="55">
        <v>1334</v>
      </c>
      <c r="H135" s="56" t="s">
        <v>10</v>
      </c>
      <c r="I135" s="59">
        <v>1393</v>
      </c>
    </row>
    <row r="136" spans="1:9" ht="17" customHeight="1">
      <c r="A136" s="39">
        <v>44371</v>
      </c>
      <c r="B136" s="40" t="str">
        <f ca="1">IFERROR(__xludf.DUMMYFUNCTION("FILTER($J$2:$J$445,$K$2:$K$445=D205)"),"Celebrating Latinx Arts &amp; Works")</f>
        <v>Celebrating Latinx Arts &amp; Works</v>
      </c>
      <c r="C136" s="40" t="str">
        <f ca="1">IFERROR(__xludf.DUMMYFUNCTION("filter($M$1:$M$500, $N$1:$N$500=D205)"),"Cultural")</f>
        <v>Cultural</v>
      </c>
      <c r="D136" s="41">
        <v>1926</v>
      </c>
      <c r="E136" s="43">
        <v>720.83</v>
      </c>
      <c r="F136" s="58" t="s">
        <v>224</v>
      </c>
      <c r="G136" s="55">
        <v>287</v>
      </c>
      <c r="H136" s="56" t="s">
        <v>8</v>
      </c>
      <c r="I136" s="59">
        <v>1412</v>
      </c>
    </row>
    <row r="137" spans="1:9" ht="17" customHeight="1">
      <c r="A137" s="39">
        <v>44371</v>
      </c>
      <c r="B137" s="40" t="str">
        <f ca="1">IFERROR(__xludf.DUMMYFUNCTION("FILTER($J$2:$J$445,$K$2:$K$445=D222)"),"Mexican American Student Association")</f>
        <v>Mexican American Student Association</v>
      </c>
      <c r="C137" s="40" t="str">
        <f ca="1">IFERROR(__xludf.DUMMYFUNCTION("filter($M$1:$M$500, $N$1:$N$500=D222)"),"Cultural")</f>
        <v>Cultural</v>
      </c>
      <c r="D137" s="41">
        <v>1801</v>
      </c>
      <c r="E137" s="42">
        <v>1368.83</v>
      </c>
      <c r="F137" s="58" t="s">
        <v>241</v>
      </c>
      <c r="G137" s="55">
        <v>230</v>
      </c>
      <c r="H137" s="56" t="s">
        <v>66</v>
      </c>
      <c r="I137" s="59">
        <v>1486</v>
      </c>
    </row>
    <row r="138" spans="1:9" ht="17" customHeight="1">
      <c r="A138" s="39">
        <v>44371</v>
      </c>
      <c r="B138" s="40" t="str">
        <f ca="1">IFERROR(__xludf.DUMMYFUNCTION("FILTER($J$2:$J$445,$K$2:$K$445=D231)"),"RU Suryoyo")</f>
        <v>RU Suryoyo</v>
      </c>
      <c r="C138" s="40" t="str">
        <f ca="1">IFERROR(__xludf.DUMMYFUNCTION("filter($M$1:$M$500, $N$1:$N$500=D231)"),"Cultural")</f>
        <v>Cultural</v>
      </c>
      <c r="D138" s="41">
        <v>1758</v>
      </c>
      <c r="E138" s="43">
        <v>134</v>
      </c>
      <c r="F138" s="58" t="s">
        <v>250</v>
      </c>
      <c r="G138" s="55">
        <v>492</v>
      </c>
      <c r="H138" s="56" t="s">
        <v>17</v>
      </c>
      <c r="I138" s="59">
        <v>1513</v>
      </c>
    </row>
    <row r="139" spans="1:9" ht="17" customHeight="1">
      <c r="A139" s="39">
        <v>44371</v>
      </c>
      <c r="B139" s="40" t="str">
        <f ca="1">IFERROR(__xludf.DUMMYFUNCTION("FILTER($J$2:$J$445,$K$2:$K$445=D237)"),"Kendama Club")</f>
        <v>Kendama Club</v>
      </c>
      <c r="C139" s="40" t="str">
        <f ca="1">IFERROR(__xludf.DUMMYFUNCTION("filter($M$1:$M$500, $N$1:$N$500=D237)"),"Cultural")</f>
        <v>Cultural</v>
      </c>
      <c r="D139" s="41">
        <v>1703</v>
      </c>
      <c r="E139" s="43">
        <v>200</v>
      </c>
      <c r="F139" s="58" t="s">
        <v>256</v>
      </c>
      <c r="G139" s="55">
        <v>1656</v>
      </c>
      <c r="H139" s="56" t="s">
        <v>50</v>
      </c>
      <c r="I139" s="59">
        <v>1542</v>
      </c>
    </row>
    <row r="140" spans="1:9" ht="17" customHeight="1">
      <c r="A140" s="39">
        <v>44371</v>
      </c>
      <c r="B140" s="40" t="str">
        <f ca="1">IFERROR(__xludf.DUMMYFUNCTION("FILTER($J$2:$J$445,$K$2:$K$445=D267)"),"Out Of State Student Organization")</f>
        <v>Out Of State Student Organization</v>
      </c>
      <c r="C140" s="40" t="str">
        <f ca="1">IFERROR(__xludf.DUMMYFUNCTION("filter($M$1:$M$500, $N$1:$N$500=D267)"),"Cultural")</f>
        <v>Cultural</v>
      </c>
      <c r="D140" s="41">
        <v>1432</v>
      </c>
      <c r="E140" s="43">
        <v>354</v>
      </c>
      <c r="F140" s="58" t="s">
        <v>286</v>
      </c>
      <c r="G140" s="55">
        <v>1838</v>
      </c>
      <c r="H140" s="56" t="s">
        <v>21</v>
      </c>
      <c r="I140" s="59">
        <v>1694</v>
      </c>
    </row>
    <row r="141" spans="1:9" ht="17" customHeight="1">
      <c r="A141" s="39">
        <v>44371</v>
      </c>
      <c r="B141" s="40" t="str">
        <f ca="1">IFERROR(__xludf.DUMMYFUNCTION("FILTER($J$2:$J$445,$K$2:$K$445=D270)"),"Mishelanu (Hebrew Club)")</f>
        <v>Mishelanu (Hebrew Club)</v>
      </c>
      <c r="C141" s="40" t="str">
        <f ca="1">IFERROR(__xludf.DUMMYFUNCTION("filter($M$1:$M$500, $N$1:$N$500=D270)"),"Cultural")</f>
        <v>Cultural</v>
      </c>
      <c r="D141" s="41">
        <v>1412</v>
      </c>
      <c r="E141" s="43">
        <v>567</v>
      </c>
      <c r="F141" s="58" t="s">
        <v>289</v>
      </c>
      <c r="G141" s="58" t="s">
        <v>72</v>
      </c>
      <c r="H141" s="56" t="s">
        <v>153</v>
      </c>
      <c r="I141" s="59">
        <v>1716</v>
      </c>
    </row>
    <row r="142" spans="1:9" ht="17" customHeight="1">
      <c r="A142" s="39">
        <v>44371</v>
      </c>
      <c r="B142" s="40" t="str">
        <f ca="1">IFERROR(__xludf.DUMMYFUNCTION("FILTER($J$2:$J$445,$K$2:$K$445=D271)"),"Association of Punjabi Students")</f>
        <v>Association of Punjabi Students</v>
      </c>
      <c r="C142" s="40" t="str">
        <f ca="1">IFERROR(__xludf.DUMMYFUNCTION("filter($M$1:$M$500, $N$1:$N$500=D271)"),"Cultural")</f>
        <v>Cultural</v>
      </c>
      <c r="D142" s="41">
        <v>1410</v>
      </c>
      <c r="E142" s="43">
        <v>936.96</v>
      </c>
      <c r="F142" s="54" t="s">
        <v>290</v>
      </c>
      <c r="G142" s="55">
        <v>587</v>
      </c>
      <c r="H142" s="56" t="s">
        <v>28</v>
      </c>
      <c r="I142" s="59">
        <v>1717</v>
      </c>
    </row>
    <row r="143" spans="1:9" ht="17" customHeight="1">
      <c r="A143" s="39">
        <v>44371</v>
      </c>
      <c r="B143" s="40" t="str">
        <f ca="1">IFERROR(__xludf.DUMMYFUNCTION("FILTER($J$2:$J$445,$K$2:$K$445=D280)"),"Douglass D.I.V.A.S")</f>
        <v>Douglass D.I.V.A.S</v>
      </c>
      <c r="C143" s="40" t="str">
        <f ca="1">IFERROR(__xludf.DUMMYFUNCTION("filter($M$1:$M$500, $N$1:$N$500=D280)"),"Cultural")</f>
        <v>Cultural</v>
      </c>
      <c r="D143" s="41">
        <v>1294</v>
      </c>
      <c r="E143" s="43">
        <v>919</v>
      </c>
      <c r="F143" s="58" t="s">
        <v>299</v>
      </c>
      <c r="G143" s="55">
        <v>1319</v>
      </c>
      <c r="H143" s="56" t="s">
        <v>28</v>
      </c>
      <c r="I143" s="59">
        <v>1753</v>
      </c>
    </row>
    <row r="144" spans="1:9" ht="17" customHeight="1">
      <c r="A144" s="39">
        <v>44371</v>
      </c>
      <c r="B144" s="40" t="str">
        <f ca="1">IFERROR(__xludf.DUMMYFUNCTION("FILTER($J$2:$J$445,$K$2:$K$445=D281)"),"Sif Sangam")</f>
        <v>Sif Sangam</v>
      </c>
      <c r="C144" s="40" t="str">
        <f ca="1">IFERROR(__xludf.DUMMYFUNCTION("filter($M$1:$M$500, $N$1:$N$500=D281)"),"Cultural")</f>
        <v>Cultural</v>
      </c>
      <c r="D144" s="41">
        <v>1292</v>
      </c>
      <c r="E144" s="43">
        <v>539</v>
      </c>
      <c r="F144" s="54" t="s">
        <v>300</v>
      </c>
      <c r="G144" s="55">
        <v>1688</v>
      </c>
      <c r="H144" s="56" t="s">
        <v>17</v>
      </c>
      <c r="I144" s="59">
        <v>1754</v>
      </c>
    </row>
    <row r="145" spans="1:9" ht="17" customHeight="1">
      <c r="A145" s="39">
        <v>44371</v>
      </c>
      <c r="B145" s="40" t="str">
        <f ca="1">IFERROR(__xludf.DUMMYFUNCTION("FILTER($J$2:$J$445,$K$2:$K$445=D291)"),"Wanawake")</f>
        <v>Wanawake</v>
      </c>
      <c r="C145" s="40" t="str">
        <f ca="1">IFERROR(__xludf.DUMMYFUNCTION("filter($M$1:$M$500, $N$1:$N$500=D291)"),"Cultural")</f>
        <v>Cultural</v>
      </c>
      <c r="D145" s="41">
        <v>1193</v>
      </c>
      <c r="E145" s="43">
        <v>803</v>
      </c>
      <c r="F145" s="58" t="s">
        <v>310</v>
      </c>
      <c r="G145" s="55">
        <v>1891</v>
      </c>
      <c r="H145" s="56" t="s">
        <v>50</v>
      </c>
      <c r="I145" s="59">
        <v>1783</v>
      </c>
    </row>
    <row r="146" spans="1:9" ht="17" customHeight="1">
      <c r="A146" s="39">
        <v>44371</v>
      </c>
      <c r="B146" s="40" t="str">
        <f ca="1">IFERROR(__xludf.DUMMYFUNCTION("FILTER($J$2:$J$445,$K$2:$K$445=D304)"),"Arab Cultural Club")</f>
        <v>Arab Cultural Club</v>
      </c>
      <c r="C146" s="40" t="str">
        <f ca="1">IFERROR(__xludf.DUMMYFUNCTION("filter($M$1:$M$500, $N$1:$N$500=D304)"),"Cultural")</f>
        <v>Cultural</v>
      </c>
      <c r="D146" s="41">
        <v>767</v>
      </c>
      <c r="E146" s="42">
        <v>1334.66</v>
      </c>
      <c r="F146" s="58" t="s">
        <v>323</v>
      </c>
      <c r="G146" s="55">
        <v>831</v>
      </c>
      <c r="H146" s="56" t="s">
        <v>8</v>
      </c>
      <c r="I146" s="59">
        <v>1828</v>
      </c>
    </row>
    <row r="147" spans="1:9" ht="17" customHeight="1">
      <c r="A147" s="39">
        <v>44371</v>
      </c>
      <c r="B147" s="40" t="str">
        <f ca="1">IFERROR(__xludf.DUMMYFUNCTION("FILTER($J$2:$J$445,$K$2:$K$445=D306)"),"LASO (Latin American Student Organization)")</f>
        <v>LASO (Latin American Student Organization)</v>
      </c>
      <c r="C147" s="40" t="str">
        <f ca="1">IFERROR(__xludf.DUMMYFUNCTION("filter($M$1:$M$500, $N$1:$N$500=D306)"),"Cultural")</f>
        <v>Cultural</v>
      </c>
      <c r="D147" s="41">
        <v>759</v>
      </c>
      <c r="E147" s="42">
        <v>1185.83</v>
      </c>
      <c r="F147" s="58" t="s">
        <v>325</v>
      </c>
      <c r="G147" s="55">
        <v>1681</v>
      </c>
      <c r="H147" s="56" t="s">
        <v>153</v>
      </c>
      <c r="I147" s="59">
        <v>1830</v>
      </c>
    </row>
    <row r="148" spans="1:9" ht="17" customHeight="1">
      <c r="A148" s="39">
        <v>44371</v>
      </c>
      <c r="B148" s="40" t="str">
        <f ca="1">IFERROR(__xludf.DUMMYFUNCTION("FILTER($J$2:$J$445,$K$2:$K$445=D312)"),"Desi Intercultural Youth Association")</f>
        <v>Desi Intercultural Youth Association</v>
      </c>
      <c r="C148" s="40" t="str">
        <f ca="1">IFERROR(__xludf.DUMMYFUNCTION("filter($M$1:$M$500, $N$1:$N$500=D312)"),"Cultural")</f>
        <v>Cultural</v>
      </c>
      <c r="D148" s="41">
        <v>722</v>
      </c>
      <c r="E148" s="43">
        <v>211.95</v>
      </c>
      <c r="F148" s="58" t="s">
        <v>331</v>
      </c>
      <c r="G148" s="55">
        <v>493</v>
      </c>
      <c r="H148" s="56" t="s">
        <v>21</v>
      </c>
      <c r="I148" s="59">
        <v>1839</v>
      </c>
    </row>
    <row r="149" spans="1:9" ht="17" customHeight="1">
      <c r="A149" s="39">
        <v>44371</v>
      </c>
      <c r="B149" s="40" t="str">
        <f ca="1">IFERROR(__xludf.DUMMYFUNCTION("FILTER($J$2:$J$445,$K$2:$K$445=D313)"),"Fusion: The Rutgers Union of Mixed People Student Organization of Rutgers")</f>
        <v>Fusion: The Rutgers Union of Mixed People Student Organization of Rutgers</v>
      </c>
      <c r="C149" s="40" t="str">
        <f ca="1">IFERROR(__xludf.DUMMYFUNCTION("filter($M$1:$M$500, $N$1:$N$500=D313)"),"Cultural")</f>
        <v>Cultural</v>
      </c>
      <c r="D149" s="41">
        <v>710</v>
      </c>
      <c r="E149" s="43">
        <v>171</v>
      </c>
      <c r="F149" s="54" t="s">
        <v>332</v>
      </c>
      <c r="G149" s="55">
        <v>1646</v>
      </c>
      <c r="H149" s="56" t="s">
        <v>50</v>
      </c>
      <c r="I149" s="59">
        <v>1845</v>
      </c>
    </row>
    <row r="150" spans="1:9" ht="17" customHeight="1">
      <c r="A150" s="39">
        <v>44371</v>
      </c>
      <c r="B150" s="40" t="str">
        <f ca="1">IFERROR(__xludf.DUMMYFUNCTION("FILTER($J$2:$J$445,$K$2:$K$445=D317)"),"The Black Men's Collective")</f>
        <v>The Black Men's Collective</v>
      </c>
      <c r="C150" s="40" t="str">
        <f ca="1">IFERROR(__xludf.DUMMYFUNCTION("filter($M$1:$M$500, $N$1:$N$500=D317)"),"Cultural")</f>
        <v>Cultural</v>
      </c>
      <c r="D150" s="41">
        <v>666</v>
      </c>
      <c r="E150" s="43">
        <v>25</v>
      </c>
      <c r="F150" s="58" t="s">
        <v>337</v>
      </c>
      <c r="G150" s="55">
        <v>1674</v>
      </c>
      <c r="H150" s="56" t="s">
        <v>8</v>
      </c>
      <c r="I150" s="59">
        <v>1871</v>
      </c>
    </row>
    <row r="151" spans="1:9" ht="17" customHeight="1">
      <c r="A151" s="39">
        <v>44371</v>
      </c>
      <c r="B151" s="40" t="str">
        <f ca="1">IFERROR(__xludf.DUMMYFUNCTION("FILTER($J$2:$J$445,$K$2:$K$445=D325)"),"Japanese Visual Culture Association")</f>
        <v>Japanese Visual Culture Association</v>
      </c>
      <c r="C151" s="40" t="str">
        <f ca="1">IFERROR(__xludf.DUMMYFUNCTION("filter($M$1:$M$500, $N$1:$N$500=D325)"),"Cultural")</f>
        <v>Cultural</v>
      </c>
      <c r="D151" s="41">
        <v>614</v>
      </c>
      <c r="E151" s="43">
        <v>290</v>
      </c>
      <c r="F151" s="54" t="s">
        <v>345</v>
      </c>
      <c r="G151" s="55">
        <v>293</v>
      </c>
      <c r="H151" s="56" t="s">
        <v>50</v>
      </c>
      <c r="I151" s="59">
        <v>1880</v>
      </c>
    </row>
    <row r="152" spans="1:9" ht="17" customHeight="1">
      <c r="A152" s="39">
        <v>44371</v>
      </c>
      <c r="B152" s="40" t="str">
        <f ca="1">IFERROR(__xludf.DUMMYFUNCTION("FILTER($J$2:$J$445,$K$2:$K$445=D330)"),"Persian Cultural Club")</f>
        <v>Persian Cultural Club</v>
      </c>
      <c r="C152" s="40" t="str">
        <f ca="1">IFERROR(__xludf.DUMMYFUNCTION("filter($M$1:$M$500, $N$1:$N$500=D330)"),"Cultural")</f>
        <v>Cultural</v>
      </c>
      <c r="D152" s="41">
        <v>504</v>
      </c>
      <c r="E152" s="43">
        <v>600</v>
      </c>
      <c r="F152" s="58" t="s">
        <v>350</v>
      </c>
      <c r="G152" s="55">
        <v>1672</v>
      </c>
      <c r="H152" s="56" t="s">
        <v>50</v>
      </c>
      <c r="I152" s="59">
        <v>1896</v>
      </c>
    </row>
    <row r="153" spans="1:9" ht="17" customHeight="1">
      <c r="A153" s="39">
        <v>44371</v>
      </c>
      <c r="B153" s="40" t="str">
        <f ca="1">IFERROR(__xludf.DUMMYFUNCTION("FILTER($J$2:$J$445,$K$2:$K$445=D331)"),"Sikh Student Association")</f>
        <v>Sikh Student Association</v>
      </c>
      <c r="C153" s="40" t="str">
        <f ca="1">IFERROR(__xludf.DUMMYFUNCTION("filter($M$1:$M$500, $N$1:$N$500=D331)"),"Cultural")</f>
        <v>Cultural</v>
      </c>
      <c r="D153" s="41">
        <v>495</v>
      </c>
      <c r="E153" s="43">
        <v>75</v>
      </c>
      <c r="F153" s="54" t="s">
        <v>351</v>
      </c>
      <c r="G153" s="55">
        <v>170</v>
      </c>
      <c r="H153" s="56" t="s">
        <v>28</v>
      </c>
      <c r="I153" s="59">
        <v>1899</v>
      </c>
    </row>
    <row r="154" spans="1:9" ht="17" customHeight="1">
      <c r="A154" s="39">
        <v>44371</v>
      </c>
      <c r="B154" s="40" t="str">
        <f ca="1">IFERROR(__xludf.DUMMYFUNCTION("FILTER($J$2:$J$445,$K$2:$K$445=D332)"),"Taiwanese American Student Association")</f>
        <v>Taiwanese American Student Association</v>
      </c>
      <c r="C154" s="40" t="str">
        <f ca="1">IFERROR(__xludf.DUMMYFUNCTION("filter($M$1:$M$500, $N$1:$N$500=D332)"),"Cultural")</f>
        <v>Cultural</v>
      </c>
      <c r="D154" s="41">
        <v>494</v>
      </c>
      <c r="E154" s="43">
        <v>685.25</v>
      </c>
      <c r="F154" s="58" t="s">
        <v>352</v>
      </c>
      <c r="G154" s="55">
        <v>1818</v>
      </c>
      <c r="H154" s="56" t="s">
        <v>353</v>
      </c>
      <c r="I154" s="59">
        <v>1905</v>
      </c>
    </row>
    <row r="155" spans="1:9" ht="17" customHeight="1">
      <c r="A155" s="39">
        <v>44371</v>
      </c>
      <c r="B155" s="40" t="str">
        <f ca="1">IFERROR(__xludf.DUMMYFUNCTION("FILTER($J$2:$J$445,$K$2:$K$445=D335)"),"United Black Council")</f>
        <v>United Black Council</v>
      </c>
      <c r="C155" s="40" t="str">
        <f ca="1">IFERROR(__xludf.DUMMYFUNCTION("filter($M$1:$M$500, $N$1:$N$500=D335)"),"Cultural")</f>
        <v>Cultural</v>
      </c>
      <c r="D155" s="41">
        <v>468</v>
      </c>
      <c r="E155" s="43">
        <v>602.62</v>
      </c>
      <c r="F155" s="54" t="s">
        <v>356</v>
      </c>
      <c r="G155" s="55">
        <v>1487</v>
      </c>
      <c r="H155" s="56" t="s">
        <v>50</v>
      </c>
      <c r="I155" s="59">
        <v>1908</v>
      </c>
    </row>
    <row r="156" spans="1:9" ht="17" customHeight="1">
      <c r="A156" s="39">
        <v>44371</v>
      </c>
      <c r="B156" s="40" t="str">
        <f ca="1">IFERROR(__xludf.DUMMYFUNCTION("FILTER($J$2:$J$445,$K$2:$K$445=D336)"),"Asian Student Council")</f>
        <v>Asian Student Council</v>
      </c>
      <c r="C156" s="40" t="str">
        <f ca="1">IFERROR(__xludf.DUMMYFUNCTION("filter($M$1:$M$500, $N$1:$N$500=D336)"),"Cultural")</f>
        <v>Cultural</v>
      </c>
      <c r="D156" s="41">
        <v>452</v>
      </c>
      <c r="E156" s="43">
        <v>830</v>
      </c>
      <c r="F156" s="54" t="s">
        <v>357</v>
      </c>
      <c r="G156" s="55">
        <v>702</v>
      </c>
      <c r="H156" s="56" t="s">
        <v>353</v>
      </c>
      <c r="I156" s="59">
        <v>1910</v>
      </c>
    </row>
    <row r="157" spans="1:9" ht="17" customHeight="1">
      <c r="A157" s="39">
        <v>44371</v>
      </c>
      <c r="B157" s="40" t="str">
        <f ca="1">IFERROR(__xludf.DUMMYFUNCTION("FILTER($J$2:$J$445,$K$2:$K$445=D346)"),"West Indian Student Organization")</f>
        <v>West Indian Student Organization</v>
      </c>
      <c r="C157" s="40" t="str">
        <f ca="1">IFERROR(__xludf.DUMMYFUNCTION("filter($M$1:$M$500, $N$1:$N$500=D346)"),"Cultural")</f>
        <v>Cultural</v>
      </c>
      <c r="D157" s="41">
        <v>357</v>
      </c>
      <c r="E157" s="42">
        <v>1265.83</v>
      </c>
      <c r="F157" s="58" t="s">
        <v>367</v>
      </c>
      <c r="G157" s="55">
        <v>1600</v>
      </c>
      <c r="H157" s="56" t="s">
        <v>8</v>
      </c>
      <c r="I157" s="59">
        <v>1941</v>
      </c>
    </row>
    <row r="158" spans="1:9" ht="17" customHeight="1">
      <c r="A158" s="39">
        <v>44371</v>
      </c>
      <c r="B158" s="40" t="str">
        <f ca="1">IFERROR(__xludf.DUMMYFUNCTION("FILTER($J$2:$J$445,$K$2:$K$445=D347)"),"Vietnamese Student Association")</f>
        <v>Vietnamese Student Association</v>
      </c>
      <c r="C158" s="40" t="str">
        <f ca="1">IFERROR(__xludf.DUMMYFUNCTION("filter($M$1:$M$500, $N$1:$N$500=D347)"),"Cultural")</f>
        <v>Cultural</v>
      </c>
      <c r="D158" s="41">
        <v>353</v>
      </c>
      <c r="E158" s="42">
        <v>1401.04</v>
      </c>
      <c r="F158" s="54" t="s">
        <v>368</v>
      </c>
      <c r="G158" s="55">
        <v>1237</v>
      </c>
      <c r="H158" s="56" t="s">
        <v>60</v>
      </c>
      <c r="I158" s="59">
        <v>1942</v>
      </c>
    </row>
    <row r="159" spans="1:9" ht="17" customHeight="1">
      <c r="A159" s="39">
        <v>44371</v>
      </c>
      <c r="B159" s="40" t="str">
        <f ca="1">IFERROR(__xludf.DUMMYFUNCTION("FILTER($J$2:$J$445,$K$2:$K$445=D349)"),"Turkish Culture Club")</f>
        <v>Turkish Culture Club</v>
      </c>
      <c r="C159" s="40" t="str">
        <f ca="1">IFERROR(__xludf.DUMMYFUNCTION("filter($M$1:$M$500, $N$1:$N$500=D349)"),"Cultural")</f>
        <v>Cultural</v>
      </c>
      <c r="D159" s="41">
        <v>346</v>
      </c>
      <c r="E159" s="43">
        <v>337</v>
      </c>
      <c r="F159" s="58" t="s">
        <v>370</v>
      </c>
      <c r="G159" s="55">
        <v>1652</v>
      </c>
      <c r="H159" s="56" t="s">
        <v>8</v>
      </c>
      <c r="I159" s="59">
        <v>1944</v>
      </c>
    </row>
    <row r="160" spans="1:9" ht="17" customHeight="1">
      <c r="A160" s="39">
        <v>44371</v>
      </c>
      <c r="B160" s="40" t="str">
        <f ca="1">IFERROR(__xludf.DUMMYFUNCTION("FILTER($J$2:$J$445,$K$2:$K$445=D350)"),"Latino Student Council")</f>
        <v>Latino Student Council</v>
      </c>
      <c r="C160" s="40" t="str">
        <f ca="1">IFERROR(__xludf.DUMMYFUNCTION("filter($M$1:$M$500, $N$1:$N$500=D350)"),"Cultural")</f>
        <v>Cultural</v>
      </c>
      <c r="D160" s="41">
        <v>344</v>
      </c>
      <c r="E160" s="42">
        <v>1493</v>
      </c>
      <c r="F160" s="54" t="s">
        <v>371</v>
      </c>
      <c r="G160" s="55">
        <v>1653</v>
      </c>
      <c r="H160" s="56" t="s">
        <v>60</v>
      </c>
      <c r="I160" s="59">
        <v>1945</v>
      </c>
    </row>
    <row r="161" spans="1:9" ht="17" customHeight="1">
      <c r="A161" s="44">
        <v>44371</v>
      </c>
      <c r="B161" s="45" t="str">
        <f ca="1">IFERROR(__xludf.DUMMYFUNCTION("FILTER($J$2:$J$445,$K$2:$K$445=D355)"),"Association of Phillipine Students")</f>
        <v>Association of Phillipine Students</v>
      </c>
      <c r="C161" s="45" t="str">
        <f ca="1">IFERROR(__xludf.DUMMYFUNCTION("filter($M$1:$M$500, $N$1:$N$500=D355)"),"Cultural")</f>
        <v>Cultural</v>
      </c>
      <c r="D161" s="46">
        <v>295</v>
      </c>
      <c r="E161" s="47">
        <v>450</v>
      </c>
      <c r="F161" s="58" t="s">
        <v>376</v>
      </c>
      <c r="G161" s="55">
        <v>1773</v>
      </c>
      <c r="H161" s="56" t="s">
        <v>377</v>
      </c>
      <c r="I161" s="63">
        <v>1950</v>
      </c>
    </row>
    <row r="162" spans="1:9" ht="17" customHeight="1">
      <c r="A162" s="39">
        <v>44371</v>
      </c>
      <c r="B162" s="40" t="str">
        <f ca="1">IFERROR(__xludf.DUMMYFUNCTION("FILTER($J$2:$J$445,$K$2:$K$445=D358)"),"Organization of Luso-Americans")</f>
        <v>Organization of Luso-Americans</v>
      </c>
      <c r="C162" s="40" t="str">
        <f ca="1">IFERROR(__xludf.DUMMYFUNCTION("filter($M$1:$M$500, $N$1:$N$500=D358)"),"Cultural")</f>
        <v>Cultural</v>
      </c>
      <c r="D162" s="41">
        <v>287</v>
      </c>
      <c r="E162" s="43">
        <v>28</v>
      </c>
      <c r="F162" s="58" t="s">
        <v>380</v>
      </c>
      <c r="G162" s="55">
        <v>1012</v>
      </c>
      <c r="H162" s="56" t="s">
        <v>34</v>
      </c>
      <c r="I162" s="59">
        <v>1953</v>
      </c>
    </row>
    <row r="163" spans="1:9" ht="17" customHeight="1">
      <c r="A163" s="39">
        <v>44371</v>
      </c>
      <c r="B163" s="40" t="str">
        <f ca="1">IFERROR(__xludf.DUMMYFUNCTION("FILTER($J$2:$J$445,$K$2:$K$445=D362)"),"Polish Club")</f>
        <v>Polish Club</v>
      </c>
      <c r="C163" s="40" t="str">
        <f ca="1">IFERROR(__xludf.DUMMYFUNCTION("filter($M$1:$M$500, $N$1:$N$500=D362)"),"Cultural")</f>
        <v>Cultural</v>
      </c>
      <c r="D163" s="41">
        <v>230</v>
      </c>
      <c r="E163" s="43">
        <v>539</v>
      </c>
      <c r="F163" s="58" t="s">
        <v>384</v>
      </c>
      <c r="G163" s="55">
        <v>437</v>
      </c>
      <c r="H163" s="56" t="s">
        <v>8</v>
      </c>
      <c r="I163" s="59">
        <v>1958</v>
      </c>
    </row>
    <row r="164" spans="1:9" ht="17" customHeight="1">
      <c r="A164" s="39">
        <v>44371</v>
      </c>
      <c r="B164" s="40" t="str">
        <f ca="1">IFERROR(__xludf.DUMMYFUNCTION("FILTER($J$2:$J$445,$K$2:$K$445=D369)"),"Korean Student Association")</f>
        <v>Korean Student Association</v>
      </c>
      <c r="C164" s="40" t="str">
        <f ca="1">IFERROR(__xludf.DUMMYFUNCTION("filter($M$1:$M$500, $N$1:$N$500=D369)"),"Cultural")</f>
        <v>Cultural</v>
      </c>
      <c r="D164" s="41">
        <v>164</v>
      </c>
      <c r="E164" s="43">
        <v>224</v>
      </c>
      <c r="F164" s="58" t="s">
        <v>391</v>
      </c>
      <c r="G164" s="55">
        <v>615</v>
      </c>
    </row>
    <row r="165" spans="1:9" ht="17" customHeight="1">
      <c r="A165" s="39">
        <v>44371</v>
      </c>
      <c r="B165" s="40" t="str">
        <f ca="1">IFERROR(__xludf.DUMMYFUNCTION("FILTER($J$2:$J$445,$K$2:$K$445=D372)"),"Italian Club")</f>
        <v>Italian Club</v>
      </c>
      <c r="C165" s="40" t="str">
        <f ca="1">IFERROR(__xludf.DUMMYFUNCTION("filter($M$1:$M$500, $N$1:$N$500=D372)"),"Cultural")</f>
        <v>Cultural</v>
      </c>
      <c r="D165" s="41">
        <v>148</v>
      </c>
      <c r="E165" s="43">
        <v>714.25</v>
      </c>
      <c r="F165" s="54" t="s">
        <v>394</v>
      </c>
      <c r="G165" s="55">
        <v>386</v>
      </c>
    </row>
    <row r="166" spans="1:9" ht="17" customHeight="1">
      <c r="A166" s="39">
        <v>44371</v>
      </c>
      <c r="B166" s="40" t="str">
        <f ca="1">IFERROR(__xludf.DUMMYFUNCTION("FILTER($J$2:$J$445,$K$2:$K$445=D374)"),"International Student Association of Rutgers University")</f>
        <v>International Student Association of Rutgers University</v>
      </c>
      <c r="C166" s="40" t="str">
        <f ca="1">IFERROR(__xludf.DUMMYFUNCTION("filter($M$1:$M$500, $N$1:$N$500=D374)"),"Cultural")</f>
        <v>Cultural</v>
      </c>
      <c r="D166" s="41">
        <v>142</v>
      </c>
      <c r="E166" s="43">
        <v>450</v>
      </c>
      <c r="F166" s="58" t="s">
        <v>396</v>
      </c>
      <c r="G166" s="55">
        <v>1694</v>
      </c>
    </row>
    <row r="167" spans="1:9" ht="17" customHeight="1">
      <c r="A167" s="39">
        <v>44371</v>
      </c>
      <c r="B167" s="40" t="str">
        <f ca="1">IFERROR(__xludf.DUMMYFUNCTION("FILTER($J$2:$J$445,$K$2:$K$445=D375)"),"Hellenic Cultural Association")</f>
        <v>Hellenic Cultural Association</v>
      </c>
      <c r="C167" s="40" t="str">
        <f ca="1">IFERROR(__xludf.DUMMYFUNCTION("filter($M$1:$M$500, $N$1:$N$500=D375)"),"Cultural")</f>
        <v>Cultural</v>
      </c>
      <c r="D167" s="41">
        <v>136</v>
      </c>
      <c r="E167" s="43">
        <v>200</v>
      </c>
      <c r="F167" s="58" t="s">
        <v>397</v>
      </c>
      <c r="G167" s="55">
        <v>1829</v>
      </c>
    </row>
    <row r="168" spans="1:9" ht="17" customHeight="1">
      <c r="A168" s="39">
        <v>44371</v>
      </c>
      <c r="B168" s="40" t="str">
        <f ca="1">IFERROR(__xludf.DUMMYFUNCTION("FILTER($J$2:$J$445,$K$2:$K$445=D383)"),"Twese The Organization for Africans and Friends of Africa")</f>
        <v>Twese The Organization for Africans and Friends of Africa</v>
      </c>
      <c r="C168" s="40" t="str">
        <f ca="1">IFERROR(__xludf.DUMMYFUNCTION("filter($M$1:$M$500, $N$1:$N$500=D383)"),"Cultural")</f>
        <v>Cultural</v>
      </c>
      <c r="D168" s="41">
        <v>74</v>
      </c>
      <c r="E168" s="43">
        <v>779</v>
      </c>
      <c r="F168" s="58" t="s">
        <v>405</v>
      </c>
      <c r="G168" s="55">
        <v>1141</v>
      </c>
    </row>
    <row r="169" spans="1:9" ht="17" customHeight="1">
      <c r="A169" s="39">
        <v>44371</v>
      </c>
      <c r="B169" s="40" t="str">
        <f ca="1">IFERROR(__xludf.DUMMYFUNCTION("FILTER($J$2:$J$445,$K$2:$K$445=D387)"),"Bengali Students Association")</f>
        <v>Bengali Students Association</v>
      </c>
      <c r="C169" s="40" t="str">
        <f ca="1">IFERROR(__xludf.DUMMYFUNCTION("filter($M$1:$M$500, $N$1:$N$500=D387)"),"Cultural")</f>
        <v>Cultural</v>
      </c>
      <c r="D169" s="41">
        <v>63</v>
      </c>
      <c r="E169" s="43">
        <v>309</v>
      </c>
      <c r="F169" s="58" t="s">
        <v>409</v>
      </c>
      <c r="G169" s="55">
        <v>1231</v>
      </c>
    </row>
    <row r="170" spans="1:9" ht="17" customHeight="1">
      <c r="A170" s="39">
        <v>44371</v>
      </c>
      <c r="B170" s="40" t="str">
        <f ca="1">IFERROR(__xludf.DUMMYFUNCTION("FILTER($J$2:$J$445,$K$2:$K$445=D388)"),"Chinese Student Organization")</f>
        <v>Chinese Student Organization</v>
      </c>
      <c r="C170" s="40" t="str">
        <f ca="1">IFERROR(__xludf.DUMMYFUNCTION("filter($M$1:$M$500, $N$1:$N$500=D388)"),"Cultural")</f>
        <v>Cultural</v>
      </c>
      <c r="D170" s="41">
        <v>62</v>
      </c>
      <c r="E170" s="43">
        <v>684.86</v>
      </c>
      <c r="F170" s="54" t="s">
        <v>410</v>
      </c>
      <c r="G170" s="55">
        <v>1957</v>
      </c>
    </row>
    <row r="171" spans="1:9" ht="17" customHeight="1">
      <c r="A171" s="39">
        <v>44371</v>
      </c>
      <c r="B171" s="40" t="str">
        <f ca="1">IFERROR(__xludf.DUMMYFUNCTION("FILTER($J$2:$J$445,$K$2:$K$445=D389)"),"Rutgers Cantonese Club")</f>
        <v>Rutgers Cantonese Club</v>
      </c>
      <c r="C171" s="40" t="str">
        <f ca="1">IFERROR(__xludf.DUMMYFUNCTION("filter($M$1:$M$500, $N$1:$N$500=D389)"),"Cultural")</f>
        <v>Cultural</v>
      </c>
      <c r="D171" s="41">
        <v>58</v>
      </c>
      <c r="E171" s="43">
        <v>90</v>
      </c>
      <c r="F171" s="58" t="s">
        <v>411</v>
      </c>
      <c r="G171" s="55">
        <v>1961</v>
      </c>
    </row>
    <row r="172" spans="1:9" ht="17" customHeight="1">
      <c r="A172" s="39">
        <v>44371</v>
      </c>
      <c r="B172" s="40" t="str">
        <f ca="1">IFERROR(__xludf.DUMMYFUNCTION("FILTER($J$2:$J$445,$K$2:$K$445=D393)"),"Black Student Union")</f>
        <v>Black Student Union</v>
      </c>
      <c r="C172" s="40" t="str">
        <f ca="1">IFERROR(__xludf.DUMMYFUNCTION("filter($M$1:$M$500, $N$1:$N$500=D393)"),"Cultural")</f>
        <v>Cultural</v>
      </c>
      <c r="D172" s="41">
        <v>25</v>
      </c>
      <c r="E172" s="43">
        <v>530</v>
      </c>
      <c r="F172" s="58" t="s">
        <v>416</v>
      </c>
      <c r="G172" s="55">
        <v>1355</v>
      </c>
    </row>
    <row r="173" spans="1:9" ht="17" customHeight="1">
      <c r="A173" s="39">
        <v>44371</v>
      </c>
      <c r="B173" s="40" t="str">
        <f ca="1">IFERROR(__xludf.DUMMYFUNCTION("FILTER($J$2:$J$445,$K$2:$K$445=D394)"),"Rutgers Armenian Students Association")</f>
        <v>Rutgers Armenian Students Association</v>
      </c>
      <c r="C173" s="40" t="str">
        <f ca="1">IFERROR(__xludf.DUMMYFUNCTION("filter($M$1:$M$500, $N$1:$N$500=D394)"),"Cultural")</f>
        <v>Cultural</v>
      </c>
      <c r="D173" s="41">
        <v>19</v>
      </c>
      <c r="E173" s="43">
        <v>280</v>
      </c>
      <c r="F173" s="54" t="s">
        <v>417</v>
      </c>
      <c r="G173" s="55">
        <v>1758</v>
      </c>
    </row>
    <row r="174" spans="1:9" ht="17" customHeight="1">
      <c r="A174" s="39">
        <v>44371</v>
      </c>
      <c r="B174" s="40" t="str">
        <f ca="1">IFERROR(__xludf.DUMMYFUNCTION("FILTER($J$2:$J$445,$K$2:$K$445=D396)"),"Latin American Womyn's Organization")</f>
        <v>Latin American Womyn's Organization</v>
      </c>
      <c r="C174" s="40" t="str">
        <f ca="1">IFERROR(__xludf.DUMMYFUNCTION("filter($M$1:$M$500, $N$1:$N$500=D396)"),"Cultural")</f>
        <v>Cultural</v>
      </c>
      <c r="D174" s="41">
        <v>6</v>
      </c>
      <c r="E174" s="43">
        <v>767</v>
      </c>
      <c r="F174" s="58" t="s">
        <v>419</v>
      </c>
      <c r="G174" s="55">
        <v>1942</v>
      </c>
    </row>
    <row r="175" spans="1:9" ht="17" customHeight="1">
      <c r="A175" s="39">
        <v>44371</v>
      </c>
      <c r="B175" s="40" t="str">
        <f ca="1">IFERROR(__xludf.DUMMYFUNCTION("FILTER($J$2:$J$445,$K$2:$K$445=D10)"),"Muslim Student Association")</f>
        <v>Muslim Student Association</v>
      </c>
      <c r="C175" s="40" t="str">
        <f ca="1">IFERROR(__xludf.DUMMYFUNCTION("filter($M$1:$M$500, $N$1:$N$500=D10)"),"Faith-based")</f>
        <v>Faith-based</v>
      </c>
      <c r="D175" s="41">
        <v>568</v>
      </c>
      <c r="E175" s="42">
        <v>1580.71</v>
      </c>
      <c r="F175" s="54" t="s">
        <v>19</v>
      </c>
      <c r="G175" s="55">
        <v>1958</v>
      </c>
      <c r="H175" s="54" t="s">
        <v>10</v>
      </c>
      <c r="I175" s="59">
        <v>42</v>
      </c>
    </row>
    <row r="176" spans="1:9" ht="17" customHeight="1">
      <c r="A176" s="39">
        <v>44371</v>
      </c>
      <c r="B176" s="40" t="str">
        <f ca="1">IFERROR(__xludf.DUMMYFUNCTION("FILTER($J$2:$J$445,$K$2:$K$445=D19)"),"Hindu YUVA")</f>
        <v>Hindu YUVA</v>
      </c>
      <c r="C176" s="40" t="str">
        <f ca="1">IFERROR(__xludf.DUMMYFUNCTION("filter($M$1:$M$500, $N$1:$N$500=D19)"),"Faith-based")</f>
        <v>Faith-based</v>
      </c>
      <c r="D176" s="41">
        <v>1960</v>
      </c>
      <c r="E176" s="43">
        <v>8.16</v>
      </c>
      <c r="F176" s="58" t="s">
        <v>31</v>
      </c>
      <c r="G176" s="55">
        <v>1103</v>
      </c>
      <c r="H176" s="56" t="s">
        <v>21</v>
      </c>
      <c r="I176" s="59">
        <v>72</v>
      </c>
    </row>
    <row r="177" spans="1:9" ht="17" customHeight="1">
      <c r="A177" s="39">
        <v>44371</v>
      </c>
      <c r="B177" s="40" t="str">
        <f ca="1">IFERROR(__xludf.DUMMYFUNCTION("FILTER($J$2:$J$445,$K$2:$K$445=D41)"),"Muslim Feminists for the Arts")</f>
        <v>Muslim Feminists for the Arts</v>
      </c>
      <c r="C177" s="40" t="str">
        <f ca="1">IFERROR(__xludf.DUMMYFUNCTION("filter($M$1:$M$500, $N$1:$N$500=D41)"),"Faith-based")</f>
        <v>Faith-based</v>
      </c>
      <c r="D177" s="41">
        <v>1817</v>
      </c>
      <c r="E177" s="43">
        <v>50</v>
      </c>
      <c r="F177" s="58" t="s">
        <v>55</v>
      </c>
      <c r="G177" s="55">
        <v>63</v>
      </c>
      <c r="H177" s="56" t="s">
        <v>30</v>
      </c>
      <c r="I177" s="59">
        <v>178</v>
      </c>
    </row>
    <row r="178" spans="1:9" ht="17" customHeight="1">
      <c r="A178" s="39">
        <v>44371</v>
      </c>
      <c r="B178" s="40" t="str">
        <f ca="1">IFERROR(__xludf.DUMMYFUNCTION("FILTER($J$2:$J$445,$K$2:$K$445=D43)"),"Klesis")</f>
        <v>Klesis</v>
      </c>
      <c r="C178" s="40" t="str">
        <f ca="1">IFERROR(__xludf.DUMMYFUNCTION("filter($M$1:$M$500, $N$1:$N$500=D43)"),"Faith-based")</f>
        <v>Faith-based</v>
      </c>
      <c r="D178" s="41">
        <v>1797</v>
      </c>
      <c r="E178" s="43">
        <v>7.03</v>
      </c>
      <c r="F178" s="58" t="s">
        <v>57</v>
      </c>
      <c r="G178" s="55">
        <v>1108</v>
      </c>
      <c r="H178" s="56" t="s">
        <v>17</v>
      </c>
      <c r="I178" s="59">
        <v>197</v>
      </c>
    </row>
    <row r="179" spans="1:9" ht="17" customHeight="1">
      <c r="A179" s="39">
        <v>44371</v>
      </c>
      <c r="B179" s="40" t="str">
        <f ca="1">IFERROR(__xludf.DUMMYFUNCTION("FILTER($J$2:$J$445,$K$2:$K$445=D46)"),"Muslim Public Relations Council")</f>
        <v>Muslim Public Relations Council</v>
      </c>
      <c r="C179" s="40" t="str">
        <f ca="1">IFERROR(__xludf.DUMMYFUNCTION("filter($M$1:$M$500, $N$1:$N$500=D46)"),"Faith-based")</f>
        <v>Faith-based</v>
      </c>
      <c r="D179" s="41">
        <v>1759</v>
      </c>
      <c r="E179" s="42">
        <v>5000</v>
      </c>
      <c r="F179" s="58" t="s">
        <v>61</v>
      </c>
      <c r="G179" s="55">
        <v>25</v>
      </c>
      <c r="H179" s="56" t="s">
        <v>8</v>
      </c>
      <c r="I179" s="59">
        <v>218</v>
      </c>
    </row>
    <row r="180" spans="1:9" ht="17" customHeight="1">
      <c r="A180" s="39">
        <v>44371</v>
      </c>
      <c r="B180" s="40" t="str">
        <f ca="1">IFERROR(__xludf.DUMMYFUNCTION("FILTER($J$2:$J$445,$K$2:$K$445=D53)"),"#N/A")</f>
        <v>#N/A</v>
      </c>
      <c r="C180" s="40" t="str">
        <f ca="1">IFERROR(__xludf.DUMMYFUNCTION("filter($M$1:$M$500, $N$1:$N$500=D53)"),"Faith-based")</f>
        <v>Faith-based</v>
      </c>
      <c r="D180" s="41">
        <v>1722</v>
      </c>
      <c r="E180" s="43">
        <v>350</v>
      </c>
      <c r="F180" s="58" t="s">
        <v>69</v>
      </c>
      <c r="G180" s="55">
        <v>1366</v>
      </c>
      <c r="H180" s="56" t="s">
        <v>30</v>
      </c>
      <c r="I180" s="59">
        <v>256</v>
      </c>
    </row>
    <row r="181" spans="1:9" ht="17" customHeight="1">
      <c r="A181" s="39">
        <v>44371</v>
      </c>
      <c r="B181" s="40" t="str">
        <f ca="1">IFERROR(__xludf.DUMMYFUNCTION("FILTER($J$2:$J$445,$K$2:$K$445=D65)"),"Rutgers Jumu'ah")</f>
        <v>Rutgers Jumu'ah</v>
      </c>
      <c r="C181" s="40" t="str">
        <f ca="1">IFERROR(__xludf.DUMMYFUNCTION("filter($M$1:$M$500, $N$1:$N$500=D65)"),"Faith-based")</f>
        <v>Faith-based</v>
      </c>
      <c r="D181" s="41">
        <v>1568</v>
      </c>
      <c r="E181" s="42">
        <v>1800</v>
      </c>
      <c r="F181" s="54" t="s">
        <v>82</v>
      </c>
      <c r="G181" s="55">
        <v>1831</v>
      </c>
      <c r="H181" s="56" t="s">
        <v>34</v>
      </c>
      <c r="I181" s="59">
        <v>328</v>
      </c>
    </row>
    <row r="182" spans="1:9" ht="17" customHeight="1">
      <c r="A182" s="39">
        <v>44371</v>
      </c>
      <c r="B182" s="40" t="str">
        <f ca="1">IFERROR(__xludf.DUMMYFUNCTION("FILTER($J$2:$J$445,$K$2:$K$445=D78)"),"Ahlul-Bayt Student Association")</f>
        <v>Ahlul-Bayt Student Association</v>
      </c>
      <c r="C182" s="40" t="str">
        <f ca="1">IFERROR(__xludf.DUMMYFUNCTION("filter($M$1:$M$500, $N$1:$N$500=D78)"),"Faith-based")</f>
        <v>Faith-based</v>
      </c>
      <c r="D182" s="41">
        <v>1369</v>
      </c>
      <c r="E182" s="43">
        <v>10</v>
      </c>
      <c r="F182" s="54" t="s">
        <v>95</v>
      </c>
      <c r="G182" s="55">
        <v>1478</v>
      </c>
      <c r="H182" s="56" t="s">
        <v>8</v>
      </c>
      <c r="I182" s="59">
        <v>400</v>
      </c>
    </row>
    <row r="183" spans="1:9" ht="17" customHeight="1">
      <c r="A183" s="39">
        <v>44371</v>
      </c>
      <c r="B183" s="40" t="str">
        <f ca="1">IFERROR(__xludf.DUMMYFUNCTION("FILTER($J$2:$J$445,$K$2:$K$445=D86)"),"Chavaya")</f>
        <v>Chavaya</v>
      </c>
      <c r="C183" s="40" t="str">
        <f ca="1">IFERROR(__xludf.DUMMYFUNCTION("filter($M$1:$M$500, $N$1:$N$500=D86)"),"Faith-based")</f>
        <v>Faith-based</v>
      </c>
      <c r="D183" s="41">
        <v>1277</v>
      </c>
      <c r="E183" s="43">
        <v>300</v>
      </c>
      <c r="F183" s="58" t="s">
        <v>103</v>
      </c>
      <c r="G183" s="55">
        <v>96</v>
      </c>
      <c r="H183" s="56" t="s">
        <v>8</v>
      </c>
      <c r="I183" s="59">
        <v>452</v>
      </c>
    </row>
    <row r="184" spans="1:9" ht="17" customHeight="1">
      <c r="A184" s="39">
        <v>44371</v>
      </c>
      <c r="B184" s="40" t="str">
        <f ca="1">IFERROR(__xludf.DUMMYFUNCTION("FILTER($J$2:$J$445,$K$2:$K$445=D95)"),"BAPS Campus Fellowship")</f>
        <v>BAPS Campus Fellowship</v>
      </c>
      <c r="C184" s="40" t="str">
        <f ca="1">IFERROR(__xludf.DUMMYFUNCTION("filter($M$1:$M$500, $N$1:$N$500=D95)"),"Faith-based")</f>
        <v>Faith-based</v>
      </c>
      <c r="D184" s="41">
        <v>1155</v>
      </c>
      <c r="E184" s="43">
        <v>300</v>
      </c>
      <c r="F184" s="54" t="s">
        <v>112</v>
      </c>
      <c r="G184" s="55">
        <v>363</v>
      </c>
      <c r="H184" s="56" t="s">
        <v>50</v>
      </c>
      <c r="I184" s="59">
        <v>512</v>
      </c>
    </row>
    <row r="185" spans="1:9" ht="17" customHeight="1">
      <c r="A185" s="39">
        <v>44371</v>
      </c>
      <c r="B185" s="40" t="str">
        <f ca="1">IFERROR(__xludf.DUMMYFUNCTION("FILTER($J$2:$J$445,$K$2:$K$445=D117)"),"Rutgers University Jains")</f>
        <v>Rutgers University Jains</v>
      </c>
      <c r="C185" s="40" t="str">
        <f ca="1">IFERROR(__xludf.DUMMYFUNCTION("filter($M$1:$M$500, $N$1:$N$500=D117)"),"Faith-based")</f>
        <v>Faith-based</v>
      </c>
      <c r="D185" s="41">
        <v>702</v>
      </c>
      <c r="E185" s="43">
        <v>300</v>
      </c>
      <c r="F185" s="58" t="s">
        <v>135</v>
      </c>
      <c r="G185" s="55">
        <v>1320</v>
      </c>
      <c r="H185" s="56" t="s">
        <v>21</v>
      </c>
      <c r="I185" s="59">
        <v>661</v>
      </c>
    </row>
    <row r="186" spans="1:9" ht="17" customHeight="1">
      <c r="A186" s="39">
        <v>44371</v>
      </c>
      <c r="B186" s="40" t="str">
        <f ca="1">IFERROR(__xludf.DUMMYFUNCTION("FILTER($J$2:$J$445,$K$2:$K$445=D124)"),"Chinese Christian Fellowship")</f>
        <v>Chinese Christian Fellowship</v>
      </c>
      <c r="C186" s="40" t="str">
        <f ca="1">IFERROR(__xludf.DUMMYFUNCTION("filter($M$1:$M$500, $N$1:$N$500=D124)"),"Faith-based")</f>
        <v>Faith-based</v>
      </c>
      <c r="D186" s="41">
        <v>620</v>
      </c>
      <c r="E186" s="43">
        <v>380</v>
      </c>
      <c r="F186" s="58" t="s">
        <v>142</v>
      </c>
      <c r="G186" s="55">
        <v>1055</v>
      </c>
      <c r="H186" s="56" t="s">
        <v>34</v>
      </c>
      <c r="I186" s="59">
        <v>702</v>
      </c>
    </row>
    <row r="187" spans="1:9" ht="17" customHeight="1">
      <c r="A187" s="39">
        <v>44371</v>
      </c>
      <c r="B187" s="40" t="str">
        <f ca="1">IFERROR(__xludf.DUMMYFUNCTION("FILTER($J$2:$J$445,$K$2:$K$445=D127)"),"Muslim Student Association")</f>
        <v>Muslim Student Association</v>
      </c>
      <c r="C187" s="40" t="str">
        <f ca="1">IFERROR(__xludf.DUMMYFUNCTION("filter($M$1:$M$500, $N$1:$N$500=D127)"),"Faith-based")</f>
        <v>Faith-based</v>
      </c>
      <c r="D187" s="41">
        <v>568</v>
      </c>
      <c r="E187" s="43">
        <v>50</v>
      </c>
      <c r="F187" s="54" t="s">
        <v>145</v>
      </c>
      <c r="G187" s="55">
        <v>292</v>
      </c>
      <c r="H187" s="56" t="s">
        <v>30</v>
      </c>
      <c r="I187" s="59">
        <v>712</v>
      </c>
    </row>
    <row r="188" spans="1:9" ht="17" customHeight="1">
      <c r="A188" s="39">
        <v>44371</v>
      </c>
      <c r="B188" s="40" t="str">
        <f ca="1">IFERROR(__xludf.DUMMYFUNCTION("FILTER($J$2:$J$445,$K$2:$K$445=D143)"),"Indian Christian Fellowship")</f>
        <v>Indian Christian Fellowship</v>
      </c>
      <c r="C188" s="40" t="str">
        <f ca="1">IFERROR(__xludf.DUMMYFUNCTION("filter($M$1:$M$500, $N$1:$N$500=D143)"),"Faith-based")</f>
        <v>Faith-based</v>
      </c>
      <c r="D188" s="41">
        <v>362</v>
      </c>
      <c r="E188" s="42">
        <v>2220</v>
      </c>
      <c r="F188" s="58" t="s">
        <v>162</v>
      </c>
      <c r="G188" s="55">
        <v>362</v>
      </c>
      <c r="H188" s="56" t="s">
        <v>50</v>
      </c>
      <c r="I188" s="59">
        <v>821</v>
      </c>
    </row>
    <row r="189" spans="1:9" ht="17" customHeight="1">
      <c r="A189" s="39">
        <v>44371</v>
      </c>
      <c r="B189" s="40" t="str">
        <f ca="1">IFERROR(__xludf.DUMMYFUNCTION("FILTER($J$2:$J$445,$K$2:$K$445=D149)"),"Chabad Jewish Student Organization")</f>
        <v>Chabad Jewish Student Organization</v>
      </c>
      <c r="C189" s="40" t="str">
        <f ca="1">IFERROR(__xludf.DUMMYFUNCTION("filter($M$1:$M$500, $N$1:$N$500=D149)"),"Faith-based")</f>
        <v>Faith-based</v>
      </c>
      <c r="D189" s="41">
        <v>328</v>
      </c>
      <c r="E189" s="43">
        <v>755.05</v>
      </c>
      <c r="F189" s="54" t="s">
        <v>168</v>
      </c>
      <c r="G189" s="55">
        <v>1866</v>
      </c>
      <c r="H189" s="56" t="s">
        <v>34</v>
      </c>
      <c r="I189" s="59">
        <v>1044</v>
      </c>
    </row>
    <row r="190" spans="1:9" ht="17" customHeight="1">
      <c r="A190" s="39">
        <v>44371</v>
      </c>
      <c r="B190" s="40" t="str">
        <f ca="1">IFERROR(__xludf.DUMMYFUNCTION("FILTER($J$2:$J$445,$K$2:$K$445=D164)"),"Korean Christian Fellowship")</f>
        <v>Korean Christian Fellowship</v>
      </c>
      <c r="C190" s="40" t="str">
        <f ca="1">IFERROR(__xludf.DUMMYFUNCTION("filter($M$1:$M$500, $N$1:$N$500=D164)"),"Faith-based")</f>
        <v>Faith-based</v>
      </c>
      <c r="D190" s="41">
        <v>163</v>
      </c>
      <c r="E190" s="43">
        <v>94.93</v>
      </c>
      <c r="F190" s="58" t="s">
        <v>183</v>
      </c>
      <c r="G190" s="55">
        <v>1079</v>
      </c>
      <c r="H190" s="56" t="s">
        <v>34</v>
      </c>
      <c r="I190" s="59">
        <v>1155</v>
      </c>
    </row>
    <row r="191" spans="1:9" ht="17" customHeight="1">
      <c r="A191" s="39">
        <v>44371</v>
      </c>
      <c r="B191" s="40" t="str">
        <f ca="1">IFERROR(__xludf.DUMMYFUNCTION("FILTER($J$2:$J$445,$K$2:$K$445=D172)"),"CRU")</f>
        <v>CRU</v>
      </c>
      <c r="C191" s="40" t="str">
        <f ca="1">IFERROR(__xludf.DUMMYFUNCTION("filter($M$1:$M$500, $N$1:$N$500=D172)"),"Faith-based")</f>
        <v>Faith-based</v>
      </c>
      <c r="D191" s="41">
        <v>96</v>
      </c>
      <c r="E191" s="43">
        <v>133</v>
      </c>
      <c r="F191" s="58" t="s">
        <v>191</v>
      </c>
      <c r="G191" s="55">
        <v>344</v>
      </c>
      <c r="H191" s="56" t="s">
        <v>34</v>
      </c>
      <c r="I191" s="59">
        <v>1203</v>
      </c>
    </row>
    <row r="192" spans="1:9" ht="17" customHeight="1">
      <c r="A192" s="39">
        <v>44371</v>
      </c>
      <c r="B192" s="40" t="str">
        <f ca="1">IFERROR(__xludf.DUMMYFUNCTION("FILTER($J$2:$J$445,$K$2:$K$445=D174)"),"Orthodox Christian Campus Ministries")</f>
        <v>Orthodox Christian Campus Ministries</v>
      </c>
      <c r="C192" s="40" t="str">
        <f ca="1">IFERROR(__xludf.DUMMYFUNCTION("filter($M$1:$M$500, $N$1:$N$500=D174)"),"Faith-based")</f>
        <v>Faith-based</v>
      </c>
      <c r="D192" s="41">
        <v>84</v>
      </c>
      <c r="E192" s="42">
        <v>3250</v>
      </c>
      <c r="F192" s="58" t="s">
        <v>193</v>
      </c>
      <c r="G192" s="55">
        <v>677</v>
      </c>
      <c r="H192" s="56" t="s">
        <v>50</v>
      </c>
      <c r="I192" s="59">
        <v>1220</v>
      </c>
    </row>
    <row r="193" spans="1:9" ht="17" customHeight="1">
      <c r="A193" s="39">
        <v>44371</v>
      </c>
      <c r="B193" s="40" t="str">
        <f ca="1">IFERROR(__xludf.DUMMYFUNCTION("FILTER($J$2:$J$445,$K$2:$K$445=D199)"),"Hindu YUVA")</f>
        <v>Hindu YUVA</v>
      </c>
      <c r="C193" s="40" t="str">
        <f ca="1">IFERROR(__xludf.DUMMYFUNCTION("filter($M$1:$M$500, $N$1:$N$500=D199)"),"Faith-based")</f>
        <v>Faith-based</v>
      </c>
      <c r="D193" s="41">
        <v>1960</v>
      </c>
      <c r="E193" s="43">
        <v>181.11</v>
      </c>
      <c r="F193" s="58" t="s">
        <v>218</v>
      </c>
      <c r="G193" s="55">
        <v>1888</v>
      </c>
      <c r="H193" s="56" t="s">
        <v>21</v>
      </c>
      <c r="I193" s="59">
        <v>1387</v>
      </c>
    </row>
    <row r="194" spans="1:9" ht="17" customHeight="1">
      <c r="A194" s="39">
        <v>44371</v>
      </c>
      <c r="B194" s="40" t="str">
        <f ca="1">IFERROR(__xludf.DUMMYFUNCTION("FILTER($J$2:$J$445,$K$2:$K$445=D213)"),"Jewish Allies and Queers")</f>
        <v>Jewish Allies and Queers</v>
      </c>
      <c r="C194" s="40" t="str">
        <f ca="1">IFERROR(__xludf.DUMMYFUNCTION("filter($M$1:$M$500, $N$1:$N$500=D213)"),"Faith-based")</f>
        <v>Faith-based</v>
      </c>
      <c r="D194" s="41">
        <v>1875</v>
      </c>
      <c r="E194" s="43">
        <v>356</v>
      </c>
      <c r="F194" s="58" t="s">
        <v>232</v>
      </c>
      <c r="G194" s="55">
        <v>1184</v>
      </c>
      <c r="H194" s="56" t="s">
        <v>30</v>
      </c>
      <c r="I194" s="59">
        <v>1439</v>
      </c>
    </row>
    <row r="195" spans="1:9" ht="17" customHeight="1">
      <c r="A195" s="39">
        <v>44371</v>
      </c>
      <c r="B195" s="40" t="str">
        <f ca="1">IFERROR(__xludf.DUMMYFUNCTION("FILTER($J$2:$J$445,$K$2:$K$445=D221)"),"Muslim Feminists for the Arts")</f>
        <v>Muslim Feminists for the Arts</v>
      </c>
      <c r="C195" s="40" t="str">
        <f ca="1">IFERROR(__xludf.DUMMYFUNCTION("filter($M$1:$M$500, $N$1:$N$500=D221)"),"Faith-based")</f>
        <v>Faith-based</v>
      </c>
      <c r="D195" s="41">
        <v>1817</v>
      </c>
      <c r="E195" s="43">
        <v>561</v>
      </c>
      <c r="F195" s="54" t="s">
        <v>240</v>
      </c>
      <c r="G195" s="55">
        <v>1742</v>
      </c>
      <c r="H195" s="56" t="s">
        <v>50</v>
      </c>
      <c r="I195" s="59">
        <v>1485</v>
      </c>
    </row>
    <row r="196" spans="1:9" ht="17" customHeight="1">
      <c r="A196" s="39">
        <v>44371</v>
      </c>
      <c r="B196" s="40" t="str">
        <f ca="1">IFERROR(__xludf.DUMMYFUNCTION("FILTER($J$2:$J$445,$K$2:$K$445=D223)"),"Klesis")</f>
        <v>Klesis</v>
      </c>
      <c r="C196" s="40" t="str">
        <f ca="1">IFERROR(__xludf.DUMMYFUNCTION("filter($M$1:$M$500, $N$1:$N$500=D223)"),"Faith-based")</f>
        <v>Faith-based</v>
      </c>
      <c r="D196" s="41">
        <v>1797</v>
      </c>
      <c r="E196" s="43">
        <v>18.64</v>
      </c>
      <c r="F196" s="58" t="s">
        <v>242</v>
      </c>
      <c r="G196" s="55">
        <v>1834</v>
      </c>
      <c r="H196" s="56" t="s">
        <v>17</v>
      </c>
      <c r="I196" s="59">
        <v>1487</v>
      </c>
    </row>
    <row r="197" spans="1:9" ht="17" customHeight="1">
      <c r="A197" s="39">
        <v>44371</v>
      </c>
      <c r="B197" s="40" t="str">
        <f ca="1">IFERROR(__xludf.DUMMYFUNCTION("FILTER($J$2:$J$445,$K$2:$K$445=D230)"),"Muslim Public Relations Council")</f>
        <v>Muslim Public Relations Council</v>
      </c>
      <c r="C197" s="40" t="str">
        <f ca="1">IFERROR(__xludf.DUMMYFUNCTION("filter($M$1:$M$500, $N$1:$N$500=D230)"),"Faith-based")</f>
        <v>Faith-based</v>
      </c>
      <c r="D197" s="41">
        <v>1759</v>
      </c>
      <c r="E197" s="42">
        <v>1212</v>
      </c>
      <c r="F197" s="54" t="s">
        <v>249</v>
      </c>
      <c r="G197" s="55">
        <v>1063</v>
      </c>
      <c r="H197" s="56" t="s">
        <v>34</v>
      </c>
      <c r="I197" s="59">
        <v>1511</v>
      </c>
    </row>
    <row r="198" spans="1:9" ht="17" customHeight="1">
      <c r="A198" s="39">
        <v>44371</v>
      </c>
      <c r="B198" s="40" t="str">
        <f ca="1">IFERROR(__xludf.DUMMYFUNCTION("FILTER($J$2:$J$445,$K$2:$K$445=D250)"),"Rutgers Jumu'ah")</f>
        <v>Rutgers Jumu'ah</v>
      </c>
      <c r="C198" s="40" t="str">
        <f ca="1">IFERROR(__xludf.DUMMYFUNCTION("filter($M$1:$M$500, $N$1:$N$500=D250)"),"Faith-based")</f>
        <v>Faith-based</v>
      </c>
      <c r="D198" s="41">
        <v>1568</v>
      </c>
      <c r="E198" s="43">
        <v>738</v>
      </c>
      <c r="F198" s="58" t="s">
        <v>269</v>
      </c>
      <c r="G198" s="55">
        <v>1205</v>
      </c>
      <c r="H198" s="56" t="s">
        <v>66</v>
      </c>
      <c r="I198" s="59">
        <v>1593</v>
      </c>
    </row>
    <row r="199" spans="1:9" ht="17" customHeight="1">
      <c r="A199" s="39">
        <v>44371</v>
      </c>
      <c r="B199" s="40" t="str">
        <f ca="1">IFERROR(__xludf.DUMMYFUNCTION("FILTER($J$2:$J$445,$K$2:$K$445=D257)"),"Christians on Campus")</f>
        <v>Christians on Campus</v>
      </c>
      <c r="C199" s="40" t="str">
        <f ca="1">IFERROR(__xludf.DUMMYFUNCTION("filter($M$1:$M$500, $N$1:$N$500=D257)"),"Faith-based")</f>
        <v>Faith-based</v>
      </c>
      <c r="D199" s="41">
        <v>1511</v>
      </c>
      <c r="E199" s="43">
        <v>236</v>
      </c>
      <c r="F199" s="54" t="s">
        <v>276</v>
      </c>
      <c r="G199" s="55">
        <v>768</v>
      </c>
      <c r="H199" s="56" t="s">
        <v>153</v>
      </c>
      <c r="I199" s="59">
        <v>1653</v>
      </c>
    </row>
    <row r="200" spans="1:9" ht="17" customHeight="1">
      <c r="A200" s="39">
        <v>44371</v>
      </c>
      <c r="B200" s="40" t="str">
        <f ca="1">IFERROR(__xludf.DUMMYFUNCTION("FILTER($J$2:$J$445,$K$2:$K$445=D274)"),"Ahlul-Bayt Student Association")</f>
        <v>Ahlul-Bayt Student Association</v>
      </c>
      <c r="C200" s="40" t="str">
        <f ca="1">IFERROR(__xludf.DUMMYFUNCTION("filter($M$1:$M$500, $N$1:$N$500=D274)"),"Faith-based")</f>
        <v>Faith-based</v>
      </c>
      <c r="D200" s="41">
        <v>1369</v>
      </c>
      <c r="E200" s="42">
        <v>1437</v>
      </c>
      <c r="F200" s="58" t="s">
        <v>293</v>
      </c>
      <c r="G200" s="55">
        <v>1860</v>
      </c>
      <c r="H200" s="56" t="s">
        <v>10</v>
      </c>
      <c r="I200" s="59">
        <v>1741</v>
      </c>
    </row>
    <row r="201" spans="1:9" ht="17" customHeight="1">
      <c r="A201" s="39">
        <v>44371</v>
      </c>
      <c r="B201" s="40" t="str">
        <f ca="1">IFERROR(__xludf.DUMMYFUNCTION("FILTER($J$2:$J$445,$K$2:$K$445=D284)"),"Chavaya")</f>
        <v>Chavaya</v>
      </c>
      <c r="C201" s="40" t="str">
        <f ca="1">IFERROR(__xludf.DUMMYFUNCTION("filter($M$1:$M$500, $N$1:$N$500=D284)"),"Faith-based")</f>
        <v>Faith-based</v>
      </c>
      <c r="D201" s="41">
        <v>1277</v>
      </c>
      <c r="E201" s="42">
        <v>2463</v>
      </c>
      <c r="F201" s="54" t="s">
        <v>303</v>
      </c>
      <c r="G201" s="58" t="s">
        <v>72</v>
      </c>
      <c r="H201" s="56" t="s">
        <v>34</v>
      </c>
      <c r="I201" s="59">
        <v>1759</v>
      </c>
    </row>
    <row r="202" spans="1:9" ht="17" customHeight="1">
      <c r="A202" s="39">
        <v>44371</v>
      </c>
      <c r="B202" s="40" t="str">
        <f ca="1">IFERROR(__xludf.DUMMYFUNCTION("FILTER($J$2:$J$445,$K$2:$K$445=D290)"),"Adventist Students for Christ")</f>
        <v>Adventist Students for Christ</v>
      </c>
      <c r="C202" s="40" t="str">
        <f ca="1">IFERROR(__xludf.DUMMYFUNCTION("filter($M$1:$M$500, $N$1:$N$500=D290)"),"Faith-based")</f>
        <v>Faith-based</v>
      </c>
      <c r="D202" s="41">
        <v>1203</v>
      </c>
      <c r="E202" s="43">
        <v>347</v>
      </c>
      <c r="F202" s="54" t="s">
        <v>309</v>
      </c>
      <c r="G202" s="55">
        <v>1941</v>
      </c>
      <c r="H202" s="56" t="s">
        <v>34</v>
      </c>
      <c r="I202" s="59">
        <v>1774</v>
      </c>
    </row>
    <row r="203" spans="1:9" ht="17" customHeight="1">
      <c r="A203" s="39">
        <v>44371</v>
      </c>
      <c r="B203" s="40" t="str">
        <f ca="1">IFERROR(__xludf.DUMMYFUNCTION("FILTER($J$2:$J$445,$K$2:$K$445=D301)"),"Orthodox Christian Fellowship")</f>
        <v>Orthodox Christian Fellowship</v>
      </c>
      <c r="C203" s="40" t="str">
        <f ca="1">IFERROR(__xludf.DUMMYFUNCTION("filter($M$1:$M$500, $N$1:$N$500=D301)"),"Faith-based")</f>
        <v>Faith-based</v>
      </c>
      <c r="D203" s="41">
        <v>831</v>
      </c>
      <c r="E203" s="43">
        <v>300</v>
      </c>
      <c r="F203" s="58" t="s">
        <v>320</v>
      </c>
      <c r="G203" s="55">
        <v>1753</v>
      </c>
      <c r="H203" s="56" t="s">
        <v>60</v>
      </c>
      <c r="I203" s="59">
        <v>1819</v>
      </c>
    </row>
    <row r="204" spans="1:9" ht="17" customHeight="1">
      <c r="A204" s="39">
        <v>44371</v>
      </c>
      <c r="B204" s="40" t="str">
        <f ca="1">IFERROR(__xludf.DUMMYFUNCTION("FILTER($J$2:$J$445,$K$2:$K$445=D323)"),"Chinese Christian Fellowship")</f>
        <v>Chinese Christian Fellowship</v>
      </c>
      <c r="C204" s="40" t="str">
        <f ca="1">IFERROR(__xludf.DUMMYFUNCTION("filter($M$1:$M$500, $N$1:$N$500=D323)"),"Faith-based")</f>
        <v>Faith-based</v>
      </c>
      <c r="D204" s="41">
        <v>620</v>
      </c>
      <c r="E204" s="43">
        <v>41.87</v>
      </c>
      <c r="F204" s="54" t="s">
        <v>343</v>
      </c>
      <c r="G204" s="55">
        <v>1948</v>
      </c>
      <c r="H204" s="56" t="s">
        <v>66</v>
      </c>
      <c r="I204" s="59">
        <v>1878</v>
      </c>
    </row>
    <row r="205" spans="1:9" ht="17" customHeight="1">
      <c r="A205" s="39">
        <v>44371</v>
      </c>
      <c r="B205" s="40" t="str">
        <f ca="1">IFERROR(__xludf.DUMMYFUNCTION("FILTER($J$2:$J$445,$K$2:$K$445=D326)"),"Korean Catholic Circle")</f>
        <v>Korean Catholic Circle</v>
      </c>
      <c r="C205" s="40" t="str">
        <f ca="1">IFERROR(__xludf.DUMMYFUNCTION("filter($M$1:$M$500, $N$1:$N$500=D326)"),"Faith-based")</f>
        <v>Faith-based</v>
      </c>
      <c r="D205" s="41">
        <v>575</v>
      </c>
      <c r="E205" s="43">
        <v>505</v>
      </c>
      <c r="F205" s="54" t="s">
        <v>346</v>
      </c>
      <c r="G205" s="55">
        <v>1822</v>
      </c>
      <c r="H205" s="56" t="s">
        <v>50</v>
      </c>
      <c r="I205" s="59">
        <v>1881</v>
      </c>
    </row>
    <row r="206" spans="1:9" ht="17" customHeight="1">
      <c r="A206" s="39">
        <v>44371</v>
      </c>
      <c r="B206" s="40" t="str">
        <f ca="1">IFERROR(__xludf.DUMMYFUNCTION("FILTER($J$2:$J$445,$K$2:$K$445=D327)"),"Muslim Student Association")</f>
        <v>Muslim Student Association</v>
      </c>
      <c r="C206" s="40" t="str">
        <f ca="1">IFERROR(__xludf.DUMMYFUNCTION("filter($M$1:$M$500, $N$1:$N$500=D327)"),"Faith-based")</f>
        <v>Faith-based</v>
      </c>
      <c r="D206" s="41">
        <v>568</v>
      </c>
      <c r="E206" s="42">
        <v>2237</v>
      </c>
      <c r="F206" s="58" t="s">
        <v>347</v>
      </c>
      <c r="G206" s="55">
        <v>1491</v>
      </c>
      <c r="H206" s="56" t="s">
        <v>153</v>
      </c>
      <c r="I206" s="59">
        <v>1882</v>
      </c>
    </row>
    <row r="207" spans="1:9" ht="17" customHeight="1">
      <c r="A207" s="39">
        <v>44371</v>
      </c>
      <c r="B207" s="40" t="str">
        <f ca="1">IFERROR(__xludf.DUMMYFUNCTION("FILTER($J$2:$J$445,$K$2:$K$445=D345)"),"Indian Christian Fellowship")</f>
        <v>Indian Christian Fellowship</v>
      </c>
      <c r="C207" s="40" t="str">
        <f ca="1">IFERROR(__xludf.DUMMYFUNCTION("filter($M$1:$M$500, $N$1:$N$500=D345)"),"Faith-based")</f>
        <v>Faith-based</v>
      </c>
      <c r="D207" s="41">
        <v>362</v>
      </c>
      <c r="E207" s="43">
        <v>124.15</v>
      </c>
      <c r="F207" s="54" t="s">
        <v>366</v>
      </c>
      <c r="G207" s="55">
        <v>1859</v>
      </c>
      <c r="H207" s="56" t="s">
        <v>50</v>
      </c>
      <c r="I207" s="59">
        <v>1940</v>
      </c>
    </row>
    <row r="208" spans="1:9" ht="17" customHeight="1">
      <c r="A208" s="39">
        <v>44371</v>
      </c>
      <c r="B208" s="40" t="str">
        <f ca="1">IFERROR(__xludf.DUMMYFUNCTION("FILTER($J$2:$J$445,$K$2:$K$445=D352)"),"Chabad Jewish Student Organization")</f>
        <v>Chabad Jewish Student Organization</v>
      </c>
      <c r="C208" s="40" t="str">
        <f ca="1">IFERROR(__xludf.DUMMYFUNCTION("filter($M$1:$M$500, $N$1:$N$500=D352)"),"Faith-based")</f>
        <v>Faith-based</v>
      </c>
      <c r="D208" s="41">
        <v>328</v>
      </c>
      <c r="E208" s="43">
        <v>365.73</v>
      </c>
      <c r="F208" s="58" t="s">
        <v>373</v>
      </c>
      <c r="G208" s="55">
        <v>1424</v>
      </c>
      <c r="H208" s="56" t="s">
        <v>353</v>
      </c>
      <c r="I208" s="59">
        <v>1947</v>
      </c>
    </row>
    <row r="209" spans="1:9" ht="17" customHeight="1">
      <c r="A209" s="39">
        <v>44371</v>
      </c>
      <c r="B209" s="40" t="str">
        <f ca="1">IFERROR(__xludf.DUMMYFUNCTION("FILTER($J$2:$J$445,$K$2:$K$445=D354)"),"Jewish Student Union")</f>
        <v>Jewish Student Union</v>
      </c>
      <c r="C209" s="40" t="str">
        <f ca="1">IFERROR(__xludf.DUMMYFUNCTION("filter($M$1:$M$500, $N$1:$N$500=D354)"),"Faith-based")</f>
        <v>Faith-based</v>
      </c>
      <c r="D209" s="41">
        <v>301</v>
      </c>
      <c r="E209" s="43">
        <v>905</v>
      </c>
      <c r="F209" s="58" t="s">
        <v>375</v>
      </c>
      <c r="G209" s="55">
        <v>1945</v>
      </c>
      <c r="H209" s="62" t="s">
        <v>17</v>
      </c>
      <c r="I209" s="63">
        <v>1949</v>
      </c>
    </row>
    <row r="210" spans="1:9" ht="17" customHeight="1">
      <c r="A210" s="39">
        <v>44371</v>
      </c>
      <c r="B210" s="40" t="str">
        <f ca="1">IFERROR(__xludf.DUMMYFUNCTION("FILTER($J$2:$J$445,$K$2:$K$445=D373)"),"Intervarsity Multi-Ethnic Chris")</f>
        <v>Intervarsity Multi-Ethnic Chris</v>
      </c>
      <c r="C210" s="40" t="str">
        <f ca="1">IFERROR(__xludf.DUMMYFUNCTION("filter($M$1:$M$500, $N$1:$N$500=D373)"),"Faith-based")</f>
        <v>Faith-based</v>
      </c>
      <c r="D210" s="41">
        <v>145</v>
      </c>
      <c r="E210" s="43">
        <v>696</v>
      </c>
      <c r="F210" s="58" t="s">
        <v>395</v>
      </c>
      <c r="G210" s="55">
        <v>1572</v>
      </c>
    </row>
    <row r="211" spans="1:9" ht="17" customHeight="1">
      <c r="A211" s="39">
        <v>44371</v>
      </c>
      <c r="B211" s="40" t="str">
        <f ca="1">IFERROR(__xludf.DUMMYFUNCTION("FILTER($J$2:$J$445,$K$2:$K$445=D379)"),"CRU")</f>
        <v>CRU</v>
      </c>
      <c r="C211" s="40" t="str">
        <f ca="1">IFERROR(__xludf.DUMMYFUNCTION("filter($M$1:$M$500, $N$1:$N$500=D379)"),"Faith-based")</f>
        <v>Faith-based</v>
      </c>
      <c r="D211" s="41">
        <v>96</v>
      </c>
      <c r="E211" s="43">
        <v>836.65</v>
      </c>
      <c r="F211" s="54" t="s">
        <v>401</v>
      </c>
      <c r="G211" s="55">
        <v>1777</v>
      </c>
    </row>
    <row r="212" spans="1:9" ht="17" customHeight="1">
      <c r="A212" s="39">
        <v>44371</v>
      </c>
      <c r="B212" s="40" t="str">
        <f ca="1">IFERROR(__xludf.DUMMYFUNCTION("FILTER($J$2:$J$445,$K$2:$K$445=D381)"),"Orthodox Christian Campus Ministries")</f>
        <v>Orthodox Christian Campus Ministries</v>
      </c>
      <c r="C212" s="40" t="str">
        <f ca="1">IFERROR(__xludf.DUMMYFUNCTION("filter($M$1:$M$500, $N$1:$N$500=D381)"),"Faith-based")</f>
        <v>Faith-based</v>
      </c>
      <c r="D212" s="41">
        <v>84</v>
      </c>
      <c r="E212" s="43">
        <v>652</v>
      </c>
      <c r="F212" s="58" t="s">
        <v>403</v>
      </c>
      <c r="G212" s="55">
        <v>586</v>
      </c>
    </row>
    <row r="213" spans="1:9" ht="17" customHeight="1">
      <c r="A213" s="39">
        <v>44371</v>
      </c>
      <c r="B213" s="40" t="str">
        <f ca="1">IFERROR(__xludf.DUMMYFUNCTION("FILTER($J$2:$J$445,$K$2:$K$445=D382)"),"Rutgers Hindu Students Council")</f>
        <v>Rutgers Hindu Students Council</v>
      </c>
      <c r="C213" s="40" t="str">
        <f ca="1">IFERROR(__xludf.DUMMYFUNCTION("filter($M$1:$M$500, $N$1:$N$500=D382)"),"Faith-based")</f>
        <v>Faith-based</v>
      </c>
      <c r="D213" s="41">
        <v>75</v>
      </c>
      <c r="E213" s="42">
        <v>1324</v>
      </c>
      <c r="F213" s="58" t="s">
        <v>404</v>
      </c>
      <c r="G213" s="55">
        <v>1954</v>
      </c>
    </row>
    <row r="214" spans="1:9" ht="17" customHeight="1">
      <c r="A214" s="39">
        <v>44371</v>
      </c>
      <c r="B214" s="40" t="str">
        <f ca="1">IFERROR(__xludf.DUMMYFUNCTION("FILTER($J$2:$J$445,$K$2:$K$445=D51)"),"Pokemon Trainer's Club")</f>
        <v>Pokemon Trainer's Club</v>
      </c>
      <c r="C214" s="40" t="str">
        <f ca="1">IFERROR(__xludf.DUMMYFUNCTION("filter($M$1:$M$500, $N$1:$N$500=D51)"),"Geek")</f>
        <v>Geek</v>
      </c>
      <c r="D214" s="41">
        <v>1742</v>
      </c>
      <c r="E214" s="43">
        <v>50</v>
      </c>
      <c r="F214" s="54" t="s">
        <v>67</v>
      </c>
      <c r="G214" s="61">
        <v>1692</v>
      </c>
      <c r="H214" s="56" t="s">
        <v>21</v>
      </c>
      <c r="I214" s="59">
        <v>233</v>
      </c>
    </row>
    <row r="215" spans="1:9" ht="17" customHeight="1">
      <c r="A215" s="39">
        <v>44371</v>
      </c>
      <c r="B215" s="40" t="str">
        <f ca="1">IFERROR(__xludf.DUMMYFUNCTION("FILTER($J$2:$J$445,$K$2:$K$445=D55)"),"Esports")</f>
        <v>Esports</v>
      </c>
      <c r="C215" s="40" t="str">
        <f ca="1">IFERROR(__xludf.DUMMYFUNCTION("filter($M$1:$M$500, $N$1:$N$500=D55)"),"Geek")</f>
        <v>Geek</v>
      </c>
      <c r="D215" s="41">
        <v>1716</v>
      </c>
      <c r="E215" s="43">
        <v>50</v>
      </c>
      <c r="F215" s="58" t="s">
        <v>71</v>
      </c>
      <c r="G215" s="58" t="s">
        <v>72</v>
      </c>
      <c r="H215" s="56" t="s">
        <v>30</v>
      </c>
      <c r="I215" s="59">
        <v>269</v>
      </c>
    </row>
    <row r="216" spans="1:9" ht="17" customHeight="1">
      <c r="A216" s="39">
        <v>44371</v>
      </c>
      <c r="B216" s="40" t="str">
        <f ca="1">IFERROR(__xludf.DUMMYFUNCTION("FILTER($J$2:$J$445,$K$2:$K$445=D59)"),"Counter-Strike Club")</f>
        <v>Counter-Strike Club</v>
      </c>
      <c r="C216" s="40" t="str">
        <f ca="1">IFERROR(__xludf.DUMMYFUNCTION("filter($M$1:$M$500, $N$1:$N$500=D59)"),"Geek")</f>
        <v>Geek</v>
      </c>
      <c r="D216" s="41">
        <v>1688</v>
      </c>
      <c r="E216" s="43">
        <v>320</v>
      </c>
      <c r="F216" s="58" t="s">
        <v>76</v>
      </c>
      <c r="G216" s="55">
        <v>226</v>
      </c>
      <c r="H216" s="56" t="s">
        <v>28</v>
      </c>
      <c r="I216" s="59">
        <v>292</v>
      </c>
    </row>
    <row r="217" spans="1:9" ht="17" customHeight="1">
      <c r="A217" s="39">
        <v>44371</v>
      </c>
      <c r="B217" s="40" t="str">
        <f ca="1">IFERROR(__xludf.DUMMYFUNCTION("FILTER($J$2:$J$445,$K$2:$K$445=D66)"),"Scarlet Smash")</f>
        <v>Scarlet Smash</v>
      </c>
      <c r="C217" s="40" t="str">
        <f ca="1">IFERROR(__xludf.DUMMYFUNCTION("filter($M$1:$M$500, $N$1:$N$500=D66)"),"Geek")</f>
        <v>Geek</v>
      </c>
      <c r="D217" s="41">
        <v>1543</v>
      </c>
      <c r="E217" s="43">
        <v>16</v>
      </c>
      <c r="F217" s="64" t="s">
        <v>83</v>
      </c>
      <c r="G217" s="61">
        <v>1277</v>
      </c>
      <c r="H217" s="56" t="s">
        <v>21</v>
      </c>
      <c r="I217" s="59">
        <v>338</v>
      </c>
    </row>
    <row r="218" spans="1:9" ht="17" customHeight="1">
      <c r="A218" s="39">
        <v>44371</v>
      </c>
      <c r="B218" s="40" t="str">
        <f ca="1">IFERROR(__xludf.DUMMYFUNCTION("FILTER($J$2:$J$445,$K$2:$K$445=D109)"),"Anime Japanese Environmental Society")</f>
        <v>Anime Japanese Environmental Society</v>
      </c>
      <c r="C218" s="40" t="str">
        <f ca="1">IFERROR(__xludf.DUMMYFUNCTION("filter($M$1:$M$500, $N$1:$N$500=D109)"),"Geek")</f>
        <v>Geek</v>
      </c>
      <c r="D218" s="41">
        <v>745</v>
      </c>
      <c r="E218" s="43">
        <v>30</v>
      </c>
      <c r="F218" s="58" t="s">
        <v>126</v>
      </c>
      <c r="G218" s="55">
        <v>538</v>
      </c>
      <c r="H218" s="56" t="s">
        <v>60</v>
      </c>
      <c r="I218" s="59">
        <v>621</v>
      </c>
    </row>
    <row r="219" spans="1:9" ht="17" customHeight="1">
      <c r="A219" s="39">
        <v>44371</v>
      </c>
      <c r="B219" s="40" t="str">
        <f ca="1">IFERROR(__xludf.DUMMYFUNCTION("FILTER($J$2:$J$445,$K$2:$K$445=D210)"),"Rutgers University Rhythm Games Club")</f>
        <v>Rutgers University Rhythm Games Club</v>
      </c>
      <c r="C219" s="40" t="str">
        <f ca="1">IFERROR(__xludf.DUMMYFUNCTION("filter($M$1:$M$500, $N$1:$N$500=D210)"),"Geek")</f>
        <v>Geek</v>
      </c>
      <c r="D219" s="41">
        <v>1882</v>
      </c>
      <c r="E219" s="43">
        <v>786</v>
      </c>
      <c r="F219" s="58" t="s">
        <v>229</v>
      </c>
      <c r="G219" s="55">
        <v>217</v>
      </c>
      <c r="H219" s="56" t="s">
        <v>8</v>
      </c>
      <c r="I219" s="59">
        <v>1432</v>
      </c>
    </row>
    <row r="220" spans="1:9" ht="17" customHeight="1">
      <c r="A220" s="39">
        <v>44371</v>
      </c>
      <c r="B220" s="40" t="str">
        <f ca="1">IFERROR(__xludf.DUMMYFUNCTION("FILTER($J$2:$J$445,$K$2:$K$445=D219)"),"Rutgers Overwatch Club")</f>
        <v>Rutgers Overwatch Club</v>
      </c>
      <c r="C220" s="40" t="str">
        <f ca="1">IFERROR(__xludf.DUMMYFUNCTION("filter($M$1:$M$500, $N$1:$N$500=D219)"),"Geek")</f>
        <v>Geek</v>
      </c>
      <c r="D220" s="41">
        <v>1830</v>
      </c>
      <c r="E220" s="43">
        <v>553</v>
      </c>
      <c r="F220" s="58" t="s">
        <v>238</v>
      </c>
      <c r="G220" s="55">
        <v>518</v>
      </c>
      <c r="H220" s="56" t="s">
        <v>21</v>
      </c>
      <c r="I220" s="59">
        <v>1478</v>
      </c>
    </row>
    <row r="221" spans="1:9" ht="17" customHeight="1">
      <c r="A221" s="39">
        <v>44371</v>
      </c>
      <c r="B221" s="40" t="str">
        <f ca="1">IFERROR(__xludf.DUMMYFUNCTION("FILTER($J$2:$J$445,$K$2:$K$445=D226)"),"Hearthstone")</f>
        <v>Hearthstone</v>
      </c>
      <c r="C221" s="40" t="str">
        <f ca="1">IFERROR(__xludf.DUMMYFUNCTION("filter($M$1:$M$500, $N$1:$N$500=D226)"),"Geek")</f>
        <v>Geek</v>
      </c>
      <c r="D221" s="41">
        <v>1786</v>
      </c>
      <c r="E221" s="43">
        <v>35</v>
      </c>
      <c r="F221" s="58" t="s">
        <v>245</v>
      </c>
      <c r="G221" s="55">
        <v>233</v>
      </c>
      <c r="H221" s="56" t="s">
        <v>8</v>
      </c>
      <c r="I221" s="59">
        <v>1495</v>
      </c>
    </row>
    <row r="222" spans="1:9" ht="17" customHeight="1">
      <c r="A222" s="39">
        <v>44371</v>
      </c>
      <c r="B222" s="40" t="str">
        <f ca="1">IFERROR(__xludf.DUMMYFUNCTION("FILTER($J$2:$J$445,$K$2:$K$445=D234)"),"Pokemon Trainer's Club")</f>
        <v>Pokemon Trainer's Club</v>
      </c>
      <c r="C222" s="40" t="str">
        <f ca="1">IFERROR(__xludf.DUMMYFUNCTION("filter($M$1:$M$500, $N$1:$N$500=D234)"),"Geek")</f>
        <v>Geek</v>
      </c>
      <c r="D222" s="41">
        <v>1742</v>
      </c>
      <c r="E222" s="43">
        <v>390</v>
      </c>
      <c r="F222" s="58" t="s">
        <v>253</v>
      </c>
      <c r="G222" s="55">
        <v>1659</v>
      </c>
      <c r="H222" s="56" t="s">
        <v>28</v>
      </c>
      <c r="I222" s="59">
        <v>1530</v>
      </c>
    </row>
    <row r="223" spans="1:9" ht="17" customHeight="1">
      <c r="A223" s="39">
        <v>44371</v>
      </c>
      <c r="B223" s="40" t="str">
        <f ca="1">IFERROR(__xludf.DUMMYFUNCTION("FILTER($J$2:$J$445,$K$2:$K$445=D236)"),"Esports")</f>
        <v>Esports</v>
      </c>
      <c r="C223" s="40" t="str">
        <f ca="1">IFERROR(__xludf.DUMMYFUNCTION("filter($M$1:$M$500, $N$1:$N$500=D236)"),"Geek")</f>
        <v>Geek</v>
      </c>
      <c r="D223" s="41">
        <v>1716</v>
      </c>
      <c r="E223" s="43">
        <v>300</v>
      </c>
      <c r="F223" s="58" t="s">
        <v>255</v>
      </c>
      <c r="G223" s="55">
        <v>1953</v>
      </c>
      <c r="H223" s="56" t="s">
        <v>21</v>
      </c>
      <c r="I223" s="59">
        <v>1541</v>
      </c>
    </row>
    <row r="224" spans="1:9" ht="17" customHeight="1">
      <c r="A224" s="39">
        <v>44371</v>
      </c>
      <c r="B224" s="40" t="str">
        <f ca="1">IFERROR(__xludf.DUMMYFUNCTION("FILTER($J$2:$J$445,$K$2:$K$445=D239)"),"Counter-Strike Club")</f>
        <v>Counter-Strike Club</v>
      </c>
      <c r="C224" s="40" t="str">
        <f ca="1">IFERROR(__xludf.DUMMYFUNCTION("filter($M$1:$M$500, $N$1:$N$500=D239)"),"Geek")</f>
        <v>Geek</v>
      </c>
      <c r="D224" s="41">
        <v>1688</v>
      </c>
      <c r="E224" s="43">
        <v>209</v>
      </c>
      <c r="F224" s="58" t="s">
        <v>258</v>
      </c>
      <c r="G224" s="55">
        <v>639</v>
      </c>
      <c r="H224" s="56" t="s">
        <v>34</v>
      </c>
      <c r="I224" s="59">
        <v>1565</v>
      </c>
    </row>
    <row r="225" spans="1:9" ht="17" customHeight="1">
      <c r="A225" s="39">
        <v>44371</v>
      </c>
      <c r="B225" s="40" t="str">
        <f ca="1">IFERROR(__xludf.DUMMYFUNCTION("FILTER($J$2:$J$445,$K$2:$K$445=D244)"),"Yu-Gi-Oh Club")</f>
        <v>Yu-Gi-Oh Club</v>
      </c>
      <c r="C225" s="40" t="str">
        <f ca="1">IFERROR(__xludf.DUMMYFUNCTION("filter($M$1:$M$500, $N$1:$N$500=D244)"),"Geek")</f>
        <v>Geek</v>
      </c>
      <c r="D225" s="41">
        <v>1653</v>
      </c>
      <c r="E225" s="42">
        <v>1300</v>
      </c>
      <c r="F225" s="58" t="s">
        <v>263</v>
      </c>
      <c r="G225" s="55">
        <v>1220</v>
      </c>
      <c r="H225" s="56" t="s">
        <v>30</v>
      </c>
      <c r="I225" s="59">
        <v>1575</v>
      </c>
    </row>
    <row r="226" spans="1:9" ht="17" customHeight="1">
      <c r="A226" s="39">
        <v>44371</v>
      </c>
      <c r="B226" s="40" t="str">
        <f ca="1">IFERROR(__xludf.DUMMYFUNCTION("FILTER($J$2:$J$445,$K$2:$K$445=D247)"),"League of Legends")</f>
        <v>League of Legends</v>
      </c>
      <c r="C226" s="40" t="str">
        <f ca="1">IFERROR(__xludf.DUMMYFUNCTION("filter($M$1:$M$500, $N$1:$N$500=D247)"),"Geek")</f>
        <v>Geek</v>
      </c>
      <c r="D226" s="41">
        <v>1579</v>
      </c>
      <c r="E226" s="42">
        <v>1083</v>
      </c>
      <c r="F226" s="58" t="s">
        <v>266</v>
      </c>
      <c r="G226" s="55">
        <v>1399</v>
      </c>
      <c r="H226" s="56" t="s">
        <v>50</v>
      </c>
      <c r="I226" s="59">
        <v>1582</v>
      </c>
    </row>
    <row r="227" spans="1:9" ht="17" customHeight="1">
      <c r="A227" s="39">
        <v>44371</v>
      </c>
      <c r="B227" s="40" t="str">
        <f ca="1">IFERROR(__xludf.DUMMYFUNCTION("FILTER($J$2:$J$445,$K$2:$K$445=D251)"),"Scarlet Smash")</f>
        <v>Scarlet Smash</v>
      </c>
      <c r="C227" s="40" t="str">
        <f ca="1">IFERROR(__xludf.DUMMYFUNCTION("filter($M$1:$M$500, $N$1:$N$500=D251)"),"Geek")</f>
        <v>Geek</v>
      </c>
      <c r="D227" s="41">
        <v>1543</v>
      </c>
      <c r="E227" s="43">
        <v>758</v>
      </c>
      <c r="F227" s="58" t="s">
        <v>270</v>
      </c>
      <c r="G227" s="55">
        <v>1190</v>
      </c>
      <c r="H227" s="56" t="s">
        <v>17</v>
      </c>
      <c r="I227" s="59">
        <v>1594</v>
      </c>
    </row>
    <row r="228" spans="1:9" ht="17" customHeight="1">
      <c r="A228" s="39">
        <v>44371</v>
      </c>
      <c r="B228" s="40" t="str">
        <f ca="1">IFERROR(__xludf.DUMMYFUNCTION("FILTER($J$2:$J$445,$K$2:$K$445=D256)"),"DotA Club")</f>
        <v>DotA Club</v>
      </c>
      <c r="C228" s="40" t="str">
        <f ca="1">IFERROR(__xludf.DUMMYFUNCTION("filter($M$1:$M$500, $N$1:$N$500=D256)"),"Geek")</f>
        <v>Geek</v>
      </c>
      <c r="D228" s="41">
        <v>1529</v>
      </c>
      <c r="E228" s="43">
        <v>528</v>
      </c>
      <c r="F228" s="54" t="s">
        <v>275</v>
      </c>
      <c r="G228" s="58" t="s">
        <v>72</v>
      </c>
      <c r="H228" s="56" t="s">
        <v>60</v>
      </c>
      <c r="I228" s="59">
        <v>1652</v>
      </c>
    </row>
    <row r="229" spans="1:9" ht="17" customHeight="1">
      <c r="A229" s="39">
        <v>44371</v>
      </c>
      <c r="B229" s="40" t="str">
        <f ca="1">IFERROR(__xludf.DUMMYFUNCTION("FILTER($J$2:$J$445,$K$2:$K$445=D258)"),"Muggle Mayhem")</f>
        <v>Muggle Mayhem</v>
      </c>
      <c r="C229" s="40" t="str">
        <f ca="1">IFERROR(__xludf.DUMMYFUNCTION("filter($M$1:$M$500, $N$1:$N$500=D258)"),"Geek")</f>
        <v>Geek</v>
      </c>
      <c r="D229" s="41">
        <v>1492</v>
      </c>
      <c r="E229" s="43">
        <v>42</v>
      </c>
      <c r="F229" s="58" t="s">
        <v>277</v>
      </c>
      <c r="G229" s="55">
        <v>1769</v>
      </c>
      <c r="H229" s="56" t="s">
        <v>50</v>
      </c>
      <c r="I229" s="59">
        <v>1655</v>
      </c>
    </row>
    <row r="230" spans="1:9" ht="17" customHeight="1">
      <c r="A230" s="39">
        <v>44371</v>
      </c>
      <c r="B230" s="40" t="str">
        <f ca="1">IFERROR(__xludf.DUMMYFUNCTION("FILTER($J$2:$J$445,$K$2:$K$445=D88)"),"Culinary Club")</f>
        <v>Culinary Club</v>
      </c>
      <c r="C230" s="40" t="str">
        <f ca="1">IFERROR(__xludf.DUMMYFUNCTION("filter($M$1:$M$500, $N$1:$N$500=D88)"),"Leisure")</f>
        <v>Leisure</v>
      </c>
      <c r="D230" s="41">
        <v>1273</v>
      </c>
      <c r="E230" s="42">
        <v>1704.98</v>
      </c>
      <c r="F230" s="54" t="s">
        <v>105</v>
      </c>
      <c r="G230" s="55">
        <v>157</v>
      </c>
      <c r="H230" s="56" t="s">
        <v>30</v>
      </c>
      <c r="I230" s="59">
        <v>481</v>
      </c>
    </row>
    <row r="231" spans="1:9" ht="17" customHeight="1">
      <c r="A231" s="39">
        <v>44371</v>
      </c>
      <c r="B231" s="40" t="str">
        <f ca="1">IFERROR(__xludf.DUMMYFUNCTION("FILTER($J$2:$J$445,$K$2:$K$445=D138)"),"Chess Club")</f>
        <v>Chess Club</v>
      </c>
      <c r="C231" s="40" t="str">
        <f ca="1">IFERROR(__xludf.DUMMYFUNCTION("filter($M$1:$M$500, $N$1:$N$500=D138)"),"Leisure")</f>
        <v>Leisure</v>
      </c>
      <c r="D231" s="41">
        <v>414</v>
      </c>
      <c r="E231" s="43">
        <v>480</v>
      </c>
      <c r="F231" s="54" t="s">
        <v>157</v>
      </c>
      <c r="G231" s="55">
        <v>1960</v>
      </c>
      <c r="H231" s="56" t="s">
        <v>30</v>
      </c>
      <c r="I231" s="59">
        <v>761</v>
      </c>
    </row>
    <row r="232" spans="1:9" ht="17" customHeight="1">
      <c r="A232" s="39">
        <v>44371</v>
      </c>
      <c r="B232" s="40" t="str">
        <f ca="1">IFERROR(__xludf.DUMMYFUNCTION("FILTER($J$2:$J$445,$K$2:$K$445=D209)"),"Stitch for Life")</f>
        <v>Stitch for Life</v>
      </c>
      <c r="C232" s="40" t="str">
        <f ca="1">IFERROR(__xludf.DUMMYFUNCTION("filter($M$1:$M$500, $N$1:$N$500=D209)"),"Leisure")</f>
        <v>Leisure</v>
      </c>
      <c r="D232" s="41">
        <v>1883</v>
      </c>
      <c r="E232" s="43">
        <v>368</v>
      </c>
      <c r="F232" s="58" t="s">
        <v>228</v>
      </c>
      <c r="G232" s="55">
        <v>1432</v>
      </c>
      <c r="H232" s="56" t="s">
        <v>17</v>
      </c>
      <c r="I232" s="59">
        <v>1425</v>
      </c>
    </row>
    <row r="233" spans="1:9" ht="17" customHeight="1">
      <c r="A233" s="39">
        <v>44371</v>
      </c>
      <c r="B233" s="40" t="str">
        <f ca="1">IFERROR(__xludf.DUMMYFUNCTION("FILTER($J$2:$J$445,$K$2:$K$445=D220)"),"Creative Writing Club")</f>
        <v>Creative Writing Club</v>
      </c>
      <c r="C233" s="40" t="str">
        <f ca="1">IFERROR(__xludf.DUMMYFUNCTION("filter($M$1:$M$500, $N$1:$N$500=D220)"),"Leisure")</f>
        <v>Leisure</v>
      </c>
      <c r="D233" s="41">
        <v>1819</v>
      </c>
      <c r="E233" s="43">
        <v>337.05</v>
      </c>
      <c r="F233" s="58" t="s">
        <v>239</v>
      </c>
      <c r="G233" s="55">
        <v>549</v>
      </c>
      <c r="H233" s="56" t="s">
        <v>21</v>
      </c>
      <c r="I233" s="59">
        <v>1483</v>
      </c>
    </row>
    <row r="234" spans="1:9" ht="17" customHeight="1">
      <c r="A234" s="39">
        <v>44371</v>
      </c>
      <c r="B234" s="40" t="str">
        <f ca="1">IFERROR(__xludf.DUMMYFUNCTION("FILTER($J$2:$J$445,$K$2:$K$445=D286)"),"Culinary Club")</f>
        <v>Culinary Club</v>
      </c>
      <c r="C234" s="40" t="str">
        <f ca="1">IFERROR(__xludf.DUMMYFUNCTION("filter($M$1:$M$500, $N$1:$N$500=D286)"),"Leisure")</f>
        <v>Leisure</v>
      </c>
      <c r="D234" s="41">
        <v>1273</v>
      </c>
      <c r="E234" s="42">
        <v>1073</v>
      </c>
      <c r="F234" s="54" t="s">
        <v>305</v>
      </c>
      <c r="G234" s="55">
        <v>1716</v>
      </c>
      <c r="H234" s="56" t="s">
        <v>17</v>
      </c>
      <c r="I234" s="59">
        <v>1769</v>
      </c>
    </row>
    <row r="235" spans="1:9" ht="17" customHeight="1">
      <c r="A235" s="39">
        <v>44371</v>
      </c>
      <c r="B235" s="40" t="str">
        <f ca="1">IFERROR(__xludf.DUMMYFUNCTION("FILTER($J$2:$J$445,$K$2:$K$445=D322)"),"Rutgers Juggling Club ")</f>
        <v xml:space="preserve">Rutgers Juggling Club </v>
      </c>
      <c r="C235" s="40" t="str">
        <f ca="1">IFERROR(__xludf.DUMMYFUNCTION("filter($M$1:$M$500, $N$1:$N$500=D322)"),"Leisure")</f>
        <v>Leisure</v>
      </c>
      <c r="D235" s="41">
        <v>621</v>
      </c>
      <c r="E235" s="43">
        <v>129</v>
      </c>
      <c r="F235" s="58" t="s">
        <v>342</v>
      </c>
      <c r="G235" s="55">
        <v>1896</v>
      </c>
      <c r="H235" s="56" t="s">
        <v>66</v>
      </c>
      <c r="I235" s="59">
        <v>1877</v>
      </c>
    </row>
    <row r="236" spans="1:9" ht="17" customHeight="1">
      <c r="A236" s="39">
        <v>44371</v>
      </c>
      <c r="B236" s="40" t="str">
        <f ca="1">IFERROR(__xludf.DUMMYFUNCTION("FILTER($J$2:$J$445,$K$2:$K$445=D364)"),"Outdoors Club")</f>
        <v>Outdoors Club</v>
      </c>
      <c r="C236" s="40" t="str">
        <f ca="1">IFERROR(__xludf.DUMMYFUNCTION("filter($M$1:$M$500, $N$1:$N$500=D364)"),"Leisure")</f>
        <v>Leisure</v>
      </c>
      <c r="D236" s="41">
        <v>217</v>
      </c>
      <c r="E236" s="43">
        <v>247</v>
      </c>
      <c r="F236" s="58" t="s">
        <v>386</v>
      </c>
      <c r="G236" s="55">
        <v>1274</v>
      </c>
      <c r="H236" s="56" t="s">
        <v>34</v>
      </c>
      <c r="I236" s="59">
        <v>1960</v>
      </c>
    </row>
    <row r="237" spans="1:9" ht="17" customHeight="1">
      <c r="A237" s="39">
        <v>44371</v>
      </c>
      <c r="B237" s="40" t="str">
        <f ca="1">IFERROR(__xludf.DUMMYFUNCTION("FILTER($J$2:$J$445,$K$2:$K$445=D52)"),"Her Campus Rutgers")</f>
        <v>Her Campus Rutgers</v>
      </c>
      <c r="C237" s="40" t="str">
        <f ca="1">IFERROR(__xludf.DUMMYFUNCTION("filter($M$1:$M$500, $N$1:$N$500=D52)"),"Media")</f>
        <v>Media</v>
      </c>
      <c r="D237" s="41">
        <v>1741</v>
      </c>
      <c r="E237" s="42">
        <v>1100</v>
      </c>
      <c r="F237" s="58" t="s">
        <v>68</v>
      </c>
      <c r="G237" s="55">
        <v>1438</v>
      </c>
      <c r="H237" s="56" t="s">
        <v>28</v>
      </c>
      <c r="I237" s="59">
        <v>244</v>
      </c>
    </row>
    <row r="238" spans="1:9" ht="17" customHeight="1">
      <c r="A238" s="39">
        <v>44371</v>
      </c>
      <c r="B238" s="40" t="str">
        <f ca="1">IFERROR(__xludf.DUMMYFUNCTION("FILTER($J$2:$J$445,$K$2:$K$445=D100)"),"The Examiner: Pre-Health Journal")</f>
        <v>The Examiner: Pre-Health Journal</v>
      </c>
      <c r="C238" s="40" t="str">
        <f ca="1">IFERROR(__xludf.DUMMYFUNCTION("filter($M$1:$M$500, $N$1:$N$500=D100)"),"Media")</f>
        <v>Media</v>
      </c>
      <c r="D238" s="41">
        <v>1078</v>
      </c>
      <c r="E238" s="43">
        <v>548.25</v>
      </c>
      <c r="F238" s="58" t="s">
        <v>117</v>
      </c>
      <c r="G238" s="55">
        <v>1719</v>
      </c>
      <c r="H238" s="56" t="s">
        <v>30</v>
      </c>
      <c r="I238" s="59">
        <v>567</v>
      </c>
    </row>
    <row r="239" spans="1:9" ht="17" customHeight="1">
      <c r="A239" s="39">
        <v>44371</v>
      </c>
      <c r="B239" s="40" t="str">
        <f ca="1">IFERROR(__xludf.DUMMYFUNCTION("FILTER($J$2:$J$445,$K$2:$K$445=D128)"),"Photography Club")</f>
        <v>Photography Club</v>
      </c>
      <c r="C239" s="40" t="str">
        <f ca="1">IFERROR(__xludf.DUMMYFUNCTION("filter($M$1:$M$500, $N$1:$N$500=D128)"),"Media")</f>
        <v>Media</v>
      </c>
      <c r="D239" s="41">
        <v>549</v>
      </c>
      <c r="E239" s="43">
        <v>300</v>
      </c>
      <c r="F239" s="54" t="s">
        <v>146</v>
      </c>
      <c r="G239" s="55">
        <v>218</v>
      </c>
      <c r="H239" s="56" t="s">
        <v>8</v>
      </c>
      <c r="I239" s="59">
        <v>722</v>
      </c>
    </row>
    <row r="240" spans="1:9" ht="17" customHeight="1">
      <c r="A240" s="39">
        <v>44371</v>
      </c>
      <c r="B240" s="40" t="str">
        <f ca="1">IFERROR(__xludf.DUMMYFUNCTION("FILTER($J$2:$J$445,$K$2:$K$445=D173)"),"Film Productions")</f>
        <v>Film Productions</v>
      </c>
      <c r="C240" s="40" t="str">
        <f ca="1">IFERROR(__xludf.DUMMYFUNCTION("filter($M$1:$M$500, $N$1:$N$500=D173)"),"Media")</f>
        <v>Media</v>
      </c>
      <c r="D240" s="41">
        <v>90</v>
      </c>
      <c r="E240" s="43">
        <v>80</v>
      </c>
      <c r="F240" s="54" t="s">
        <v>192</v>
      </c>
      <c r="G240" s="55">
        <v>1579</v>
      </c>
      <c r="H240" s="56" t="s">
        <v>34</v>
      </c>
      <c r="I240" s="59">
        <v>1205</v>
      </c>
    </row>
    <row r="241" spans="1:9" ht="17" customHeight="1">
      <c r="A241" s="39">
        <v>44371</v>
      </c>
      <c r="B241" s="40" t="str">
        <f ca="1">IFERROR(__xludf.DUMMYFUNCTION("FILTER($J$2:$J$445,$K$2:$K$445=D235)"),"Her Campus Rutgers")</f>
        <v>Her Campus Rutgers</v>
      </c>
      <c r="C241" s="40" t="str">
        <f ca="1">IFERROR(__xludf.DUMMYFUNCTION("filter($M$1:$M$500, $N$1:$N$500=D235)"),"Media")</f>
        <v>Media</v>
      </c>
      <c r="D241" s="41">
        <v>1741</v>
      </c>
      <c r="E241" s="43">
        <v>141.47999999999999</v>
      </c>
      <c r="F241" s="58" t="s">
        <v>254</v>
      </c>
      <c r="G241" s="55">
        <v>269</v>
      </c>
      <c r="H241" s="56" t="s">
        <v>50</v>
      </c>
      <c r="I241" s="59">
        <v>1538</v>
      </c>
    </row>
    <row r="242" spans="1:9" ht="17" customHeight="1">
      <c r="A242" s="39">
        <v>44371</v>
      </c>
      <c r="B242" s="40" t="str">
        <f ca="1">IFERROR(__xludf.DUMMYFUNCTION("FILTER($J$2:$J$445,$K$2:$K$445=D275)"),"The Imaginate")</f>
        <v>The Imaginate</v>
      </c>
      <c r="C242" s="40" t="str">
        <f ca="1">IFERROR(__xludf.DUMMYFUNCTION("filter($M$1:$M$500, $N$1:$N$500=D275)"),"Media")</f>
        <v>Media</v>
      </c>
      <c r="D242" s="41">
        <v>1355</v>
      </c>
      <c r="E242" s="43">
        <v>10</v>
      </c>
      <c r="F242" s="58" t="s">
        <v>294</v>
      </c>
      <c r="G242" s="55">
        <v>1836</v>
      </c>
      <c r="H242" s="56" t="s">
        <v>153</v>
      </c>
      <c r="I242" s="59">
        <v>1742</v>
      </c>
    </row>
    <row r="243" spans="1:9" ht="17" customHeight="1">
      <c r="A243" s="39">
        <v>44371</v>
      </c>
      <c r="B243" s="40" t="str">
        <f ca="1">IFERROR(__xludf.DUMMYFUNCTION("FILTER($J$2:$J$445,$K$2:$K$445=D328)"),"Photography Club")</f>
        <v>Photography Club</v>
      </c>
      <c r="C243" s="40" t="str">
        <f ca="1">IFERROR(__xludf.DUMMYFUNCTION("filter($M$1:$M$500, $N$1:$N$500=D328)"),"Media")</f>
        <v>Media</v>
      </c>
      <c r="D243" s="41">
        <v>549</v>
      </c>
      <c r="E243" s="42">
        <v>1493</v>
      </c>
      <c r="F243" s="58" t="s">
        <v>348</v>
      </c>
      <c r="G243" s="55">
        <v>347</v>
      </c>
      <c r="H243" s="56" t="s">
        <v>60</v>
      </c>
      <c r="I243" s="59">
        <v>1883</v>
      </c>
    </row>
    <row r="244" spans="1:9" ht="17" customHeight="1">
      <c r="A244" s="39">
        <v>44371</v>
      </c>
      <c r="B244" s="40" t="str">
        <f ca="1">IFERROR(__xludf.DUMMYFUNCTION("FILTER($J$2:$J$445,$K$2:$K$445=D380)"),"Film Productions")</f>
        <v>Film Productions</v>
      </c>
      <c r="C244" s="40" t="str">
        <f ca="1">IFERROR(__xludf.DUMMYFUNCTION("filter($M$1:$M$500, $N$1:$N$500=D380)"),"Media")</f>
        <v>Media</v>
      </c>
      <c r="D244" s="41">
        <v>90</v>
      </c>
      <c r="E244" s="43">
        <v>135</v>
      </c>
      <c r="F244" s="58" t="s">
        <v>402</v>
      </c>
      <c r="G244" s="55">
        <v>776</v>
      </c>
    </row>
    <row r="245" spans="1:9" ht="17" customHeight="1">
      <c r="A245" s="39">
        <v>44371</v>
      </c>
      <c r="B245" s="40" t="str">
        <f ca="1">IFERROR(__xludf.DUMMYFUNCTION("FILTER($J$2:$J$445,$K$2:$K$445=D395)"),"The Anthologist")</f>
        <v>The Anthologist</v>
      </c>
      <c r="C245" s="40" t="str">
        <f ca="1">IFERROR(__xludf.DUMMYFUNCTION("filter($M$1:$M$500, $N$1:$N$500=D395)"),"Media")</f>
        <v>Media</v>
      </c>
      <c r="D245" s="41">
        <v>17</v>
      </c>
      <c r="E245" s="43">
        <v>175</v>
      </c>
      <c r="F245" s="54" t="s">
        <v>418</v>
      </c>
      <c r="G245" s="55">
        <v>1819</v>
      </c>
    </row>
    <row r="246" spans="1:9" ht="17" customHeight="1">
      <c r="A246" s="39">
        <v>44371</v>
      </c>
      <c r="B246" s="40" t="str">
        <f ca="1">IFERROR(__xludf.DUMMYFUNCTION("FILTER($J$2:$J$445,$K$2:$K$445=D197)"),"Asian Pacific American Medical Student Association")</f>
        <v>Asian Pacific American Medical Student Association</v>
      </c>
      <c r="C246" s="40" t="str">
        <f ca="1">IFERROR(__xludf.DUMMYFUNCTION("filter($M$1:$M$500, $N$1:$N$500=D197)"),"No Category")</f>
        <v>No Category</v>
      </c>
      <c r="D246" s="41">
        <v>1972</v>
      </c>
      <c r="E246" s="43">
        <v>254</v>
      </c>
      <c r="F246" s="58" t="s">
        <v>216</v>
      </c>
      <c r="G246" s="55">
        <v>1439</v>
      </c>
      <c r="H246" s="56" t="s">
        <v>21</v>
      </c>
      <c r="I246" s="59">
        <v>1373</v>
      </c>
    </row>
    <row r="247" spans="1:9" ht="17" customHeight="1">
      <c r="A247" s="39">
        <v>44371</v>
      </c>
      <c r="B247" s="40" t="str">
        <f ca="1">IFERROR(__xludf.DUMMYFUNCTION("FILTER($J$2:$J$445,$K$2:$K$445=D198)"),"#N/A")</f>
        <v>#N/A</v>
      </c>
      <c r="C247" s="40" t="str">
        <f ca="1">IFERROR(__xludf.DUMMYFUNCTION("filter($M$1:$M$500, $N$1:$N$500=D198)"),"No Category")</f>
        <v>No Category</v>
      </c>
      <c r="D247" s="41">
        <v>1962</v>
      </c>
      <c r="E247" s="43">
        <v>364.75</v>
      </c>
      <c r="F247" s="54" t="s">
        <v>217</v>
      </c>
      <c r="G247" s="55">
        <v>443</v>
      </c>
      <c r="H247" s="56" t="s">
        <v>28</v>
      </c>
      <c r="I247" s="59">
        <v>1376</v>
      </c>
    </row>
    <row r="248" spans="1:9" ht="17" customHeight="1">
      <c r="A248" s="39">
        <v>44371</v>
      </c>
      <c r="B248" s="40" t="str">
        <f ca="1">IFERROR(__xludf.DUMMYFUNCTION("FILTER($J$2:$J$445,$K$2:$K$445=D207)"),"Pre-Nursing Society")</f>
        <v>Pre-Nursing Society</v>
      </c>
      <c r="C248" s="40" t="str">
        <f ca="1">IFERROR(__xludf.DUMMYFUNCTION("filter($M$1:$M$500, $N$1:$N$500=D207)"),"No Category")</f>
        <v>No Category</v>
      </c>
      <c r="D248" s="41">
        <v>1905</v>
      </c>
      <c r="E248" s="43">
        <v>112.12</v>
      </c>
      <c r="F248" s="58" t="s">
        <v>226</v>
      </c>
      <c r="G248" s="55">
        <v>84</v>
      </c>
      <c r="H248" s="56" t="s">
        <v>17</v>
      </c>
      <c r="I248" s="59">
        <v>1416</v>
      </c>
    </row>
    <row r="249" spans="1:9" ht="17" customHeight="1">
      <c r="A249" s="39">
        <v>44371</v>
      </c>
      <c r="B249" s="40" t="str">
        <f ca="1">IFERROR(__xludf.DUMMYFUNCTION("FILTER($J$2:$J$445,$K$2:$K$445=D3)"),"RU Natya ")</f>
        <v xml:space="preserve">RU Natya </v>
      </c>
      <c r="C249" s="40" t="str">
        <f ca="1">IFERROR(__xludf.DUMMYFUNCTION("filter($M$1:$M$500, $N$1:$N$500=D3)"),"Performing Arts")</f>
        <v>Performing Arts</v>
      </c>
      <c r="D249" s="41">
        <v>1125</v>
      </c>
      <c r="E249" s="43">
        <v>20</v>
      </c>
      <c r="F249" s="54" t="s">
        <v>9</v>
      </c>
      <c r="G249" s="55">
        <v>1312</v>
      </c>
      <c r="H249" s="54" t="s">
        <v>10</v>
      </c>
      <c r="I249" s="59">
        <v>17</v>
      </c>
    </row>
    <row r="250" spans="1:9" ht="17" customHeight="1">
      <c r="A250" s="39">
        <v>44371</v>
      </c>
      <c r="B250" s="40" t="str">
        <f ca="1">IFERROR(__xludf.DUMMYFUNCTION("FILTER($J$2:$J$445,$K$2:$K$445=D23)"),"Rutgers Tamash ")</f>
        <v xml:space="preserve">Rutgers Tamash </v>
      </c>
      <c r="C250" s="40" t="str">
        <f ca="1">IFERROR(__xludf.DUMMYFUNCTION("filter($M$1:$M$500, $N$1:$N$500=D23)"),"Performing Arts")</f>
        <v>Performing Arts</v>
      </c>
      <c r="D250" s="41">
        <v>1948</v>
      </c>
      <c r="E250" s="42">
        <v>1440</v>
      </c>
      <c r="F250" s="58" t="s">
        <v>36</v>
      </c>
      <c r="G250" s="55">
        <v>767</v>
      </c>
      <c r="H250" s="56" t="s">
        <v>10</v>
      </c>
      <c r="I250" s="59">
        <v>90</v>
      </c>
    </row>
    <row r="251" spans="1:9" ht="17" customHeight="1">
      <c r="A251" s="39">
        <v>44371</v>
      </c>
      <c r="B251" s="40" t="str">
        <f ca="1">IFERROR(__xludf.DUMMYFUNCTION("FILTER($J$2:$J$445,$K$2:$K$445=D73)"),"Haru Kpop Dance Cover Club ")</f>
        <v xml:space="preserve">Haru Kpop Dance Cover Club </v>
      </c>
      <c r="C251" s="40" t="str">
        <f ca="1">IFERROR(__xludf.DUMMYFUNCTION("filter($M$1:$M$500, $N$1:$N$500=D73)"),"Performing Arts")</f>
        <v>Performing Arts</v>
      </c>
      <c r="D251" s="41">
        <v>1467</v>
      </c>
      <c r="E251" s="43">
        <v>15</v>
      </c>
      <c r="F251" s="58" t="s">
        <v>90</v>
      </c>
      <c r="G251" s="55">
        <v>1952</v>
      </c>
      <c r="H251" s="56" t="s">
        <v>8</v>
      </c>
      <c r="I251" s="59">
        <v>357</v>
      </c>
    </row>
    <row r="252" spans="1:9" ht="17" customHeight="1">
      <c r="A252" s="39">
        <v>44371</v>
      </c>
      <c r="B252" s="40" t="str">
        <f ca="1">IFERROR(__xludf.DUMMYFUNCTION("FILTER($J$2:$J$445,$K$2:$K$445=D80)"),"Nuttin  but V.O.C.A.L.S.")</f>
        <v>Nuttin  but V.O.C.A.L.S.</v>
      </c>
      <c r="C252" s="40" t="str">
        <f ca="1">IFERROR(__xludf.DUMMYFUNCTION("filter($M$1:$M$500, $N$1:$N$500=D80)"),"Performing Arts")</f>
        <v>Performing Arts</v>
      </c>
      <c r="D252" s="41">
        <v>1334</v>
      </c>
      <c r="E252" s="42">
        <v>2400</v>
      </c>
      <c r="F252" s="58" t="s">
        <v>97</v>
      </c>
      <c r="G252" s="55">
        <v>1323</v>
      </c>
      <c r="H252" s="56" t="s">
        <v>50</v>
      </c>
      <c r="I252" s="59">
        <v>405</v>
      </c>
    </row>
    <row r="253" spans="1:9" ht="17" customHeight="1">
      <c r="A253" s="39">
        <v>44371</v>
      </c>
      <c r="B253" s="40" t="str">
        <f ca="1">IFERROR(__xludf.DUMMYFUNCTION("FILTER($J$2:$J$445,$K$2:$K$445=D97)"),"Swing Dance Club")</f>
        <v>Swing Dance Club</v>
      </c>
      <c r="C253" s="40" t="str">
        <f ca="1">IFERROR(__xludf.DUMMYFUNCTION("filter($M$1:$M$500, $N$1:$N$500=D97)"),"Performing Arts")</f>
        <v>Performing Arts</v>
      </c>
      <c r="D253" s="41">
        <v>1141</v>
      </c>
      <c r="E253" s="43">
        <v>300</v>
      </c>
      <c r="F253" s="58" t="s">
        <v>114</v>
      </c>
      <c r="G253" s="55">
        <v>725</v>
      </c>
      <c r="H253" s="56" t="s">
        <v>30</v>
      </c>
      <c r="I253" s="59">
        <v>538</v>
      </c>
    </row>
    <row r="254" spans="1:9" ht="17" customHeight="1">
      <c r="A254" s="39">
        <v>44371</v>
      </c>
      <c r="B254" s="40" t="str">
        <f ca="1">IFERROR(__xludf.DUMMYFUNCTION("FILTER($J$2:$J$445,$K$2:$K$445=D103)"),"Carbaret Theatre")</f>
        <v>Carbaret Theatre</v>
      </c>
      <c r="C254" s="40" t="str">
        <f ca="1">IFERROR(__xludf.DUMMYFUNCTION("filter($M$1:$M$500, $N$1:$N$500=D103)"),"Performing Arts")</f>
        <v>Performing Arts</v>
      </c>
      <c r="D254" s="41">
        <v>1023</v>
      </c>
      <c r="E254" s="42">
        <v>3485.03</v>
      </c>
      <c r="F254" s="54" t="s">
        <v>120</v>
      </c>
      <c r="G254" s="55">
        <v>66</v>
      </c>
      <c r="H254" s="56" t="s">
        <v>17</v>
      </c>
      <c r="I254" s="59">
        <v>586</v>
      </c>
    </row>
    <row r="255" spans="1:9" ht="17" customHeight="1">
      <c r="A255" s="39">
        <v>44371</v>
      </c>
      <c r="B255" s="40" t="str">
        <f ca="1">IFERROR(__xludf.DUMMYFUNCTION("FILTER($J$2:$J$445,$K$2:$K$445=D107)"),"Livingston Theatre Company ")</f>
        <v xml:space="preserve">Livingston Theatre Company </v>
      </c>
      <c r="C255" s="40" t="str">
        <f ca="1">IFERROR(__xludf.DUMMYFUNCTION("filter($M$1:$M$500, $N$1:$N$500=D107)"),"Performing Arts")</f>
        <v>Performing Arts</v>
      </c>
      <c r="D255" s="41">
        <v>761</v>
      </c>
      <c r="E255" s="42">
        <v>4609.09</v>
      </c>
      <c r="F255" s="58" t="s">
        <v>124</v>
      </c>
      <c r="G255" s="55">
        <v>1608</v>
      </c>
      <c r="H255" s="56" t="s">
        <v>50</v>
      </c>
      <c r="I255" s="59">
        <v>615</v>
      </c>
    </row>
    <row r="256" spans="1:9" ht="17" customHeight="1">
      <c r="A256" s="39">
        <v>44371</v>
      </c>
      <c r="B256" s="40" t="str">
        <f ca="1">IFERROR(__xludf.DUMMYFUNCTION("FILTER($J$2:$J$445,$K$2:$K$445=D114)"),"Belly Dance Troupe")</f>
        <v>Belly Dance Troupe</v>
      </c>
      <c r="C256" s="40" t="str">
        <f ca="1">IFERROR(__xludf.DUMMYFUNCTION("filter($M$1:$M$500, $N$1:$N$500=D114)"),"Performing Arts")</f>
        <v>Performing Arts</v>
      </c>
      <c r="D256" s="41">
        <v>712</v>
      </c>
      <c r="E256" s="43">
        <v>47.32</v>
      </c>
      <c r="F256" s="58" t="s">
        <v>132</v>
      </c>
      <c r="G256" s="55">
        <v>1468</v>
      </c>
      <c r="H256" s="56" t="s">
        <v>50</v>
      </c>
      <c r="I256" s="59">
        <v>649</v>
      </c>
    </row>
    <row r="257" spans="1:9" ht="17" customHeight="1">
      <c r="A257" s="39">
        <v>44371</v>
      </c>
      <c r="B257" s="40" t="str">
        <f ca="1">IFERROR(__xludf.DUMMYFUNCTION("FILTER($J$2:$J$445,$K$2:$K$445=D118)"),"Liberated Gospel Choir")</f>
        <v>Liberated Gospel Choir</v>
      </c>
      <c r="C257" s="40" t="str">
        <f ca="1">IFERROR(__xludf.DUMMYFUNCTION("filter($M$1:$M$500, $N$1:$N$500=D118)"),"Performing Arts")</f>
        <v>Performing Arts</v>
      </c>
      <c r="D257" s="41">
        <v>677</v>
      </c>
      <c r="E257" s="42">
        <v>2739</v>
      </c>
      <c r="F257" s="58" t="s">
        <v>136</v>
      </c>
      <c r="G257" s="55">
        <v>131</v>
      </c>
      <c r="H257" s="56" t="s">
        <v>21</v>
      </c>
      <c r="I257" s="59">
        <v>663</v>
      </c>
    </row>
    <row r="258" spans="1:9" ht="17" customHeight="1">
      <c r="A258" s="39">
        <v>44371</v>
      </c>
      <c r="B258" s="40" t="str">
        <f ca="1">IFERROR(__xludf.DUMMYFUNCTION("FILTER($J$2:$J$445,$K$2:$K$445=D121)"),"University Choir")</f>
        <v>University Choir</v>
      </c>
      <c r="C258" s="40" t="str">
        <f ca="1">IFERROR(__xludf.DUMMYFUNCTION("filter($M$1:$M$500, $N$1:$N$500=D121)"),"Performing Arts")</f>
        <v>Performing Arts</v>
      </c>
      <c r="D258" s="41">
        <v>653</v>
      </c>
      <c r="E258" s="43">
        <v>945</v>
      </c>
      <c r="F258" s="54" t="s">
        <v>139</v>
      </c>
      <c r="G258" s="55">
        <v>132</v>
      </c>
      <c r="H258" s="56" t="s">
        <v>30</v>
      </c>
      <c r="I258" s="59">
        <v>677</v>
      </c>
    </row>
    <row r="259" spans="1:9" ht="17" customHeight="1">
      <c r="A259" s="39">
        <v>44371</v>
      </c>
      <c r="B259" s="40" t="str">
        <f ca="1">IFERROR(__xludf.DUMMYFUNCTION("FILTER($J$2:$J$445,$K$2:$K$445=D125)"),"RU Bhangra")</f>
        <v>RU Bhangra</v>
      </c>
      <c r="C259" s="40" t="str">
        <f ca="1">IFERROR(__xludf.DUMMYFUNCTION("filter($M$1:$M$500, $N$1:$N$500=D125)"),"Performing Arts")</f>
        <v>Performing Arts</v>
      </c>
      <c r="D259" s="41">
        <v>587</v>
      </c>
      <c r="E259" s="42">
        <v>2500</v>
      </c>
      <c r="F259" s="58" t="s">
        <v>143</v>
      </c>
      <c r="G259" s="55">
        <v>1411</v>
      </c>
      <c r="H259" s="56" t="s">
        <v>17</v>
      </c>
      <c r="I259" s="59">
        <v>707</v>
      </c>
    </row>
    <row r="260" spans="1:9" ht="17" customHeight="1">
      <c r="A260" s="39">
        <v>44371</v>
      </c>
      <c r="B260" s="40" t="str">
        <f ca="1">IFERROR(__xludf.DUMMYFUNCTION("FILTER($J$2:$J$445,$K$2:$K$445=D130)"),"First Light")</f>
        <v>First Light</v>
      </c>
      <c r="C260" s="40" t="str">
        <f ca="1">IFERROR(__xludf.DUMMYFUNCTION("filter($M$1:$M$500, $N$1:$N$500=D130)"),"Performing Arts")</f>
        <v>Performing Arts</v>
      </c>
      <c r="D260" s="41">
        <v>538</v>
      </c>
      <c r="E260" s="42">
        <v>1250</v>
      </c>
      <c r="F260" s="54" t="s">
        <v>148</v>
      </c>
      <c r="G260" s="55">
        <v>1373</v>
      </c>
      <c r="H260" s="56" t="s">
        <v>17</v>
      </c>
      <c r="I260" s="59">
        <v>726</v>
      </c>
    </row>
    <row r="261" spans="1:9" ht="17" customHeight="1">
      <c r="A261" s="39">
        <v>44371</v>
      </c>
      <c r="B261" s="40" t="str">
        <f ca="1">IFERROR(__xludf.DUMMYFUNCTION("FILTER($J$2:$J$445,$K$2:$K$445=D136)"),"Shock Wave")</f>
        <v>Shock Wave</v>
      </c>
      <c r="C261" s="40" t="str">
        <f ca="1">IFERROR(__xludf.DUMMYFUNCTION("filter($M$1:$M$500, $N$1:$N$500=D136)"),"Performing Arts")</f>
        <v>Performing Arts</v>
      </c>
      <c r="D261" s="41">
        <v>437</v>
      </c>
      <c r="E261" s="43">
        <v>32.840000000000003</v>
      </c>
      <c r="F261" s="54" t="s">
        <v>155</v>
      </c>
      <c r="G261" s="55">
        <v>1741</v>
      </c>
      <c r="H261" s="56" t="s">
        <v>66</v>
      </c>
      <c r="I261" s="59">
        <v>748</v>
      </c>
    </row>
    <row r="262" spans="1:9" ht="17" customHeight="1">
      <c r="A262" s="39">
        <v>44371</v>
      </c>
      <c r="B262" s="40" t="str">
        <f ca="1">IFERROR(__xludf.DUMMYFUNCTION("FILTER($J$2:$J$445,$K$2:$K$445=D139)"),"Orphan Sporks")</f>
        <v>Orphan Sporks</v>
      </c>
      <c r="C262" s="40" t="str">
        <f ca="1">IFERROR(__xludf.DUMMYFUNCTION("filter($M$1:$M$500, $N$1:$N$500=D139)"),"Performing Arts")</f>
        <v>Performing Arts</v>
      </c>
      <c r="D262" s="41">
        <v>407</v>
      </c>
      <c r="E262" s="43">
        <v>565</v>
      </c>
      <c r="F262" s="54" t="s">
        <v>158</v>
      </c>
      <c r="G262" s="55">
        <v>1944</v>
      </c>
      <c r="H262" s="56" t="s">
        <v>8</v>
      </c>
      <c r="I262" s="59">
        <v>767</v>
      </c>
    </row>
    <row r="263" spans="1:9" ht="17" customHeight="1">
      <c r="A263" s="39">
        <v>44371</v>
      </c>
      <c r="B263" s="40" t="str">
        <f ca="1">IFERROR(__xludf.DUMMYFUNCTION("FILTER($J$2:$J$445,$K$2:$K$445=D142)"),"Dhol Effect")</f>
        <v>Dhol Effect</v>
      </c>
      <c r="C263" s="40" t="str">
        <f ca="1">IFERROR(__xludf.DUMMYFUNCTION("filter($M$1:$M$500, $N$1:$N$500=D142)"),"Performing Arts")</f>
        <v>Performing Arts</v>
      </c>
      <c r="D263" s="41">
        <v>363</v>
      </c>
      <c r="E263" s="43">
        <v>200</v>
      </c>
      <c r="F263" s="54" t="s">
        <v>161</v>
      </c>
      <c r="G263" s="55">
        <v>1785</v>
      </c>
      <c r="H263" s="56" t="s">
        <v>50</v>
      </c>
      <c r="I263" s="59">
        <v>782</v>
      </c>
    </row>
    <row r="264" spans="1:9" ht="17" customHeight="1">
      <c r="A264" s="39">
        <v>44371</v>
      </c>
      <c r="B264" s="40" t="str">
        <f ca="1">IFERROR(__xludf.DUMMYFUNCTION("FILTER($J$2:$J$445,$K$2:$K$445=D154)"),"Queens Chorale")</f>
        <v>Queens Chorale</v>
      </c>
      <c r="C264" s="40" t="str">
        <f ca="1">IFERROR(__xludf.DUMMYFUNCTION("filter($M$1:$M$500, $N$1:$N$500=D154)"),"Performing Arts")</f>
        <v>Performing Arts</v>
      </c>
      <c r="D264" s="41">
        <v>269</v>
      </c>
      <c r="E264" s="43">
        <v>600</v>
      </c>
      <c r="F264" s="58" t="s">
        <v>173</v>
      </c>
      <c r="G264" s="55">
        <v>1396</v>
      </c>
      <c r="H264" s="56" t="s">
        <v>34</v>
      </c>
      <c r="I264" s="59">
        <v>1079</v>
      </c>
    </row>
    <row r="265" spans="1:9" ht="17" customHeight="1">
      <c r="A265" s="39">
        <v>44371</v>
      </c>
      <c r="B265" s="40" t="str">
        <f ca="1">IFERROR(__xludf.DUMMYFUNCTION("FILTER($J$2:$J$445,$K$2:$K$445=D157)"),"Kol Halayla")</f>
        <v>Kol Halayla</v>
      </c>
      <c r="C265" s="40" t="str">
        <f ca="1">IFERROR(__xludf.DUMMYFUNCTION("filter($M$1:$M$500, $N$1:$N$500=D157)"),"Performing Arts")</f>
        <v>Performing Arts</v>
      </c>
      <c r="D265" s="41">
        <v>222</v>
      </c>
      <c r="E265" s="43">
        <v>100</v>
      </c>
      <c r="F265" s="58" t="s">
        <v>176</v>
      </c>
      <c r="G265" s="55">
        <v>1568</v>
      </c>
      <c r="H265" s="54" t="s">
        <v>50</v>
      </c>
      <c r="I265" s="59">
        <v>1103</v>
      </c>
    </row>
    <row r="266" spans="1:9" ht="17" customHeight="1">
      <c r="A266" s="39">
        <v>44371</v>
      </c>
      <c r="B266" s="40" t="str">
        <f ca="1">IFERROR(__xludf.DUMMYFUNCTION("FILTER($J$2:$J$445,$K$2:$K$445=D160)"),"ACDA")</f>
        <v>ACDA</v>
      </c>
      <c r="C266" s="40" t="str">
        <f ca="1">IFERROR(__xludf.DUMMYFUNCTION("filter($M$1:$M$500, $N$1:$N$500=D160)"),"Performing Arts")</f>
        <v>Performing Arts</v>
      </c>
      <c r="D266" s="41">
        <v>196</v>
      </c>
      <c r="E266" s="42">
        <v>1400</v>
      </c>
      <c r="F266" s="58" t="s">
        <v>179</v>
      </c>
      <c r="G266" s="55">
        <v>380</v>
      </c>
      <c r="H266" s="56" t="s">
        <v>50</v>
      </c>
      <c r="I266" s="59">
        <v>1123</v>
      </c>
    </row>
    <row r="267" spans="1:9" ht="17" customHeight="1">
      <c r="A267" s="39">
        <v>44371</v>
      </c>
      <c r="B267" s="40" t="str">
        <f ca="1">IFERROR(__xludf.DUMMYFUNCTION("FILTER($J$2:$J$445,$K$2:$K$445=D161)"),"Chinese Dance Troupe ")</f>
        <v xml:space="preserve">Chinese Dance Troupe </v>
      </c>
      <c r="C267" s="40" t="str">
        <f ca="1">IFERROR(__xludf.DUMMYFUNCTION("filter($M$1:$M$500, $N$1:$N$500=D161)"),"Performing Arts")</f>
        <v>Performing Arts</v>
      </c>
      <c r="D267" s="41">
        <v>178</v>
      </c>
      <c r="E267" s="42">
        <v>2374.7600000000002</v>
      </c>
      <c r="F267" s="54" t="s">
        <v>180</v>
      </c>
      <c r="G267" s="55">
        <v>159</v>
      </c>
      <c r="H267" s="56" t="s">
        <v>30</v>
      </c>
      <c r="I267" s="59">
        <v>1125</v>
      </c>
    </row>
    <row r="268" spans="1:9" ht="17" customHeight="1">
      <c r="A268" s="39">
        <v>44371</v>
      </c>
      <c r="B268" s="40" t="str">
        <f ca="1">IFERROR(__xludf.DUMMYFUNCTION("FILTER($J$2:$J$445,$K$2:$K$445=D165)"),"Kirkpatrick Choir ")</f>
        <v xml:space="preserve">Kirkpatrick Choir </v>
      </c>
      <c r="C268" s="40" t="str">
        <f ca="1">IFERROR(__xludf.DUMMYFUNCTION("filter($M$1:$M$500, $N$1:$N$500=D165)"),"Performing Arts")</f>
        <v>Performing Arts</v>
      </c>
      <c r="D268" s="41">
        <v>159</v>
      </c>
      <c r="E268" s="43">
        <v>950</v>
      </c>
      <c r="F268" s="58" t="s">
        <v>184</v>
      </c>
      <c r="G268" s="55">
        <v>575</v>
      </c>
      <c r="H268" s="56" t="s">
        <v>34</v>
      </c>
      <c r="I268" s="59">
        <v>1157</v>
      </c>
    </row>
    <row r="269" spans="1:9" ht="17" customHeight="1">
      <c r="A269" s="39">
        <v>44371</v>
      </c>
      <c r="B269" s="40" t="str">
        <f ca="1">IFERROR(__xludf.DUMMYFUNCTION("FILTER($J$2:$J$445,$K$2:$K$445=D171)"),"Asian Acapella Group ")</f>
        <v xml:space="preserve">Asian Acapella Group </v>
      </c>
      <c r="C269" s="40" t="str">
        <f ca="1">IFERROR(__xludf.DUMMYFUNCTION("filter($M$1:$M$500, $N$1:$N$500=D171)"),"Performing Arts")</f>
        <v>Performing Arts</v>
      </c>
      <c r="D269" s="41">
        <v>98</v>
      </c>
      <c r="E269" s="42">
        <v>2822</v>
      </c>
      <c r="F269" s="58" t="s">
        <v>190</v>
      </c>
      <c r="G269" s="55">
        <v>6</v>
      </c>
      <c r="H269" s="56" t="s">
        <v>8</v>
      </c>
      <c r="I269" s="59">
        <v>1193</v>
      </c>
    </row>
    <row r="270" spans="1:9" ht="17" customHeight="1">
      <c r="A270" s="39">
        <v>44371</v>
      </c>
      <c r="B270" s="40" t="str">
        <f ca="1">IFERROR(__xludf.DUMMYFUNCTION("FILTER($J$2:$J$445,$K$2:$K$445=D200)"),"Rutgers Tamash ")</f>
        <v xml:space="preserve">Rutgers Tamash </v>
      </c>
      <c r="C270" s="40" t="str">
        <f ca="1">IFERROR(__xludf.DUMMYFUNCTION("filter($M$1:$M$500, $N$1:$N$500=D200)"),"Performing Arts")</f>
        <v>Performing Arts</v>
      </c>
      <c r="D270" s="41">
        <v>1948</v>
      </c>
      <c r="E270" s="43">
        <v>833</v>
      </c>
      <c r="F270" s="58" t="s">
        <v>219</v>
      </c>
      <c r="G270" s="55">
        <v>899</v>
      </c>
      <c r="H270" s="56" t="s">
        <v>17</v>
      </c>
      <c r="I270" s="59">
        <v>1391</v>
      </c>
    </row>
    <row r="271" spans="1:9" ht="17" customHeight="1">
      <c r="A271" s="39">
        <v>44371</v>
      </c>
      <c r="B271" s="40" t="str">
        <f ca="1">IFERROR(__xludf.DUMMYFUNCTION("FILTER($J$2:$J$445,$K$2:$K$445=D266)"),"Nehriyan Bhangra")</f>
        <v>Nehriyan Bhangra</v>
      </c>
      <c r="C271" s="40" t="str">
        <f ca="1">IFERROR(__xludf.DUMMYFUNCTION("filter($M$1:$M$500, $N$1:$N$500=D266)"),"Performing Arts")</f>
        <v>Performing Arts</v>
      </c>
      <c r="D271" s="41">
        <v>1439</v>
      </c>
      <c r="E271" s="43">
        <v>253</v>
      </c>
      <c r="F271" s="58" t="s">
        <v>285</v>
      </c>
      <c r="G271" s="55">
        <v>1802</v>
      </c>
      <c r="H271" s="56" t="s">
        <v>28</v>
      </c>
      <c r="I271" s="59">
        <v>1692</v>
      </c>
    </row>
    <row r="272" spans="1:9" ht="17" customHeight="1">
      <c r="A272" s="39">
        <v>44371</v>
      </c>
      <c r="B272" s="40" t="str">
        <f ca="1">IFERROR(__xludf.DUMMYFUNCTION("FILTER($J$2:$J$445,$K$2:$K$445=D295)"),"Swing Dance Club")</f>
        <v>Swing Dance Club</v>
      </c>
      <c r="C272" s="40" t="str">
        <f ca="1">IFERROR(__xludf.DUMMYFUNCTION("filter($M$1:$M$500, $N$1:$N$500=D295)"),"Performing Arts")</f>
        <v>Performing Arts</v>
      </c>
      <c r="D272" s="41">
        <v>1141</v>
      </c>
      <c r="E272" s="43">
        <v>617</v>
      </c>
      <c r="F272" s="54" t="s">
        <v>314</v>
      </c>
      <c r="G272" s="55">
        <v>1703</v>
      </c>
      <c r="H272" s="56" t="s">
        <v>60</v>
      </c>
      <c r="I272" s="59">
        <v>1798</v>
      </c>
    </row>
    <row r="273" spans="1:9" ht="17" customHeight="1">
      <c r="A273" s="39">
        <v>44371</v>
      </c>
      <c r="B273" s="40" t="str">
        <f ca="1">IFERROR(__xludf.DUMMYFUNCTION("FILTER($J$2:$J$445,$K$2:$K$445=D305)"),"Livingston Theatre Company ")</f>
        <v xml:space="preserve">Livingston Theatre Company </v>
      </c>
      <c r="C273" s="40" t="str">
        <f ca="1">IFERROR(__xludf.DUMMYFUNCTION("filter($M$1:$M$500, $N$1:$N$500=D305)"),"Performing Arts")</f>
        <v>Performing Arts</v>
      </c>
      <c r="D273" s="41">
        <v>761</v>
      </c>
      <c r="E273" s="43">
        <v>400</v>
      </c>
      <c r="F273" s="58" t="s">
        <v>324</v>
      </c>
      <c r="G273" s="55">
        <v>1830</v>
      </c>
      <c r="H273" s="56" t="s">
        <v>50</v>
      </c>
      <c r="I273" s="59">
        <v>1829</v>
      </c>
    </row>
    <row r="274" spans="1:9" ht="17" customHeight="1">
      <c r="A274" s="39">
        <v>44371</v>
      </c>
      <c r="B274" s="40" t="str">
        <f ca="1">IFERROR(__xludf.DUMMYFUNCTION("FILTER($J$2:$J$445,$K$2:$K$445=D315)"),"Liberated Gospel Choir")</f>
        <v>Liberated Gospel Choir</v>
      </c>
      <c r="C274" s="40" t="str">
        <f ca="1">IFERROR(__xludf.DUMMYFUNCTION("filter($M$1:$M$500, $N$1:$N$500=D315)"),"Performing Arts")</f>
        <v>Performing Arts</v>
      </c>
      <c r="D274" s="41">
        <v>677</v>
      </c>
      <c r="E274" s="43">
        <v>565.5</v>
      </c>
      <c r="F274" s="65" t="s">
        <v>334</v>
      </c>
      <c r="G274" s="65" t="s">
        <v>335</v>
      </c>
      <c r="H274" s="56" t="s">
        <v>21</v>
      </c>
      <c r="I274" s="59">
        <v>1857</v>
      </c>
    </row>
    <row r="275" spans="1:9" ht="17" customHeight="1">
      <c r="A275" s="39">
        <v>44371</v>
      </c>
      <c r="B275" s="40" t="str">
        <f ca="1">IFERROR(__xludf.DUMMYFUNCTION("FILTER($J$2:$J$445,$K$2:$K$445=D319)"),"University Choir")</f>
        <v>University Choir</v>
      </c>
      <c r="C275" s="40" t="str">
        <f ca="1">IFERROR(__xludf.DUMMYFUNCTION("filter($M$1:$M$500, $N$1:$N$500=D319)"),"Performing Arts")</f>
        <v>Performing Arts</v>
      </c>
      <c r="D275" s="41">
        <v>653</v>
      </c>
      <c r="E275" s="43">
        <v>253</v>
      </c>
      <c r="F275" s="58" t="s">
        <v>339</v>
      </c>
      <c r="G275" s="55">
        <v>1795</v>
      </c>
      <c r="H275" s="56" t="s">
        <v>28</v>
      </c>
      <c r="I275" s="59">
        <v>1874</v>
      </c>
    </row>
    <row r="276" spans="1:9" ht="17" customHeight="1">
      <c r="A276" s="39">
        <v>44371</v>
      </c>
      <c r="B276" s="40" t="str">
        <f ca="1">IFERROR(__xludf.DUMMYFUNCTION("FILTER($J$2:$J$445,$K$2:$K$445=D320)"),"Raas and Garba Association")</f>
        <v>Raas and Garba Association</v>
      </c>
      <c r="C276" s="40" t="str">
        <f ca="1">IFERROR(__xludf.DUMMYFUNCTION("filter($M$1:$M$500, $N$1:$N$500=D320)"),"Performing Arts")</f>
        <v>Performing Arts</v>
      </c>
      <c r="D276" s="41">
        <v>639</v>
      </c>
      <c r="E276" s="43">
        <v>421</v>
      </c>
      <c r="F276" s="58" t="s">
        <v>340</v>
      </c>
      <c r="G276" s="55">
        <v>1879</v>
      </c>
      <c r="H276" s="56" t="s">
        <v>34</v>
      </c>
      <c r="I276" s="59">
        <v>1875</v>
      </c>
    </row>
    <row r="277" spans="1:9" ht="17" customHeight="1">
      <c r="A277" s="39">
        <v>44371</v>
      </c>
      <c r="B277" s="40" t="str">
        <f ca="1">IFERROR(__xludf.DUMMYFUNCTION("FILTER($J$2:$J$445,$K$2:$K$445=D329)"),"First Light")</f>
        <v>First Light</v>
      </c>
      <c r="C277" s="40" t="str">
        <f ca="1">IFERROR(__xludf.DUMMYFUNCTION("filter($M$1:$M$500, $N$1:$N$500=D329)"),"Performing Arts")</f>
        <v>Performing Arts</v>
      </c>
      <c r="D277" s="41">
        <v>538</v>
      </c>
      <c r="E277" s="43">
        <v>286.20999999999998</v>
      </c>
      <c r="F277" s="54" t="s">
        <v>349</v>
      </c>
      <c r="G277" s="55">
        <v>1775</v>
      </c>
      <c r="H277" s="56" t="s">
        <v>21</v>
      </c>
      <c r="I277" s="59">
        <v>1891</v>
      </c>
    </row>
    <row r="278" spans="1:9" ht="17" customHeight="1">
      <c r="A278" s="39">
        <v>44371</v>
      </c>
      <c r="B278" s="40" t="str">
        <f ca="1">IFERROR(__xludf.DUMMYFUNCTION("FILTER($J$2:$J$445,$K$2:$K$445=D334)"),"Rutgers University Voorhees Choir ")</f>
        <v xml:space="preserve">Rutgers University Voorhees Choir </v>
      </c>
      <c r="C278" s="40" t="str">
        <f ca="1">IFERROR(__xludf.DUMMYFUNCTION("filter($M$1:$M$500, $N$1:$N$500=D334)"),"Performing Arts")</f>
        <v>Performing Arts</v>
      </c>
      <c r="D278" s="41">
        <v>481</v>
      </c>
      <c r="E278" s="43">
        <v>200</v>
      </c>
      <c r="F278" s="54" t="s">
        <v>355</v>
      </c>
      <c r="G278" s="55">
        <v>90</v>
      </c>
      <c r="H278" s="56" t="s">
        <v>353</v>
      </c>
      <c r="I278" s="59">
        <v>1907</v>
      </c>
    </row>
    <row r="279" spans="1:9" ht="17" customHeight="1">
      <c r="A279" s="39">
        <v>44371</v>
      </c>
      <c r="B279" s="40" t="str">
        <f ca="1">IFERROR(__xludf.DUMMYFUNCTION("FILTER($J$2:$J$445,$K$2:$K$445=D338)"),"Shock Wave")</f>
        <v>Shock Wave</v>
      </c>
      <c r="C279" s="40" t="str">
        <f ca="1">IFERROR(__xludf.DUMMYFUNCTION("filter($M$1:$M$500, $N$1:$N$500=D338)"),"Performing Arts")</f>
        <v>Performing Arts</v>
      </c>
      <c r="D279" s="41">
        <v>437</v>
      </c>
      <c r="E279" s="43">
        <v>196</v>
      </c>
      <c r="F279" s="58" t="s">
        <v>359</v>
      </c>
      <c r="G279" s="58" t="s">
        <v>128</v>
      </c>
      <c r="H279" s="56" t="s">
        <v>353</v>
      </c>
      <c r="I279" s="59">
        <v>1932</v>
      </c>
    </row>
    <row r="280" spans="1:9" ht="17" customHeight="1">
      <c r="A280" s="39">
        <v>44371</v>
      </c>
      <c r="B280" s="40" t="str">
        <f ca="1">IFERROR(__xludf.DUMMYFUNCTION("FILTER($J$2:$J$445,$K$2:$K$445=D340)"),"Orphan Sporks")</f>
        <v>Orphan Sporks</v>
      </c>
      <c r="C280" s="40" t="str">
        <f ca="1">IFERROR(__xludf.DUMMYFUNCTION("filter($M$1:$M$500, $N$1:$N$500=D340)"),"Performing Arts")</f>
        <v>Performing Arts</v>
      </c>
      <c r="D280" s="41">
        <v>407</v>
      </c>
      <c r="E280" s="43">
        <v>402.62</v>
      </c>
      <c r="F280" s="58" t="s">
        <v>361</v>
      </c>
      <c r="G280" s="55">
        <v>1828</v>
      </c>
      <c r="H280" s="56" t="s">
        <v>353</v>
      </c>
      <c r="I280" s="59">
        <v>1935</v>
      </c>
    </row>
    <row r="281" spans="1:9" ht="17" customHeight="1">
      <c r="A281" s="39">
        <v>44371</v>
      </c>
      <c r="B281" s="40" t="str">
        <f ca="1">IFERROR(__xludf.DUMMYFUNCTION("FILTER($J$2:$J$445,$K$2:$K$445=D343)"),"South Asian Performing Arts")</f>
        <v>South Asian Performing Arts</v>
      </c>
      <c r="C281" s="40" t="str">
        <f ca="1">IFERROR(__xludf.DUMMYFUNCTION("filter($M$1:$M$500, $N$1:$N$500=D343)"),"Performing Arts")</f>
        <v>Performing Arts</v>
      </c>
      <c r="D281" s="41">
        <v>386</v>
      </c>
      <c r="E281" s="43">
        <v>482.43</v>
      </c>
      <c r="F281" s="58" t="s">
        <v>364</v>
      </c>
      <c r="G281" s="55">
        <v>707</v>
      </c>
      <c r="H281" s="56" t="s">
        <v>66</v>
      </c>
      <c r="I281" s="59">
        <v>1938</v>
      </c>
    </row>
    <row r="282" spans="1:9" ht="17" customHeight="1">
      <c r="A282" s="39">
        <v>44371</v>
      </c>
      <c r="B282" s="40" t="str">
        <f ca="1">IFERROR(__xludf.DUMMYFUNCTION("FILTER($J$2:$J$445,$K$2:$K$445=D344)"),"Dhol Effect")</f>
        <v>Dhol Effect</v>
      </c>
      <c r="C282" s="40" t="str">
        <f ca="1">IFERROR(__xludf.DUMMYFUNCTION("filter($M$1:$M$500, $N$1:$N$500=D344)"),"Performing Arts")</f>
        <v>Performing Arts</v>
      </c>
      <c r="D282" s="41">
        <v>363</v>
      </c>
      <c r="E282" s="43">
        <v>733</v>
      </c>
      <c r="F282" s="58" t="s">
        <v>365</v>
      </c>
      <c r="G282" s="55">
        <v>1121</v>
      </c>
      <c r="H282" s="56" t="s">
        <v>28</v>
      </c>
      <c r="I282" s="59">
        <v>1939</v>
      </c>
    </row>
    <row r="283" spans="1:9" ht="17" customHeight="1">
      <c r="A283" s="39">
        <v>44371</v>
      </c>
      <c r="B283" s="40" t="str">
        <f ca="1">IFERROR(__xludf.DUMMYFUNCTION("FILTER($J$2:$J$445,$K$2:$K$445=D353)"),"Deep Treble")</f>
        <v>Deep Treble</v>
      </c>
      <c r="C283" s="40" t="str">
        <f ca="1">IFERROR(__xludf.DUMMYFUNCTION("filter($M$1:$M$500, $N$1:$N$500=D353)"),"Performing Arts")</f>
        <v>Performing Arts</v>
      </c>
      <c r="D283" s="41">
        <v>320</v>
      </c>
      <c r="E283" s="43">
        <v>561</v>
      </c>
      <c r="F283" s="58" t="s">
        <v>374</v>
      </c>
      <c r="G283" s="55">
        <v>496</v>
      </c>
      <c r="H283" s="56" t="s">
        <v>30</v>
      </c>
      <c r="I283" s="59">
        <v>1948</v>
      </c>
    </row>
    <row r="284" spans="1:9" ht="17" customHeight="1">
      <c r="A284" s="39">
        <v>44371</v>
      </c>
      <c r="B284" s="40" t="str">
        <f ca="1">IFERROR(__xludf.DUMMYFUNCTION("FILTER($J$2:$J$445,$K$2:$K$445=D359)"),"Queens Chorale")</f>
        <v>Queens Chorale</v>
      </c>
      <c r="C284" s="40" t="str">
        <f ca="1">IFERROR(__xludf.DUMMYFUNCTION("filter($M$1:$M$500, $N$1:$N$500=D359)"),"Performing Arts")</f>
        <v>Performing Arts</v>
      </c>
      <c r="D284" s="41">
        <v>269</v>
      </c>
      <c r="E284" s="43">
        <v>125</v>
      </c>
      <c r="F284" s="58" t="s">
        <v>381</v>
      </c>
      <c r="G284" s="55">
        <v>721</v>
      </c>
      <c r="H284" s="56" t="s">
        <v>60</v>
      </c>
      <c r="I284" s="59">
        <v>1954</v>
      </c>
    </row>
    <row r="285" spans="1:9" ht="17" customHeight="1">
      <c r="A285" s="39">
        <v>44371</v>
      </c>
      <c r="B285" s="40" t="str">
        <f ca="1">IFERROR(__xludf.DUMMYFUNCTION("FILTER($J$2:$J$445,$K$2:$K$445=D363)"),"Kol Halayla")</f>
        <v>Kol Halayla</v>
      </c>
      <c r="C285" s="40" t="str">
        <f ca="1">IFERROR(__xludf.DUMMYFUNCTION("filter($M$1:$M$500, $N$1:$N$500=D363)"),"Performing Arts")</f>
        <v>Performing Arts</v>
      </c>
      <c r="D285" s="41">
        <v>222</v>
      </c>
      <c r="E285" s="43">
        <v>100</v>
      </c>
      <c r="F285" s="58" t="s">
        <v>385</v>
      </c>
      <c r="G285" s="55">
        <v>495</v>
      </c>
      <c r="H285" s="56" t="s">
        <v>353</v>
      </c>
      <c r="I285" s="59">
        <v>1959</v>
      </c>
    </row>
    <row r="286" spans="1:9" ht="17" customHeight="1">
      <c r="A286" s="39">
        <v>44371</v>
      </c>
      <c r="B286" s="40" t="str">
        <f ca="1">IFERROR(__xludf.DUMMYFUNCTION("FILTER($J$2:$J$445,$K$2:$K$445=D366)"),"ACDA")</f>
        <v>ACDA</v>
      </c>
      <c r="C286" s="40" t="str">
        <f ca="1">IFERROR(__xludf.DUMMYFUNCTION("filter($M$1:$M$500, $N$1:$N$500=D366)"),"Performing Arts")</f>
        <v>Performing Arts</v>
      </c>
      <c r="D286" s="41">
        <v>196</v>
      </c>
      <c r="E286" s="43">
        <v>180</v>
      </c>
      <c r="F286" s="54" t="s">
        <v>388</v>
      </c>
      <c r="G286" s="55">
        <v>1415</v>
      </c>
      <c r="H286" s="56" t="s">
        <v>353</v>
      </c>
      <c r="I286" s="59">
        <v>1962</v>
      </c>
    </row>
    <row r="287" spans="1:9" ht="17" customHeight="1">
      <c r="A287" s="39">
        <v>44371</v>
      </c>
      <c r="B287" s="40" t="str">
        <f ca="1">IFERROR(__xludf.DUMMYFUNCTION("FILTER($J$2:$J$445,$K$2:$K$445=D367)"),"Chinese Dance Troupe ")</f>
        <v xml:space="preserve">Chinese Dance Troupe </v>
      </c>
      <c r="C287" s="40" t="str">
        <f ca="1">IFERROR(__xludf.DUMMYFUNCTION("filter($M$1:$M$500, $N$1:$N$500=D367)"),"Performing Arts")</f>
        <v>Performing Arts</v>
      </c>
      <c r="D287" s="41">
        <v>178</v>
      </c>
      <c r="E287" s="43">
        <v>439</v>
      </c>
      <c r="F287" s="58" t="s">
        <v>389</v>
      </c>
      <c r="G287" s="55">
        <v>773</v>
      </c>
      <c r="H287" s="56" t="s">
        <v>353</v>
      </c>
      <c r="I287" s="59">
        <v>1963</v>
      </c>
    </row>
    <row r="288" spans="1:9" ht="17" customHeight="1">
      <c r="A288" s="39">
        <v>44371</v>
      </c>
      <c r="B288" s="40" t="str">
        <f ca="1">IFERROR(__xludf.DUMMYFUNCTION("FILTER($J$2:$J$445,$K$2:$K$445=D370)"),"Kirkpatrick Choir ")</f>
        <v xml:space="preserve">Kirkpatrick Choir </v>
      </c>
      <c r="C288" s="40" t="str">
        <f ca="1">IFERROR(__xludf.DUMMYFUNCTION("filter($M$1:$M$500, $N$1:$N$500=D370)"),"Performing Arts")</f>
        <v>Performing Arts</v>
      </c>
      <c r="D288" s="41">
        <v>159</v>
      </c>
      <c r="E288" s="43">
        <v>112</v>
      </c>
      <c r="F288" s="58" t="s">
        <v>392</v>
      </c>
      <c r="G288" s="55">
        <v>271</v>
      </c>
    </row>
    <row r="289" spans="1:9" ht="17" customHeight="1">
      <c r="A289" s="39">
        <v>44371</v>
      </c>
      <c r="B289" s="40" t="str">
        <f ca="1">IFERROR(__xludf.DUMMYFUNCTION("FILTER($J$2:$J$445,$K$2:$K$445=D376)"),"Glee Club (The Rutgers University)")</f>
        <v>Glee Club (The Rutgers University)</v>
      </c>
      <c r="C289" s="40" t="str">
        <f ca="1">IFERROR(__xludf.DUMMYFUNCTION("filter($M$1:$M$500, $N$1:$N$500=D376)"),"Performing Arts")</f>
        <v>Performing Arts</v>
      </c>
      <c r="D289" s="41">
        <v>132</v>
      </c>
      <c r="E289" s="43">
        <v>365</v>
      </c>
      <c r="F289" s="54" t="s">
        <v>398</v>
      </c>
      <c r="G289" s="55">
        <v>1883</v>
      </c>
    </row>
    <row r="290" spans="1:9" ht="17" customHeight="1">
      <c r="A290" s="39">
        <v>44371</v>
      </c>
      <c r="B290" s="40" t="str">
        <f ca="1">IFERROR(__xludf.DUMMYFUNCTION("FILTER($J$2:$J$445,$K$2:$K$445=D378)"),"Asian Acapella Group ")</f>
        <v xml:space="preserve">Asian Acapella Group </v>
      </c>
      <c r="C290" s="40" t="str">
        <f ca="1">IFERROR(__xludf.DUMMYFUNCTION("filter($M$1:$M$500, $N$1:$N$500=D378)"),"Performing Arts")</f>
        <v>Performing Arts</v>
      </c>
      <c r="D290" s="41">
        <v>98</v>
      </c>
      <c r="E290" s="43">
        <v>23.17</v>
      </c>
      <c r="F290" s="58" t="s">
        <v>400</v>
      </c>
      <c r="G290" s="55">
        <v>663</v>
      </c>
    </row>
    <row r="291" spans="1:9" ht="17" customHeight="1">
      <c r="A291" s="39">
        <v>44371</v>
      </c>
      <c r="B291" s="40" t="str">
        <f ca="1">IFERROR(__xludf.DUMMYFUNCTION("FILTER($J$2:$J$445,$K$2:$K$445=D385)"),"College Avenue Players")</f>
        <v>College Avenue Players</v>
      </c>
      <c r="C291" s="40" t="str">
        <f ca="1">IFERROR(__xludf.DUMMYFUNCTION("filter($M$1:$M$500, $N$1:$N$500=D385)"),"Performing Arts")</f>
        <v>Performing Arts</v>
      </c>
      <c r="D291" s="41">
        <v>69</v>
      </c>
      <c r="E291" s="43">
        <v>100</v>
      </c>
      <c r="F291" s="58" t="s">
        <v>407</v>
      </c>
      <c r="G291" s="55">
        <v>1816</v>
      </c>
    </row>
    <row r="292" spans="1:9" ht="17" customHeight="1">
      <c r="A292" s="39">
        <v>44371</v>
      </c>
      <c r="B292" s="40" t="str">
        <f ca="1">IFERROR(__xludf.DUMMYFUNCTION("FILTER($J$2:$J$445,$K$2:$K$445=D21)"),"RU Sister2Sister")</f>
        <v>RU Sister2Sister</v>
      </c>
      <c r="C292" s="40" t="str">
        <f ca="1">IFERROR(__xludf.DUMMYFUNCTION("filter($M$1:$M$500, $N$1:$N$500=D21)"),"Philanthropic")</f>
        <v>Philanthropic</v>
      </c>
      <c r="D292" s="41">
        <v>1951</v>
      </c>
      <c r="E292" s="43">
        <v>6.32</v>
      </c>
      <c r="F292" s="54" t="s">
        <v>33</v>
      </c>
      <c r="G292" s="55">
        <v>745</v>
      </c>
      <c r="H292" s="56" t="s">
        <v>34</v>
      </c>
      <c r="I292" s="59">
        <v>75</v>
      </c>
    </row>
    <row r="293" spans="1:9" ht="17" customHeight="1">
      <c r="A293" s="39">
        <v>44371</v>
      </c>
      <c r="B293" s="40" t="str">
        <f ca="1">IFERROR(__xludf.DUMMYFUNCTION("FILTER($J$2:$J$445,$K$2:$K$445=D24)"),"Baby Friendly Space Club")</f>
        <v>Baby Friendly Space Club</v>
      </c>
      <c r="C293" s="40" t="str">
        <f ca="1">IFERROR(__xludf.DUMMYFUNCTION("filter($M$1:$M$500, $N$1:$N$500=D24)"),"Philanthropic")</f>
        <v>Philanthropic</v>
      </c>
      <c r="D293" s="41">
        <v>1946</v>
      </c>
      <c r="E293" s="43">
        <v>130</v>
      </c>
      <c r="F293" s="54" t="s">
        <v>37</v>
      </c>
      <c r="G293" s="55">
        <v>746</v>
      </c>
      <c r="H293" s="56" t="s">
        <v>34</v>
      </c>
      <c r="I293" s="59">
        <v>96</v>
      </c>
    </row>
    <row r="294" spans="1:9" ht="17" customHeight="1">
      <c r="A294" s="39">
        <v>44371</v>
      </c>
      <c r="B294" s="40" t="str">
        <f ca="1">IFERROR(__xludf.DUMMYFUNCTION("FILTER($J$2:$J$445,$K$2:$K$445=D27)"),"PERIOD")</f>
        <v>PERIOD</v>
      </c>
      <c r="C294" s="40" t="str">
        <f ca="1">IFERROR(__xludf.DUMMYFUNCTION("filter($M$1:$M$500, $N$1:$N$500=D27)"),"Philanthropic")</f>
        <v>Philanthropic</v>
      </c>
      <c r="D294" s="41">
        <v>1938</v>
      </c>
      <c r="E294" s="43">
        <v>362.9</v>
      </c>
      <c r="F294" s="54" t="s">
        <v>40</v>
      </c>
      <c r="G294" s="55">
        <v>1972</v>
      </c>
      <c r="H294" s="54" t="s">
        <v>17</v>
      </c>
      <c r="I294" s="59">
        <v>128</v>
      </c>
    </row>
    <row r="295" spans="1:9" ht="17" customHeight="1">
      <c r="A295" s="39">
        <v>44371</v>
      </c>
      <c r="B295" s="40" t="str">
        <f ca="1">IFERROR(__xludf.DUMMYFUNCTION("FILTER($J$2:$J$445,$K$2:$K$445=D33)"),"Alzheimer's Buddies")</f>
        <v>Alzheimer's Buddies</v>
      </c>
      <c r="C295" s="40" t="str">
        <f ca="1">IFERROR(__xludf.DUMMYFUNCTION("filter($M$1:$M$500, $N$1:$N$500=D33)"),"Philanthropic")</f>
        <v>Philanthropic</v>
      </c>
      <c r="D295" s="41">
        <v>1877</v>
      </c>
      <c r="E295" s="43">
        <v>470</v>
      </c>
      <c r="F295" s="54" t="s">
        <v>46</v>
      </c>
      <c r="G295" s="55">
        <v>295</v>
      </c>
      <c r="H295" s="56" t="s">
        <v>8</v>
      </c>
      <c r="I295" s="59">
        <v>148</v>
      </c>
    </row>
    <row r="296" spans="1:9" ht="17" customHeight="1">
      <c r="A296" s="39">
        <v>44371</v>
      </c>
      <c r="B296" s="40" t="str">
        <f ca="1">IFERROR(__xludf.DUMMYFUNCTION("FILTER($J$2:$J$445,$K$2:$K$445=D36)"),"Into the Light")</f>
        <v>Into the Light</v>
      </c>
      <c r="C296" s="40" t="str">
        <f ca="1">IFERROR(__xludf.DUMMYFUNCTION("filter($M$1:$M$500, $N$1:$N$500=D36)"),"Philanthropic")</f>
        <v>Philanthropic</v>
      </c>
      <c r="D296" s="41">
        <v>1866</v>
      </c>
      <c r="E296" s="43">
        <v>180</v>
      </c>
      <c r="F296" s="54" t="s">
        <v>49</v>
      </c>
      <c r="G296" s="55">
        <v>675</v>
      </c>
      <c r="H296" s="56" t="s">
        <v>50</v>
      </c>
      <c r="I296" s="59">
        <v>157</v>
      </c>
    </row>
    <row r="297" spans="1:9" ht="17" customHeight="1">
      <c r="A297" s="39">
        <v>44371</v>
      </c>
      <c r="B297" s="40" t="str">
        <f ca="1">IFERROR(__xludf.DUMMYFUNCTION("FILTER($J$2:$J$445,$K$2:$K$445=D45)"),"Rutgers University Knights for Autism Awareness")</f>
        <v>Rutgers University Knights for Autism Awareness</v>
      </c>
      <c r="C297" s="40" t="str">
        <f ca="1">IFERROR(__xludf.DUMMYFUNCTION("filter($M$1:$M$500, $N$1:$N$500=D45)"),"Philanthropic")</f>
        <v>Philanthropic</v>
      </c>
      <c r="D297" s="41">
        <v>1766</v>
      </c>
      <c r="E297" s="43">
        <v>30</v>
      </c>
      <c r="F297" s="54" t="s">
        <v>59</v>
      </c>
      <c r="G297" s="55">
        <v>666</v>
      </c>
      <c r="H297" s="56" t="s">
        <v>60</v>
      </c>
      <c r="I297" s="59">
        <v>217</v>
      </c>
    </row>
    <row r="298" spans="1:9" ht="17" customHeight="1">
      <c r="A298" s="39">
        <v>44371</v>
      </c>
      <c r="B298" s="40" t="str">
        <f ca="1">IFERROR(__xludf.DUMMYFUNCTION("FILTER($J$2:$J$445,$K$2:$K$445=D62)"),"Ronald McDonald House Charities Club (RMHC)")</f>
        <v>Ronald McDonald House Charities Club (RMHC)</v>
      </c>
      <c r="C298" s="40" t="str">
        <f ca="1">IFERROR(__xludf.DUMMYFUNCTION("filter($M$1:$M$500, $N$1:$N$500=D62)"),"Philanthropic")</f>
        <v>Philanthropic</v>
      </c>
      <c r="D298" s="41">
        <v>1593</v>
      </c>
      <c r="E298" s="43">
        <v>496.1</v>
      </c>
      <c r="F298" s="54" t="s">
        <v>79</v>
      </c>
      <c r="G298" s="55">
        <v>1871</v>
      </c>
      <c r="H298" s="54" t="s">
        <v>17</v>
      </c>
      <c r="I298" s="59">
        <v>296</v>
      </c>
    </row>
    <row r="299" spans="1:9" ht="17" customHeight="1">
      <c r="A299" s="39">
        <v>44371</v>
      </c>
      <c r="B299" s="40" t="str">
        <f ca="1">IFERROR(__xludf.DUMMYFUNCTION("FILTER($J$2:$J$445,$K$2:$K$445=D68)"),"Pencils of Promise")</f>
        <v>Pencils of Promise</v>
      </c>
      <c r="C299" s="40" t="str">
        <f ca="1">IFERROR(__xludf.DUMMYFUNCTION("filter($M$1:$M$500, $N$1:$N$500=D68)"),"Philanthropic")</f>
        <v>Philanthropic</v>
      </c>
      <c r="D299" s="41">
        <v>1490</v>
      </c>
      <c r="E299" s="43">
        <v>100</v>
      </c>
      <c r="F299" s="54" t="s">
        <v>85</v>
      </c>
      <c r="G299" s="55">
        <v>1510</v>
      </c>
      <c r="H299" s="56" t="s">
        <v>8</v>
      </c>
      <c r="I299" s="59">
        <v>346</v>
      </c>
    </row>
    <row r="300" spans="1:9" ht="17" customHeight="1">
      <c r="A300" s="39">
        <v>44371</v>
      </c>
      <c r="B300" s="40" t="str">
        <f ca="1">IFERROR(__xludf.DUMMYFUNCTION("FILTER($J$2:$J$445,$K$2:$K$445=D83)"),"United Muslim Relief")</f>
        <v>United Muslim Relief</v>
      </c>
      <c r="C300" s="40" t="str">
        <f ca="1">IFERROR(__xludf.DUMMYFUNCTION("filter($M$1:$M$500, $N$1:$N$500=D83)"),"Philanthropic")</f>
        <v>Philanthropic</v>
      </c>
      <c r="D300" s="41">
        <v>1318</v>
      </c>
      <c r="E300" s="42">
        <v>1584.03</v>
      </c>
      <c r="F300" s="54" t="s">
        <v>100</v>
      </c>
      <c r="G300" s="55">
        <v>1474</v>
      </c>
      <c r="H300" s="56" t="s">
        <v>21</v>
      </c>
      <c r="I300" s="59">
        <v>415</v>
      </c>
    </row>
    <row r="301" spans="1:9" ht="17" customHeight="1">
      <c r="A301" s="39">
        <v>44371</v>
      </c>
      <c r="B301" s="40" t="str">
        <f ca="1">IFERROR(__xludf.DUMMYFUNCTION("FILTER($J$2:$J$445,$K$2:$K$445=D93)"),"Palestine Children's Relief Fund")</f>
        <v>Palestine Children's Relief Fund</v>
      </c>
      <c r="C301" s="40" t="str">
        <f ca="1">IFERROR(__xludf.DUMMYFUNCTION("filter($M$1:$M$500, $N$1:$N$500=D93)"),"Philanthropic")</f>
        <v>Philanthropic</v>
      </c>
      <c r="D301" s="41">
        <v>1184</v>
      </c>
      <c r="E301" s="42">
        <v>3775.93</v>
      </c>
      <c r="F301" s="58" t="s">
        <v>110</v>
      </c>
      <c r="G301" s="55">
        <v>722</v>
      </c>
      <c r="H301" s="56" t="s">
        <v>60</v>
      </c>
      <c r="I301" s="59">
        <v>496</v>
      </c>
    </row>
    <row r="302" spans="1:9" ht="17" customHeight="1">
      <c r="A302" s="39">
        <v>44371</v>
      </c>
      <c r="B302" s="40" t="str">
        <f ca="1">IFERROR(__xludf.DUMMYFUNCTION("FILTER($J$2:$J$445,$K$2:$K$445=D108)"),"American Cancer Society on RU Campus")</f>
        <v>American Cancer Society on RU Campus</v>
      </c>
      <c r="C302" s="40" t="str">
        <f ca="1">IFERROR(__xludf.DUMMYFUNCTION("filter($M$1:$M$500, $N$1:$N$500=D108)"),"Philanthropic")</f>
        <v>Philanthropic</v>
      </c>
      <c r="D302" s="41">
        <v>748</v>
      </c>
      <c r="E302" s="43">
        <v>100</v>
      </c>
      <c r="F302" s="58" t="s">
        <v>125</v>
      </c>
      <c r="G302" s="55">
        <v>1779</v>
      </c>
      <c r="H302" s="56" t="s">
        <v>34</v>
      </c>
      <c r="I302" s="59">
        <v>620</v>
      </c>
    </row>
    <row r="303" spans="1:9" ht="17" customHeight="1">
      <c r="A303" s="39">
        <v>44371</v>
      </c>
      <c r="B303" s="40" t="str">
        <f ca="1">IFERROR(__xludf.DUMMYFUNCTION("FILTER($J$2:$J$445,$K$2:$K$445=D122)"),"Oxfam")</f>
        <v>Oxfam</v>
      </c>
      <c r="C303" s="40" t="str">
        <f ca="1">IFERROR(__xludf.DUMMYFUNCTION("filter($M$1:$M$500, $N$1:$N$500=D122)"),"Philanthropic")</f>
        <v>Philanthropic</v>
      </c>
      <c r="D303" s="41">
        <v>630</v>
      </c>
      <c r="E303" s="43">
        <v>50</v>
      </c>
      <c r="F303" s="54" t="s">
        <v>140</v>
      </c>
      <c r="G303" s="55">
        <v>1873</v>
      </c>
      <c r="H303" s="56" t="s">
        <v>28</v>
      </c>
      <c r="I303" s="59">
        <v>691</v>
      </c>
    </row>
    <row r="304" spans="1:9" ht="17" customHeight="1">
      <c r="A304" s="39">
        <v>44371</v>
      </c>
      <c r="B304" s="40" t="str">
        <f ca="1">IFERROR(__xludf.DUMMYFUNCTION("FILTER($J$2:$J$445,$K$2:$K$445=D123)"),"UNICEF")</f>
        <v>UNICEF</v>
      </c>
      <c r="C304" s="40" t="str">
        <f ca="1">IFERROR(__xludf.DUMMYFUNCTION("filter($M$1:$M$500, $N$1:$N$500=D123)"),"Philanthropic")</f>
        <v>Philanthropic</v>
      </c>
      <c r="D304" s="41">
        <v>628</v>
      </c>
      <c r="E304" s="43">
        <v>300</v>
      </c>
      <c r="F304" s="54" t="s">
        <v>141</v>
      </c>
      <c r="G304" s="55">
        <v>1347</v>
      </c>
      <c r="H304" s="56" t="s">
        <v>30</v>
      </c>
      <c r="I304" s="59">
        <v>697</v>
      </c>
    </row>
    <row r="305" spans="1:9" ht="17" customHeight="1">
      <c r="A305" s="39">
        <v>44371</v>
      </c>
      <c r="B305" s="40" t="str">
        <f ca="1">IFERROR(__xludf.DUMMYFUNCTION("FILTER($J$2:$J$445,$K$2:$K$445=D156)"),"Operation Smile")</f>
        <v>Operation Smile</v>
      </c>
      <c r="C305" s="40" t="str">
        <f ca="1">IFERROR(__xludf.DUMMYFUNCTION("filter($M$1:$M$500, $N$1:$N$500=D156)"),"Philanthropic")</f>
        <v>Philanthropic</v>
      </c>
      <c r="D305" s="41">
        <v>232</v>
      </c>
      <c r="E305" s="43">
        <v>440.14</v>
      </c>
      <c r="F305" s="58" t="s">
        <v>175</v>
      </c>
      <c r="G305" s="55">
        <v>21</v>
      </c>
      <c r="H305" s="56" t="s">
        <v>153</v>
      </c>
      <c r="I305" s="59">
        <v>1091</v>
      </c>
    </row>
    <row r="306" spans="1:9" ht="17" customHeight="1">
      <c r="A306" s="39">
        <v>44371</v>
      </c>
      <c r="B306" s="40" t="str">
        <f ca="1">IFERROR(__xludf.DUMMYFUNCTION("FILTER($J$2:$J$445,$K$2:$K$445=D203)"),"PERIOD")</f>
        <v>PERIOD</v>
      </c>
      <c r="C306" s="40" t="str">
        <f ca="1">IFERROR(__xludf.DUMMYFUNCTION("filter($M$1:$M$500, $N$1:$N$500=D203)"),"Philanthropic")</f>
        <v>Philanthropic</v>
      </c>
      <c r="D306" s="41">
        <v>1938</v>
      </c>
      <c r="E306" s="43">
        <v>253</v>
      </c>
      <c r="F306" s="58" t="s">
        <v>222</v>
      </c>
      <c r="G306" s="55">
        <v>1251</v>
      </c>
      <c r="H306" s="56" t="s">
        <v>8</v>
      </c>
      <c r="I306" s="59">
        <v>1410</v>
      </c>
    </row>
    <row r="307" spans="1:9" ht="17" customHeight="1">
      <c r="A307" s="39">
        <v>44371</v>
      </c>
      <c r="B307" s="40" t="str">
        <f ca="1">IFERROR(__xludf.DUMMYFUNCTION("FILTER($J$2:$J$445,$K$2:$K$445=D212)"),"Save a Child's Heart")</f>
        <v>Save a Child's Heart</v>
      </c>
      <c r="C307" s="40" t="str">
        <f ca="1">IFERROR(__xludf.DUMMYFUNCTION("filter($M$1:$M$500, $N$1:$N$500=D212)"),"Philanthropic")</f>
        <v>Philanthropic</v>
      </c>
      <c r="D307" s="41">
        <v>1878</v>
      </c>
      <c r="E307" s="43">
        <v>118</v>
      </c>
      <c r="F307" s="58" t="s">
        <v>231</v>
      </c>
      <c r="G307" s="55">
        <v>264</v>
      </c>
      <c r="H307" s="56" t="s">
        <v>28</v>
      </c>
      <c r="I307" s="59">
        <v>1437</v>
      </c>
    </row>
    <row r="308" spans="1:9" ht="17" customHeight="1">
      <c r="A308" s="39">
        <v>44371</v>
      </c>
      <c r="B308" s="40" t="str">
        <f ca="1">IFERROR(__xludf.DUMMYFUNCTION("FILTER($J$2:$J$445,$K$2:$K$445=D215)"),"Into the Light")</f>
        <v>Into the Light</v>
      </c>
      <c r="C308" s="40" t="str">
        <f ca="1">IFERROR(__xludf.DUMMYFUNCTION("filter($M$1:$M$500, $N$1:$N$500=D215)"),"Philanthropic")</f>
        <v>Philanthropic</v>
      </c>
      <c r="D308" s="41">
        <v>1866</v>
      </c>
      <c r="E308" s="43">
        <v>154</v>
      </c>
      <c r="F308" s="58" t="s">
        <v>234</v>
      </c>
      <c r="G308" s="55">
        <v>1490</v>
      </c>
      <c r="H308" s="56" t="s">
        <v>30</v>
      </c>
      <c r="I308" s="59">
        <v>1467</v>
      </c>
    </row>
    <row r="309" spans="1:9" ht="17" customHeight="1">
      <c r="A309" s="39">
        <v>44371</v>
      </c>
      <c r="B309" s="40" t="str">
        <f ca="1">IFERROR(__xludf.DUMMYFUNCTION("FILTER($J$2:$J$445,$K$2:$K$445=D229)"),"Rutgers University Knights for Autism Awareness")</f>
        <v>Rutgers University Knights for Autism Awareness</v>
      </c>
      <c r="C309" s="40" t="str">
        <f ca="1">IFERROR(__xludf.DUMMYFUNCTION("filter($M$1:$M$500, $N$1:$N$500=D229)"),"Philanthropic")</f>
        <v>Philanthropic</v>
      </c>
      <c r="D309" s="41">
        <v>1766</v>
      </c>
      <c r="E309" s="43">
        <v>696</v>
      </c>
      <c r="F309" s="58" t="s">
        <v>248</v>
      </c>
      <c r="G309" s="55">
        <v>676</v>
      </c>
      <c r="H309" s="56" t="s">
        <v>34</v>
      </c>
      <c r="I309" s="59">
        <v>1510</v>
      </c>
    </row>
    <row r="310" spans="1:9" ht="17" customHeight="1">
      <c r="A310" s="39">
        <v>44371</v>
      </c>
      <c r="B310" s="40" t="str">
        <f ca="1">IFERROR(__xludf.DUMMYFUNCTION("FILTER($J$2:$J$445,$K$2:$K$445=D246)"),"Ronald McDonald House Charities Club (RMHC)")</f>
        <v>Ronald McDonald House Charities Club (RMHC)</v>
      </c>
      <c r="C310" s="40" t="str">
        <f ca="1">IFERROR(__xludf.DUMMYFUNCTION("filter($M$1:$M$500, $N$1:$N$500=D246)"),"Philanthropic")</f>
        <v>Philanthropic</v>
      </c>
      <c r="D310" s="41">
        <v>1593</v>
      </c>
      <c r="E310" s="43">
        <v>205</v>
      </c>
      <c r="F310" s="54" t="s">
        <v>265</v>
      </c>
      <c r="G310" s="55">
        <v>1882</v>
      </c>
      <c r="H310" s="56" t="s">
        <v>153</v>
      </c>
      <c r="I310" s="59">
        <v>1579</v>
      </c>
    </row>
    <row r="311" spans="1:9" ht="17" customHeight="1">
      <c r="A311" s="39">
        <v>44371</v>
      </c>
      <c r="B311" s="40" t="str">
        <f ca="1">IFERROR(__xludf.DUMMYFUNCTION("FILTER($J$2:$J$445,$K$2:$K$445=D259)"),"Pencils of Promise")</f>
        <v>Pencils of Promise</v>
      </c>
      <c r="C311" s="40" t="str">
        <f ca="1">IFERROR(__xludf.DUMMYFUNCTION("filter($M$1:$M$500, $N$1:$N$500=D259)"),"Philanthropic")</f>
        <v>Philanthropic</v>
      </c>
      <c r="D311" s="41">
        <v>1490</v>
      </c>
      <c r="E311" s="43">
        <v>154</v>
      </c>
      <c r="F311" s="54" t="s">
        <v>278</v>
      </c>
      <c r="G311" s="55">
        <v>1292</v>
      </c>
      <c r="H311" s="56" t="s">
        <v>17</v>
      </c>
      <c r="I311" s="59">
        <v>1656</v>
      </c>
    </row>
    <row r="312" spans="1:9" ht="17" customHeight="1">
      <c r="A312" s="39">
        <v>44371</v>
      </c>
      <c r="B312" s="40" t="str">
        <f ca="1">IFERROR(__xludf.DUMMYFUNCTION("FILTER($J$2:$J$445,$K$2:$K$445=D260)"),"The Ashley Lauren Foundation")</f>
        <v>The Ashley Lauren Foundation</v>
      </c>
      <c r="C312" s="40" t="str">
        <f ca="1">IFERROR(__xludf.DUMMYFUNCTION("filter($M$1:$M$500, $N$1:$N$500=D260)"),"Philanthropic")</f>
        <v>Philanthropic</v>
      </c>
      <c r="D312" s="41">
        <v>1486</v>
      </c>
      <c r="E312" s="43">
        <v>331</v>
      </c>
      <c r="F312" s="58" t="s">
        <v>279</v>
      </c>
      <c r="G312" s="55">
        <v>333</v>
      </c>
      <c r="H312" s="56" t="s">
        <v>28</v>
      </c>
      <c r="I312" s="59">
        <v>1662</v>
      </c>
    </row>
    <row r="313" spans="1:9" ht="17" customHeight="1">
      <c r="A313" s="39">
        <v>44371</v>
      </c>
      <c r="B313" s="40" t="str">
        <f ca="1">IFERROR(__xludf.DUMMYFUNCTION("FILTER($J$2:$J$445,$K$2:$K$445=D279)"),"United Muslim Relief")</f>
        <v>United Muslim Relief</v>
      </c>
      <c r="C313" s="40" t="str">
        <f ca="1">IFERROR(__xludf.DUMMYFUNCTION("filter($M$1:$M$500, $N$1:$N$500=D279)"),"Philanthropic")</f>
        <v>Philanthropic</v>
      </c>
      <c r="D313" s="41">
        <v>1318</v>
      </c>
      <c r="E313" s="42">
        <v>1849.96</v>
      </c>
      <c r="F313" s="58" t="s">
        <v>298</v>
      </c>
      <c r="G313" s="55">
        <v>1826</v>
      </c>
      <c r="H313" s="56" t="s">
        <v>8</v>
      </c>
      <c r="I313" s="59">
        <v>1750</v>
      </c>
    </row>
    <row r="314" spans="1:9" ht="17" customHeight="1">
      <c r="A314" s="39">
        <v>44371</v>
      </c>
      <c r="B314" s="40" t="str">
        <f ca="1">IFERROR(__xludf.DUMMYFUNCTION("FILTER($J$2:$J$445,$K$2:$K$445=D288)"),"Thaakat Foundation")</f>
        <v>Thaakat Foundation</v>
      </c>
      <c r="C314" s="40" t="str">
        <f ca="1">IFERROR(__xludf.DUMMYFUNCTION("filter($M$1:$M$500, $N$1:$N$500=D288)"),"Philanthropic")</f>
        <v>Philanthropic</v>
      </c>
      <c r="D314" s="41">
        <v>1231</v>
      </c>
      <c r="E314" s="42">
        <v>1330</v>
      </c>
      <c r="F314" s="54" t="s">
        <v>307</v>
      </c>
      <c r="G314" s="66">
        <v>1908</v>
      </c>
      <c r="H314" s="56" t="s">
        <v>17</v>
      </c>
      <c r="I314" s="59">
        <v>1772</v>
      </c>
    </row>
    <row r="315" spans="1:9" ht="17" customHeight="1">
      <c r="A315" s="39">
        <v>44371</v>
      </c>
      <c r="B315" s="40" t="str">
        <f ca="1">IFERROR(__xludf.DUMMYFUNCTION("FILTER($J$2:$J$445,$K$2:$K$445=D293)"),"Palestine Children's Relief Fund")</f>
        <v>Palestine Children's Relief Fund</v>
      </c>
      <c r="C315" s="40" t="str">
        <f ca="1">IFERROR(__xludf.DUMMYFUNCTION("filter($M$1:$M$500, $N$1:$N$500=D293)"),"Philanthropic")</f>
        <v>Philanthropic</v>
      </c>
      <c r="D315" s="41">
        <v>1184</v>
      </c>
      <c r="E315" s="43">
        <v>999</v>
      </c>
      <c r="F315" s="67" t="s">
        <v>312</v>
      </c>
      <c r="G315" s="66">
        <v>301</v>
      </c>
      <c r="H315" s="56" t="s">
        <v>50</v>
      </c>
      <c r="I315" s="59">
        <v>1795</v>
      </c>
    </row>
    <row r="316" spans="1:9" ht="17" customHeight="1">
      <c r="A316" s="39">
        <v>44371</v>
      </c>
      <c r="B316" s="40" t="str">
        <f ca="1">IFERROR(__xludf.DUMMYFUNCTION("FILTER($J$2:$J$445,$K$2:$K$445=D307)"),"American Cancer Society on RU Campus")</f>
        <v>American Cancer Society on RU Campus</v>
      </c>
      <c r="C316" s="40" t="str">
        <f ca="1">IFERROR(__xludf.DUMMYFUNCTION("filter($M$1:$M$500, $N$1:$N$500=D307)"),"Philanthropic")</f>
        <v>Philanthropic</v>
      </c>
      <c r="D316" s="41">
        <v>748</v>
      </c>
      <c r="E316" s="43">
        <v>168</v>
      </c>
      <c r="F316" s="58" t="s">
        <v>326</v>
      </c>
      <c r="G316" s="55">
        <v>1835</v>
      </c>
      <c r="H316" s="56" t="s">
        <v>28</v>
      </c>
      <c r="I316" s="59">
        <v>1831</v>
      </c>
    </row>
    <row r="317" spans="1:9" ht="17" customHeight="1">
      <c r="A317" s="39">
        <v>44371</v>
      </c>
      <c r="B317" s="40" t="str">
        <f ca="1">IFERROR(__xludf.DUMMYFUNCTION("FILTER($J$2:$J$445,$K$2:$K$445=D321)"),"UNICEF")</f>
        <v>UNICEF</v>
      </c>
      <c r="C317" s="40" t="str">
        <f ca="1">IFERROR(__xludf.DUMMYFUNCTION("filter($M$1:$M$500, $N$1:$N$500=D321)"),"Philanthropic")</f>
        <v>Philanthropic</v>
      </c>
      <c r="D317" s="41">
        <v>628</v>
      </c>
      <c r="E317" s="43">
        <v>449</v>
      </c>
      <c r="F317" s="54" t="s">
        <v>341</v>
      </c>
      <c r="G317" s="55">
        <v>1880</v>
      </c>
      <c r="H317" s="56" t="s">
        <v>153</v>
      </c>
      <c r="I317" s="59">
        <v>1876</v>
      </c>
    </row>
    <row r="318" spans="1:9" ht="17" customHeight="1">
      <c r="A318" s="39">
        <v>44371</v>
      </c>
      <c r="B318" s="40" t="str">
        <f ca="1">IFERROR(__xludf.DUMMYFUNCTION("FILTER($J$2:$J$445,$K$2:$K$445=D361)"),"Operation Smile")</f>
        <v>Operation Smile</v>
      </c>
      <c r="C318" s="40" t="str">
        <f ca="1">IFERROR(__xludf.DUMMYFUNCTION("filter($M$1:$M$500, $N$1:$N$500=D361)"),"Philanthropic")</f>
        <v>Philanthropic</v>
      </c>
      <c r="D318" s="41">
        <v>232</v>
      </c>
      <c r="E318" s="43">
        <v>433.12</v>
      </c>
      <c r="F318" s="58" t="s">
        <v>383</v>
      </c>
      <c r="G318" s="55">
        <v>1475</v>
      </c>
      <c r="H318" s="56" t="s">
        <v>66</v>
      </c>
      <c r="I318" s="59">
        <v>1957</v>
      </c>
    </row>
    <row r="319" spans="1:9" ht="17" customHeight="1">
      <c r="A319" s="39">
        <v>44371</v>
      </c>
      <c r="B319" s="40" t="str">
        <f ca="1">IFERROR(__xludf.DUMMYFUNCTION("FILTER($J$2:$J$445,$K$2:$K$445=D28)"),"Blueprint")</f>
        <v>Blueprint</v>
      </c>
      <c r="C319" s="40" t="str">
        <f ca="1">IFERROR(__xludf.DUMMYFUNCTION("filter($M$1:$M$500, $N$1:$N$500=D28)"),"Pre-Professional")</f>
        <v>Pre-Professional</v>
      </c>
      <c r="D319" s="41">
        <v>1934</v>
      </c>
      <c r="E319" s="42">
        <v>2340</v>
      </c>
      <c r="F319" s="58" t="s">
        <v>41</v>
      </c>
      <c r="G319" s="55">
        <v>452</v>
      </c>
      <c r="H319" s="56" t="s">
        <v>30</v>
      </c>
      <c r="I319" s="59">
        <v>132</v>
      </c>
    </row>
    <row r="320" spans="1:9" ht="17" customHeight="1">
      <c r="A320" s="39">
        <v>44371</v>
      </c>
      <c r="B320" s="40" t="str">
        <f ca="1">IFERROR(__xludf.DUMMYFUNCTION("FILTER($J$2:$J$445,$K$2:$K$445=D35)"),"Global Surgery Student Alliance at Rutgers")</f>
        <v>Global Surgery Student Alliance at Rutgers</v>
      </c>
      <c r="C320" s="40" t="str">
        <f ca="1">IFERROR(__xludf.DUMMYFUNCTION("filter($M$1:$M$500, $N$1:$N$500=D35)"),"Pre-Professional")</f>
        <v>Pre-Professional</v>
      </c>
      <c r="D320" s="41">
        <v>1873</v>
      </c>
      <c r="E320" s="43">
        <v>100</v>
      </c>
      <c r="F320" s="58" t="s">
        <v>48</v>
      </c>
      <c r="G320" s="55">
        <v>224</v>
      </c>
      <c r="H320" s="56" t="s">
        <v>21</v>
      </c>
      <c r="I320" s="59">
        <v>154</v>
      </c>
    </row>
    <row r="321" spans="1:9" ht="17" customHeight="1">
      <c r="A321" s="39">
        <v>44371</v>
      </c>
      <c r="B321" s="40" t="str">
        <f ca="1">IFERROR(__xludf.DUMMYFUNCTION("FILTER($J$2:$J$445,$K$2:$K$445=D38)"),"STEM Ambassadors")</f>
        <v>STEM Ambassadors</v>
      </c>
      <c r="C321" s="40" t="str">
        <f ca="1">IFERROR(__xludf.DUMMYFUNCTION("filter($M$1:$M$500, $N$1:$N$500=D38)"),"Pre-Professional")</f>
        <v>Pre-Professional</v>
      </c>
      <c r="D321" s="41">
        <v>1839</v>
      </c>
      <c r="E321" s="43">
        <v>300</v>
      </c>
      <c r="F321" s="54" t="s">
        <v>52</v>
      </c>
      <c r="G321" s="55">
        <v>1155</v>
      </c>
      <c r="H321" s="56" t="s">
        <v>34</v>
      </c>
      <c r="I321" s="59">
        <v>163</v>
      </c>
    </row>
    <row r="322" spans="1:9" ht="17" customHeight="1">
      <c r="A322" s="39">
        <v>44371</v>
      </c>
      <c r="B322" s="40" t="str">
        <f ca="1">IFERROR(__xludf.DUMMYFUNCTION("FILTER($J$2:$J$445,$K$2:$K$445=D57)"),"The Society for the Advancement of Chicanos and Native Americans in Science (SACNAS)")</f>
        <v>The Society for the Advancement of Chicanos and Native Americans in Science (SACNAS)</v>
      </c>
      <c r="C322" s="40" t="str">
        <f ca="1">IFERROR(__xludf.DUMMYFUNCTION("filter($M$1:$M$500, $N$1:$N$500=D57)"),"Pre-Professional")</f>
        <v>Pre-Professional</v>
      </c>
      <c r="D322" s="41">
        <v>1697</v>
      </c>
      <c r="E322" s="43">
        <v>500</v>
      </c>
      <c r="F322" s="58" t="s">
        <v>74</v>
      </c>
      <c r="G322" s="55">
        <v>646</v>
      </c>
      <c r="H322" s="56" t="s">
        <v>8</v>
      </c>
      <c r="I322" s="59">
        <v>287</v>
      </c>
    </row>
    <row r="323" spans="1:9" ht="17" customHeight="1">
      <c r="A323" s="39">
        <v>44371</v>
      </c>
      <c r="B323" s="40" t="str">
        <f ca="1">IFERROR(__xludf.DUMMYFUNCTION("FILTER($J$2:$J$445,$K$2:$K$445=D64)"),"Women in Information Technology")</f>
        <v>Women in Information Technology</v>
      </c>
      <c r="C323" s="40" t="str">
        <f ca="1">IFERROR(__xludf.DUMMYFUNCTION("filter($M$1:$M$500, $N$1:$N$500=D64)"),"Pre-Professional")</f>
        <v>Pre-Professional</v>
      </c>
      <c r="D323" s="41">
        <v>1578</v>
      </c>
      <c r="E323" s="43">
        <v>38.119999999999997</v>
      </c>
      <c r="F323" s="58" t="s">
        <v>81</v>
      </c>
      <c r="G323" s="55">
        <v>1978</v>
      </c>
      <c r="H323" s="56" t="s">
        <v>30</v>
      </c>
      <c r="I323" s="59">
        <v>320</v>
      </c>
    </row>
    <row r="324" spans="1:9" ht="17" customHeight="1">
      <c r="A324" s="39">
        <v>44371</v>
      </c>
      <c r="B324" s="40" t="str">
        <f ca="1">IFERROR(__xludf.DUMMYFUNCTION("FILTER($J$2:$J$445,$K$2:$K$445=D69)"),"Collegiate 100")</f>
        <v>Collegiate 100</v>
      </c>
      <c r="C324" s="40" t="str">
        <f ca="1">IFERROR(__xludf.DUMMYFUNCTION("filter($M$1:$M$500, $N$1:$N$500=D69)"),"Pre-Professional")</f>
        <v>Pre-Professional</v>
      </c>
      <c r="D324" s="41">
        <v>1478</v>
      </c>
      <c r="E324" s="43">
        <v>400</v>
      </c>
      <c r="F324" s="58" t="s">
        <v>86</v>
      </c>
      <c r="G324" s="55">
        <v>688</v>
      </c>
      <c r="H324" s="56" t="s">
        <v>8</v>
      </c>
      <c r="I324" s="59">
        <v>347</v>
      </c>
    </row>
    <row r="325" spans="1:9" ht="17" customHeight="1">
      <c r="A325" s="39">
        <v>44371</v>
      </c>
      <c r="B325" s="40" t="str">
        <f ca="1">IFERROR(__xludf.DUMMYFUNCTION("FILTER($J$2:$J$445,$K$2:$K$445=D72)"),"Future Healthcare Administrators")</f>
        <v>Future Healthcare Administrators</v>
      </c>
      <c r="C325" s="40" t="str">
        <f ca="1">IFERROR(__xludf.DUMMYFUNCTION("filter($M$1:$M$500, $N$1:$N$500=D72)"),"Pre-Professional")</f>
        <v>Pre-Professional</v>
      </c>
      <c r="D325" s="41">
        <v>1468</v>
      </c>
      <c r="E325" s="43">
        <v>800</v>
      </c>
      <c r="F325" s="58" t="s">
        <v>89</v>
      </c>
      <c r="G325" s="55">
        <v>62</v>
      </c>
      <c r="H325" s="56" t="s">
        <v>8</v>
      </c>
      <c r="I325" s="59">
        <v>353</v>
      </c>
    </row>
    <row r="326" spans="1:9" ht="17" customHeight="1">
      <c r="A326" s="39">
        <v>44371</v>
      </c>
      <c r="B326" s="40" t="str">
        <f ca="1">IFERROR(__xludf.DUMMYFUNCTION("FILTER($J$2:$J$445,$K$2:$K$445=D77)"),"Health Occupation Students of America (HOSA)")</f>
        <v>Health Occupation Students of America (HOSA)</v>
      </c>
      <c r="C326" s="40" t="str">
        <f ca="1">IFERROR(__xludf.DUMMYFUNCTION("filter($M$1:$M$500, $N$1:$N$500=D77)"),"Pre-Professional")</f>
        <v>Pre-Professional</v>
      </c>
      <c r="D326" s="41">
        <v>1373</v>
      </c>
      <c r="E326" s="43">
        <v>400</v>
      </c>
      <c r="F326" s="58" t="s">
        <v>94</v>
      </c>
      <c r="G326" s="55">
        <v>69</v>
      </c>
      <c r="H326" s="56" t="s">
        <v>50</v>
      </c>
      <c r="I326" s="59">
        <v>391</v>
      </c>
    </row>
    <row r="327" spans="1:9" ht="17" customHeight="1">
      <c r="A327" s="39">
        <v>44371</v>
      </c>
      <c r="B327" s="40" t="str">
        <f ca="1">IFERROR(__xludf.DUMMYFUNCTION("FILTER($J$2:$J$445,$K$2:$K$445=D81)"),"Rutgers University Mobile App Development")</f>
        <v>Rutgers University Mobile App Development</v>
      </c>
      <c r="C327" s="40" t="str">
        <f ca="1">IFERROR(__xludf.DUMMYFUNCTION("filter($M$1:$M$500, $N$1:$N$500=D81)"),"Pre-Professional")</f>
        <v>Pre-Professional</v>
      </c>
      <c r="D327" s="41">
        <v>1324</v>
      </c>
      <c r="E327" s="43">
        <v>150</v>
      </c>
      <c r="F327" s="58" t="s">
        <v>98</v>
      </c>
      <c r="G327" s="55">
        <v>1612</v>
      </c>
      <c r="H327" s="56" t="s">
        <v>30</v>
      </c>
      <c r="I327" s="59">
        <v>407</v>
      </c>
    </row>
    <row r="328" spans="1:9" ht="17" customHeight="1">
      <c r="A328" s="39">
        <v>44371</v>
      </c>
      <c r="B328" s="40" t="str">
        <f ca="1">IFERROR(__xludf.DUMMYFUNCTION("FILTER($J$2:$J$445,$K$2:$K$445=D85)"),"National Black Law Students Association")</f>
        <v>National Black Law Students Association</v>
      </c>
      <c r="C328" s="40" t="str">
        <f ca="1">IFERROR(__xludf.DUMMYFUNCTION("filter($M$1:$M$500, $N$1:$N$500=D85)"),"Pre-Professional")</f>
        <v>Pre-Professional</v>
      </c>
      <c r="D328" s="41">
        <v>1278</v>
      </c>
      <c r="E328" s="43">
        <v>850</v>
      </c>
      <c r="F328" s="58" t="s">
        <v>102</v>
      </c>
      <c r="G328" s="55">
        <v>1483</v>
      </c>
      <c r="H328" s="56" t="s">
        <v>21</v>
      </c>
      <c r="I328" s="59">
        <v>443</v>
      </c>
    </row>
    <row r="329" spans="1:9" ht="17" customHeight="1">
      <c r="A329" s="39">
        <v>44371</v>
      </c>
      <c r="B329" s="40" t="str">
        <f ca="1">IFERROR(__xludf.DUMMYFUNCTION("FILTER($J$2:$J$445,$K$2:$K$445=D96)"),"JMED")</f>
        <v>JMED</v>
      </c>
      <c r="C329" s="40" t="str">
        <f ca="1">IFERROR(__xludf.DUMMYFUNCTION("filter($M$1:$M$500, $N$1:$N$500=D96)"),"Pre-Professional")</f>
        <v>Pre-Professional</v>
      </c>
      <c r="D329" s="41">
        <v>1143</v>
      </c>
      <c r="E329" s="42">
        <v>3920</v>
      </c>
      <c r="F329" s="58" t="s">
        <v>113</v>
      </c>
      <c r="G329" s="55">
        <v>1529</v>
      </c>
      <c r="H329" s="56" t="s">
        <v>50</v>
      </c>
      <c r="I329" s="59">
        <v>516</v>
      </c>
    </row>
    <row r="330" spans="1:9" ht="17" customHeight="1">
      <c r="A330" s="39">
        <v>44371</v>
      </c>
      <c r="B330" s="40" t="str">
        <f ca="1">IFERROR(__xludf.DUMMYFUNCTION("FILTER($J$2:$J$445,$K$2:$K$445=D99)"),"Women in the Health Professions")</f>
        <v>Women in the Health Professions</v>
      </c>
      <c r="C330" s="40" t="str">
        <f ca="1">IFERROR(__xludf.DUMMYFUNCTION("filter($M$1:$M$500, $N$1:$N$500=D99)"),"Pre-Professional")</f>
        <v>Pre-Professional</v>
      </c>
      <c r="D330" s="41">
        <v>1084</v>
      </c>
      <c r="E330" s="43">
        <v>150</v>
      </c>
      <c r="F330" s="58" t="s">
        <v>116</v>
      </c>
      <c r="G330" s="55">
        <v>726</v>
      </c>
      <c r="H330" s="56" t="s">
        <v>10</v>
      </c>
      <c r="I330" s="59">
        <v>549</v>
      </c>
    </row>
    <row r="331" spans="1:9" ht="17" customHeight="1">
      <c r="A331" s="39">
        <v>44371</v>
      </c>
      <c r="B331" s="40" t="str">
        <f ca="1">IFERROR(__xludf.DUMMYFUNCTION("FILTER($J$2:$J$445,$K$2:$K$445=D102)"),"Pre-Optometry Professions Society")</f>
        <v>Pre-Optometry Professions Society</v>
      </c>
      <c r="C331" s="40" t="str">
        <f ca="1">IFERROR(__xludf.DUMMYFUNCTION("filter($M$1:$M$500, $N$1:$N$500=D102)"),"Pre-Professional")</f>
        <v>Pre-Professional</v>
      </c>
      <c r="D331" s="41">
        <v>1042</v>
      </c>
      <c r="E331" s="43">
        <v>60</v>
      </c>
      <c r="F331" s="58" t="s">
        <v>119</v>
      </c>
      <c r="G331" s="55">
        <v>1489</v>
      </c>
      <c r="H331" s="56" t="s">
        <v>34</v>
      </c>
      <c r="I331" s="59">
        <v>575</v>
      </c>
    </row>
    <row r="332" spans="1:9" ht="17" customHeight="1">
      <c r="A332" s="39">
        <v>44371</v>
      </c>
      <c r="B332" s="40" t="str">
        <f ca="1">IFERROR(__xludf.DUMMYFUNCTION("FILTER($J$2:$J$445,$K$2:$K$445=D120)"),"Mock Trial Association")</f>
        <v>Mock Trial Association</v>
      </c>
      <c r="C332" s="40" t="str">
        <f ca="1">IFERROR(__xludf.DUMMYFUNCTION("filter($M$1:$M$500, $N$1:$N$500=D120)"),"Pre-Professional")</f>
        <v>Pre-Professional</v>
      </c>
      <c r="D332" s="41">
        <v>661</v>
      </c>
      <c r="E332" s="43">
        <v>730</v>
      </c>
      <c r="F332" s="58" t="s">
        <v>138</v>
      </c>
      <c r="G332" s="55">
        <v>1973</v>
      </c>
      <c r="H332" s="56" t="s">
        <v>50</v>
      </c>
      <c r="I332" s="59">
        <v>675</v>
      </c>
    </row>
    <row r="333" spans="1:9" ht="17" customHeight="1">
      <c r="A333" s="39">
        <v>44371</v>
      </c>
      <c r="B333" s="40" t="str">
        <f ca="1">IFERROR(__xludf.DUMMYFUNCTION("FILTER($J$2:$J$445,$K$2:$K$445=D135)"),"New Jersey Public Heatlh Association-Rutgers Student Chapter (NJPHA-RSC)")</f>
        <v>New Jersey Public Heatlh Association-Rutgers Student Chapter (NJPHA-RSC)</v>
      </c>
      <c r="C333" s="40" t="str">
        <f ca="1">IFERROR(__xludf.DUMMYFUNCTION("filter($M$1:$M$500, $N$1:$N$500=D135)"),"Pre-Professional")</f>
        <v>Pre-Professional</v>
      </c>
      <c r="D333" s="41">
        <v>443</v>
      </c>
      <c r="E333" s="43">
        <v>210</v>
      </c>
      <c r="F333" s="58" t="s">
        <v>154</v>
      </c>
      <c r="G333" s="55">
        <v>136</v>
      </c>
      <c r="H333" s="56" t="s">
        <v>21</v>
      </c>
      <c r="I333" s="59">
        <v>746</v>
      </c>
    </row>
    <row r="334" spans="1:9" ht="17" customHeight="1">
      <c r="A334" s="39">
        <v>44371</v>
      </c>
      <c r="B334" s="40" t="str">
        <f ca="1">IFERROR(__xludf.DUMMYFUNCTION("FILTER($J$2:$J$445,$K$2:$K$445=D137)"),"Pre-Dental Society of Rutgers University")</f>
        <v>Pre-Dental Society of Rutgers University</v>
      </c>
      <c r="C334" s="40" t="str">
        <f ca="1">IFERROR(__xludf.DUMMYFUNCTION("filter($M$1:$M$500, $N$1:$N$500=D137)"),"Pre-Professional")</f>
        <v>Pre-Professional</v>
      </c>
      <c r="D334" s="41">
        <v>415</v>
      </c>
      <c r="E334" s="43">
        <v>390</v>
      </c>
      <c r="F334" s="54" t="s">
        <v>156</v>
      </c>
      <c r="G334" s="55">
        <v>137</v>
      </c>
      <c r="H334" s="56" t="s">
        <v>8</v>
      </c>
      <c r="I334" s="59">
        <v>759</v>
      </c>
    </row>
    <row r="335" spans="1:9" ht="17" customHeight="1">
      <c r="A335" s="39">
        <v>44371</v>
      </c>
      <c r="B335" s="40" t="str">
        <f ca="1">IFERROR(__xludf.DUMMYFUNCTION("FILTER($J$2:$J$445,$K$2:$K$445=D148)"),"Cognitive Science Club")</f>
        <v>Cognitive Science Club</v>
      </c>
      <c r="C335" s="40" t="str">
        <f ca="1">IFERROR(__xludf.DUMMYFUNCTION("filter($M$1:$M$500, $N$1:$N$500=D148)"),"Pre-Professional")</f>
        <v>Pre-Professional</v>
      </c>
      <c r="D335" s="41">
        <v>338</v>
      </c>
      <c r="E335" s="43">
        <v>100.01</v>
      </c>
      <c r="F335" s="54" t="s">
        <v>167</v>
      </c>
      <c r="G335" s="55">
        <v>145</v>
      </c>
      <c r="H335" s="56" t="s">
        <v>21</v>
      </c>
      <c r="I335" s="59">
        <v>1042</v>
      </c>
    </row>
    <row r="336" spans="1:9" ht="17" customHeight="1">
      <c r="A336" s="39">
        <v>44371</v>
      </c>
      <c r="B336" s="40" t="str">
        <f ca="1">IFERROR(__xludf.DUMMYFUNCTION("FILTER($J$2:$J$445,$K$2:$K$445=D152)"),"American Medical Student Association")</f>
        <v>American Medical Student Association</v>
      </c>
      <c r="C336" s="40" t="str">
        <f ca="1">IFERROR(__xludf.DUMMYFUNCTION("filter($M$1:$M$500, $N$1:$N$500=D152)"),"Pre-Professional")</f>
        <v>Pre-Professional</v>
      </c>
      <c r="D336" s="41">
        <v>291</v>
      </c>
      <c r="E336" s="42">
        <v>3890</v>
      </c>
      <c r="F336" s="58" t="s">
        <v>171</v>
      </c>
      <c r="G336" s="55">
        <v>1124</v>
      </c>
      <c r="H336" s="56" t="s">
        <v>28</v>
      </c>
      <c r="I336" s="59">
        <v>1063</v>
      </c>
    </row>
    <row r="337" spans="1:9" ht="17" customHeight="1">
      <c r="A337" s="39">
        <v>44371</v>
      </c>
      <c r="B337" s="40" t="str">
        <f ca="1">IFERROR(__xludf.DUMMYFUNCTION("FILTER($J$2:$J$445,$K$2:$K$445=D153)"),"Society of Professional Journalists")</f>
        <v>Society of Professional Journalists</v>
      </c>
      <c r="C337" s="40" t="str">
        <f ca="1">IFERROR(__xludf.DUMMYFUNCTION("filter($M$1:$M$500, $N$1:$N$500=D153)"),"Pre-Professional")</f>
        <v>Pre-Professional</v>
      </c>
      <c r="D337" s="41">
        <v>271</v>
      </c>
      <c r="E337" s="43">
        <v>800</v>
      </c>
      <c r="F337" s="54" t="s">
        <v>172</v>
      </c>
      <c r="G337" s="55">
        <v>1875</v>
      </c>
      <c r="H337" s="56" t="s">
        <v>10</v>
      </c>
      <c r="I337" s="59">
        <v>1078</v>
      </c>
    </row>
    <row r="338" spans="1:9" ht="17" customHeight="1">
      <c r="A338" s="39">
        <v>44371</v>
      </c>
      <c r="B338" s="40" t="str">
        <f ca="1">IFERROR(__xludf.DUMMYFUNCTION("FILTER($J$2:$J$445,$K$2:$K$445=D159)"),"Women in Computer Science")</f>
        <v>Women in Computer Science</v>
      </c>
      <c r="C338" s="40" t="str">
        <f ca="1">IFERROR(__xludf.DUMMYFUNCTION("filter($M$1:$M$500, $N$1:$N$500=D159)"),"Pre-Professional")</f>
        <v>Pre-Professional</v>
      </c>
      <c r="D338" s="41">
        <v>209</v>
      </c>
      <c r="E338" s="42">
        <v>1192.08</v>
      </c>
      <c r="F338" s="54" t="s">
        <v>178</v>
      </c>
      <c r="G338" s="55">
        <v>1939</v>
      </c>
      <c r="H338" s="56" t="s">
        <v>50</v>
      </c>
      <c r="I338" s="59">
        <v>1119</v>
      </c>
    </row>
    <row r="339" spans="1:9" ht="17" customHeight="1">
      <c r="A339" s="39">
        <v>44371</v>
      </c>
      <c r="B339" s="40" t="str">
        <f ca="1">IFERROR(__xludf.DUMMYFUNCTION("FILTER($J$2:$J$445,$K$2:$K$445=D166)"),"Association of International Relations(RUAIR)")</f>
        <v>Association of International Relations(RUAIR)</v>
      </c>
      <c r="C339" s="40" t="str">
        <f ca="1">IFERROR(__xludf.DUMMYFUNCTION("filter($M$1:$M$500, $N$1:$N$500=D166)"),"Pre-Professional")</f>
        <v>Pre-Professional</v>
      </c>
      <c r="D339" s="41">
        <v>154</v>
      </c>
      <c r="E339" s="43">
        <v>326.14999999999998</v>
      </c>
      <c r="F339" s="58" t="s">
        <v>185</v>
      </c>
      <c r="G339" s="55">
        <v>163</v>
      </c>
      <c r="H339" s="56" t="s">
        <v>28</v>
      </c>
      <c r="I339" s="59">
        <v>1169</v>
      </c>
    </row>
    <row r="340" spans="1:9" ht="17" customHeight="1">
      <c r="A340" s="39">
        <v>44371</v>
      </c>
      <c r="B340" s="40" t="str">
        <f ca="1">IFERROR(__xludf.DUMMYFUNCTION("FILTER($J$2:$J$445,$K$2:$K$445=D179)"),"Health Professions United")</f>
        <v>Health Professions United</v>
      </c>
      <c r="C340" s="40" t="str">
        <f ca="1">IFERROR(__xludf.DUMMYFUNCTION("filter($M$1:$M$500, $N$1:$N$500=D179)"),"Pre-Professional")</f>
        <v>Pre-Professional</v>
      </c>
      <c r="D340" s="41">
        <v>48</v>
      </c>
      <c r="E340" s="43">
        <v>200</v>
      </c>
      <c r="F340" s="54" t="s">
        <v>198</v>
      </c>
      <c r="G340" s="55">
        <v>588</v>
      </c>
      <c r="H340" s="56" t="s">
        <v>60</v>
      </c>
      <c r="I340" s="59">
        <v>1273</v>
      </c>
    </row>
    <row r="341" spans="1:9" ht="17" customHeight="1">
      <c r="A341" s="39">
        <v>44371</v>
      </c>
      <c r="B341" s="40" t="str">
        <f ca="1">IFERROR(__xludf.DUMMYFUNCTION("FILTER($J$2:$J$445,$K$2:$K$445=D204)"),"Blueprint")</f>
        <v>Blueprint</v>
      </c>
      <c r="C341" s="40" t="str">
        <f ca="1">IFERROR(__xludf.DUMMYFUNCTION("filter($M$1:$M$500, $N$1:$N$500=D204)"),"Pre-Professional")</f>
        <v>Pre-Professional</v>
      </c>
      <c r="D341" s="41">
        <v>1934</v>
      </c>
      <c r="E341" s="42">
        <v>2149</v>
      </c>
      <c r="F341" s="58" t="s">
        <v>223</v>
      </c>
      <c r="G341" s="55">
        <v>232</v>
      </c>
      <c r="H341" s="56" t="s">
        <v>34</v>
      </c>
      <c r="I341" s="59">
        <v>1411</v>
      </c>
    </row>
    <row r="342" spans="1:9" ht="17" customHeight="1">
      <c r="A342" s="39">
        <v>44371</v>
      </c>
      <c r="B342" s="40" t="str">
        <f ca="1">IFERROR(__xludf.DUMMYFUNCTION("FILTER($J$2:$J$445,$K$2:$K$445=D214)"),"Global Surgery Student Alliance at Rutgers")</f>
        <v>Global Surgery Student Alliance at Rutgers</v>
      </c>
      <c r="C342" s="40" t="str">
        <f ca="1">IFERROR(__xludf.DUMMYFUNCTION("filter($M$1:$M$500, $N$1:$N$500=D214)"),"Pre-Professional")</f>
        <v>Pre-Professional</v>
      </c>
      <c r="D342" s="41">
        <v>1873</v>
      </c>
      <c r="E342" s="43">
        <v>954</v>
      </c>
      <c r="F342" s="58" t="s">
        <v>233</v>
      </c>
      <c r="G342" s="55">
        <v>1906</v>
      </c>
      <c r="H342" s="56" t="s">
        <v>17</v>
      </c>
      <c r="I342" s="59">
        <v>1459</v>
      </c>
    </row>
    <row r="343" spans="1:9" ht="17" customHeight="1">
      <c r="A343" s="39">
        <v>44371</v>
      </c>
      <c r="B343" s="40" t="str">
        <f ca="1">IFERROR(__xludf.DUMMYFUNCTION("FILTER($J$2:$J$445,$K$2:$K$445=D238)"),"The Society for the Advancement of Chicanos and Native Americans in Science (SACNAS)")</f>
        <v>The Society for the Advancement of Chicanos and Native Americans in Science (SACNAS)</v>
      </c>
      <c r="C343" s="40" t="str">
        <f ca="1">IFERROR(__xludf.DUMMYFUNCTION("filter($M$1:$M$500, $N$1:$N$500=D238)"),"Pre-Professional")</f>
        <v>Pre-Professional</v>
      </c>
      <c r="D343" s="41">
        <v>1697</v>
      </c>
      <c r="E343" s="43">
        <v>505</v>
      </c>
      <c r="F343" s="58" t="s">
        <v>257</v>
      </c>
      <c r="G343" s="55">
        <v>128</v>
      </c>
      <c r="H343" s="56" t="s">
        <v>153</v>
      </c>
      <c r="I343" s="59">
        <v>1543</v>
      </c>
    </row>
    <row r="344" spans="1:9" ht="17" customHeight="1">
      <c r="A344" s="39">
        <v>44371</v>
      </c>
      <c r="B344" s="40" t="str">
        <f ca="1">IFERROR(__xludf.DUMMYFUNCTION("FILTER($J$2:$J$445,$K$2:$K$445=D248)"),"Women in Information Technology")</f>
        <v>Women in Information Technology</v>
      </c>
      <c r="C344" s="40" t="str">
        <f ca="1">IFERROR(__xludf.DUMMYFUNCTION("filter($M$1:$M$500, $N$1:$N$500=D248)"),"Pre-Professional")</f>
        <v>Pre-Professional</v>
      </c>
      <c r="D344" s="41">
        <v>1578</v>
      </c>
      <c r="E344" s="42">
        <v>1074.6500000000001</v>
      </c>
      <c r="F344" s="54" t="s">
        <v>267</v>
      </c>
      <c r="G344" s="55">
        <v>1593</v>
      </c>
      <c r="H344" s="56" t="s">
        <v>60</v>
      </c>
      <c r="I344" s="59">
        <v>1591</v>
      </c>
    </row>
    <row r="345" spans="1:9" ht="17" customHeight="1">
      <c r="A345" s="39">
        <v>44371</v>
      </c>
      <c r="B345" s="40" t="str">
        <f ca="1">IFERROR(__xludf.DUMMYFUNCTION("FILTER($J$2:$J$445,$K$2:$K$445=D253)"),"Building Research, Advocacy, and Innovation in Neuroscience (BRAIN)")</f>
        <v>Building Research, Advocacy, and Innovation in Neuroscience (BRAIN)</v>
      </c>
      <c r="C345" s="40" t="str">
        <f ca="1">IFERROR(__xludf.DUMMYFUNCTION("filter($M$1:$M$500, $N$1:$N$500=D253)"),"Pre-Professional")</f>
        <v>Pre-Professional</v>
      </c>
      <c r="D345" s="41">
        <v>1541</v>
      </c>
      <c r="E345" s="43">
        <v>890</v>
      </c>
      <c r="F345" s="58" t="s">
        <v>272</v>
      </c>
      <c r="G345" s="55">
        <v>1665</v>
      </c>
      <c r="H345" s="56" t="s">
        <v>66</v>
      </c>
      <c r="I345" s="59">
        <v>1608</v>
      </c>
    </row>
    <row r="346" spans="1:9" ht="17" customHeight="1">
      <c r="A346" s="39">
        <v>44371</v>
      </c>
      <c r="B346" s="40" t="str">
        <f ca="1">IFERROR(__xludf.DUMMYFUNCTION("FILTER($J$2:$J$445,$K$2:$K$445=D261)"),"Criminal Justice Organization")</f>
        <v>Criminal Justice Organization</v>
      </c>
      <c r="C346" s="40" t="str">
        <f ca="1">IFERROR(__xludf.DUMMYFUNCTION("filter($M$1:$M$500, $N$1:$N$500=D261)"),"Pre-Professional")</f>
        <v>Pre-Professional</v>
      </c>
      <c r="D346" s="41">
        <v>1483</v>
      </c>
      <c r="E346" s="43">
        <v>253</v>
      </c>
      <c r="F346" s="58" t="s">
        <v>280</v>
      </c>
      <c r="G346" s="55">
        <v>649</v>
      </c>
      <c r="H346" s="56" t="s">
        <v>17</v>
      </c>
      <c r="I346" s="59">
        <v>1663</v>
      </c>
    </row>
    <row r="347" spans="1:9" ht="17" customHeight="1">
      <c r="A347" s="39">
        <v>44371</v>
      </c>
      <c r="B347" s="40" t="str">
        <f ca="1">IFERROR(__xludf.DUMMYFUNCTION("FILTER($J$2:$J$445,$K$2:$K$445=D262)"),"Collegiate 100")</f>
        <v>Collegiate 100</v>
      </c>
      <c r="C347" s="40" t="str">
        <f ca="1">IFERROR(__xludf.DUMMYFUNCTION("filter($M$1:$M$500, $N$1:$N$500=D262)"),"Pre-Professional")</f>
        <v>Pre-Professional</v>
      </c>
      <c r="D347" s="41">
        <v>1478</v>
      </c>
      <c r="E347" s="43">
        <v>113</v>
      </c>
      <c r="F347" s="54" t="s">
        <v>281</v>
      </c>
      <c r="G347" s="55">
        <v>1877</v>
      </c>
      <c r="H347" s="56" t="s">
        <v>60</v>
      </c>
      <c r="I347" s="59">
        <v>1665</v>
      </c>
    </row>
    <row r="348" spans="1:9" ht="17" customHeight="1">
      <c r="A348" s="39">
        <v>44371</v>
      </c>
      <c r="B348" s="40" t="str">
        <f ca="1">IFERROR(__xludf.DUMMYFUNCTION("FILTER($J$2:$J$445,$K$2:$K$445=D265)"),"Future Healthcare Administrators")</f>
        <v>Future Healthcare Administrators</v>
      </c>
      <c r="C348" s="40" t="str">
        <f ca="1">IFERROR(__xludf.DUMMYFUNCTION("filter($M$1:$M$500, $N$1:$N$500=D265)"),"Pre-Professional")</f>
        <v>Pre-Professional</v>
      </c>
      <c r="D348" s="41">
        <v>1468</v>
      </c>
      <c r="E348" s="42">
        <v>1182</v>
      </c>
      <c r="F348" s="54" t="s">
        <v>284</v>
      </c>
      <c r="G348" s="55">
        <v>19</v>
      </c>
      <c r="H348" s="56" t="s">
        <v>153</v>
      </c>
      <c r="I348" s="59">
        <v>1688</v>
      </c>
    </row>
    <row r="349" spans="1:9" ht="17" customHeight="1">
      <c r="A349" s="39">
        <v>44371</v>
      </c>
      <c r="B349" s="40" t="str">
        <f ca="1">IFERROR(__xludf.DUMMYFUNCTION("FILTER($J$2:$J$445,$K$2:$K$445=D272)"),"Future Teachers Association")</f>
        <v>Future Teachers Association</v>
      </c>
      <c r="C349" s="40" t="str">
        <f ca="1">IFERROR(__xludf.DUMMYFUNCTION("filter($M$1:$M$500, $N$1:$N$500=D272)"),"Pre-Professional")</f>
        <v>Pre-Professional</v>
      </c>
      <c r="D349" s="41">
        <v>1387</v>
      </c>
      <c r="E349" s="43">
        <v>286</v>
      </c>
      <c r="F349" s="58" t="s">
        <v>291</v>
      </c>
      <c r="G349" s="55">
        <v>1762</v>
      </c>
      <c r="H349" s="56" t="s">
        <v>17</v>
      </c>
      <c r="I349" s="59">
        <v>1719</v>
      </c>
    </row>
    <row r="350" spans="1:9" ht="17" customHeight="1">
      <c r="A350" s="39">
        <v>44371</v>
      </c>
      <c r="B350" s="40" t="str">
        <f ca="1">IFERROR(__xludf.DUMMYFUNCTION("FILTER($J$2:$J$445,$K$2:$K$445=D273)"),"Health Occupation Students of America (HOSA)")</f>
        <v>Health Occupation Students of America (HOSA)</v>
      </c>
      <c r="C350" s="40" t="str">
        <f ca="1">IFERROR(__xludf.DUMMYFUNCTION("filter($M$1:$M$500, $N$1:$N$500=D273)"),"Pre-Professional")</f>
        <v>Pre-Professional</v>
      </c>
      <c r="D350" s="41">
        <v>1373</v>
      </c>
      <c r="E350" s="43">
        <v>717</v>
      </c>
      <c r="F350" s="58" t="s">
        <v>292</v>
      </c>
      <c r="G350" s="55">
        <v>770</v>
      </c>
      <c r="H350" s="56" t="s">
        <v>34</v>
      </c>
      <c r="I350" s="59">
        <v>1722</v>
      </c>
    </row>
    <row r="351" spans="1:9" ht="17" customHeight="1">
      <c r="A351" s="39">
        <v>44371</v>
      </c>
      <c r="B351" s="40" t="str">
        <f ca="1">IFERROR(__xludf.DUMMYFUNCTION("FILTER($J$2:$J$445,$K$2:$K$445=D277)"),"Rutgers University Mobile App Development")</f>
        <v>Rutgers University Mobile App Development</v>
      </c>
      <c r="C351" s="40" t="str">
        <f ca="1">IFERROR(__xludf.DUMMYFUNCTION("filter($M$1:$M$500, $N$1:$N$500=D277)"),"Pre-Professional")</f>
        <v>Pre-Professional</v>
      </c>
      <c r="D351" s="41">
        <v>1324</v>
      </c>
      <c r="E351" s="43">
        <v>911</v>
      </c>
      <c r="F351" s="58" t="s">
        <v>296</v>
      </c>
      <c r="G351" s="55">
        <v>1479</v>
      </c>
      <c r="H351" s="56" t="s">
        <v>60</v>
      </c>
      <c r="I351" s="59">
        <v>1746</v>
      </c>
    </row>
    <row r="352" spans="1:9" ht="17" customHeight="1">
      <c r="A352" s="39">
        <v>44371</v>
      </c>
      <c r="B352" s="40" t="str">
        <f ca="1">IFERROR(__xludf.DUMMYFUNCTION("FILTER($J$2:$J$445,$K$2:$K$445=D294)"),"JMED")</f>
        <v>JMED</v>
      </c>
      <c r="C352" s="40" t="str">
        <f ca="1">IFERROR(__xludf.DUMMYFUNCTION("filter($M$1:$M$500, $N$1:$N$500=D294)"),"Pre-Professional")</f>
        <v>Pre-Professional</v>
      </c>
      <c r="D352" s="41">
        <v>1143</v>
      </c>
      <c r="E352" s="42">
        <v>2614</v>
      </c>
      <c r="F352" s="58" t="s">
        <v>313</v>
      </c>
      <c r="G352" s="55">
        <v>621</v>
      </c>
      <c r="H352" s="56" t="s">
        <v>34</v>
      </c>
      <c r="I352" s="59">
        <v>1797</v>
      </c>
    </row>
    <row r="353" spans="1:9" ht="17" customHeight="1">
      <c r="A353" s="39">
        <v>44371</v>
      </c>
      <c r="B353" s="40" t="str">
        <f ca="1">IFERROR(__xludf.DUMMYFUNCTION("FILTER($J$2:$J$445,$K$2:$K$445=D299)"),"Pre-Optometry Professions Society")</f>
        <v>Pre-Optometry Professions Society</v>
      </c>
      <c r="C353" s="40" t="str">
        <f ca="1">IFERROR(__xludf.DUMMYFUNCTION("filter($M$1:$M$500, $N$1:$N$500=D299)"),"Pre-Professional")</f>
        <v>Pre-Professional</v>
      </c>
      <c r="D353" s="41">
        <v>1042</v>
      </c>
      <c r="E353" s="42">
        <v>1044</v>
      </c>
      <c r="F353" s="54" t="s">
        <v>318</v>
      </c>
      <c r="G353" s="55">
        <v>1697</v>
      </c>
      <c r="H353" s="56" t="s">
        <v>34</v>
      </c>
      <c r="I353" s="59">
        <v>1817</v>
      </c>
    </row>
    <row r="354" spans="1:9" ht="17" customHeight="1">
      <c r="A354" s="39">
        <v>44371</v>
      </c>
      <c r="B354" s="40" t="str">
        <f ca="1">IFERROR(__xludf.DUMMYFUNCTION("FILTER($J$2:$J$445,$K$2:$K$445=D308)"),"Art History Student Association")</f>
        <v>Art History Student Association</v>
      </c>
      <c r="C354" s="40" t="str">
        <f ca="1">IFERROR(__xludf.DUMMYFUNCTION("filter($M$1:$M$500, $N$1:$N$500=D308)"),"Pre-Professional")</f>
        <v>Pre-Professional</v>
      </c>
      <c r="D354" s="41">
        <v>746</v>
      </c>
      <c r="E354" s="43">
        <v>50</v>
      </c>
      <c r="F354" s="58" t="s">
        <v>327</v>
      </c>
      <c r="G354" s="55">
        <v>1702</v>
      </c>
      <c r="H354" s="56" t="s">
        <v>50</v>
      </c>
      <c r="I354" s="59">
        <v>1832</v>
      </c>
    </row>
    <row r="355" spans="1:9" ht="17" customHeight="1">
      <c r="A355" s="39">
        <v>44371</v>
      </c>
      <c r="B355" s="40" t="str">
        <f ca="1">IFERROR(__xludf.DUMMYFUNCTION("FILTER($J$2:$J$445,$K$2:$K$445=D318)"),"Mock Trial Association")</f>
        <v>Mock Trial Association</v>
      </c>
      <c r="C355" s="40" t="str">
        <f ca="1">IFERROR(__xludf.DUMMYFUNCTION("filter($M$1:$M$500, $N$1:$N$500=D318)"),"Pre-Professional")</f>
        <v>Pre-Professional</v>
      </c>
      <c r="D355" s="41">
        <v>661</v>
      </c>
      <c r="E355" s="43">
        <v>437</v>
      </c>
      <c r="F355" s="54" t="s">
        <v>338</v>
      </c>
      <c r="G355" s="55">
        <v>1943</v>
      </c>
      <c r="H355" s="56" t="s">
        <v>21</v>
      </c>
      <c r="I355" s="59">
        <v>1873</v>
      </c>
    </row>
    <row r="356" spans="1:9" ht="17" customHeight="1">
      <c r="A356" s="39">
        <v>44371</v>
      </c>
      <c r="B356" s="40" t="str">
        <f ca="1">IFERROR(__xludf.DUMMYFUNCTION("FILTER($J$2:$J$445,$K$2:$K$445=D337)"),"New Jersey Public Heatlh Association-Rutgers Student Chapter (NJPHA-RSC)")</f>
        <v>New Jersey Public Heatlh Association-Rutgers Student Chapter (NJPHA-RSC)</v>
      </c>
      <c r="C356" s="40" t="str">
        <f ca="1">IFERROR(__xludf.DUMMYFUNCTION("filter($M$1:$M$500, $N$1:$N$500=D337)"),"Pre-Professional")</f>
        <v>Pre-Professional</v>
      </c>
      <c r="D356" s="41">
        <v>443</v>
      </c>
      <c r="E356" s="43">
        <v>168</v>
      </c>
      <c r="F356" s="58" t="s">
        <v>358</v>
      </c>
      <c r="G356" s="55">
        <v>1766</v>
      </c>
      <c r="H356" s="56" t="s">
        <v>8</v>
      </c>
      <c r="I356" s="59">
        <v>1926</v>
      </c>
    </row>
    <row r="357" spans="1:9" ht="17" customHeight="1">
      <c r="A357" s="39">
        <v>44371</v>
      </c>
      <c r="B357" s="40" t="str">
        <f ca="1">IFERROR(__xludf.DUMMYFUNCTION("FILTER($J$2:$J$445,$K$2:$K$445=D339)"),"Pre-Dental Society of Rutgers University")</f>
        <v>Pre-Dental Society of Rutgers University</v>
      </c>
      <c r="C357" s="40" t="str">
        <f ca="1">IFERROR(__xludf.DUMMYFUNCTION("filter($M$1:$M$500, $N$1:$N$500=D339)"),"Pre-Professional")</f>
        <v>Pre-Professional</v>
      </c>
      <c r="D357" s="41">
        <v>415</v>
      </c>
      <c r="E357" s="43">
        <v>200</v>
      </c>
      <c r="F357" s="58" t="s">
        <v>360</v>
      </c>
      <c r="G357" s="55">
        <v>661</v>
      </c>
      <c r="H357" s="56" t="s">
        <v>21</v>
      </c>
      <c r="I357" s="59">
        <v>1934</v>
      </c>
    </row>
    <row r="358" spans="1:9" ht="17" customHeight="1">
      <c r="A358" s="39">
        <v>44371</v>
      </c>
      <c r="B358" s="40" t="str">
        <f ca="1">IFERROR(__xludf.DUMMYFUNCTION("FILTER($J$2:$J$445,$K$2:$K$445=D351)"),"Cognitive Science Club")</f>
        <v>Cognitive Science Club</v>
      </c>
      <c r="C358" s="40" t="str">
        <f ca="1">IFERROR(__xludf.DUMMYFUNCTION("filter($M$1:$M$500, $N$1:$N$500=D351)"),"Pre-Professional")</f>
        <v>Pre-Professional</v>
      </c>
      <c r="D358" s="41">
        <v>338</v>
      </c>
      <c r="E358" s="42">
        <v>1244</v>
      </c>
      <c r="F358" s="54" t="s">
        <v>372</v>
      </c>
      <c r="G358" s="55">
        <v>1839</v>
      </c>
      <c r="H358" s="56" t="s">
        <v>66</v>
      </c>
      <c r="I358" s="59">
        <v>1946</v>
      </c>
    </row>
    <row r="359" spans="1:9" ht="17" customHeight="1">
      <c r="A359" s="39">
        <v>44371</v>
      </c>
      <c r="B359" s="40" t="str">
        <f ca="1">IFERROR(__xludf.DUMMYFUNCTION("FILTER($J$2:$J$445,$K$2:$K$445=D357)"),"American Medical Student Association")</f>
        <v>American Medical Student Association</v>
      </c>
      <c r="C359" s="40" t="str">
        <f ca="1">IFERROR(__xludf.DUMMYFUNCTION("filter($M$1:$M$500, $N$1:$N$500=D357)"),"Pre-Professional")</f>
        <v>Pre-Professional</v>
      </c>
      <c r="D359" s="41">
        <v>291</v>
      </c>
      <c r="E359" s="43">
        <v>825</v>
      </c>
      <c r="F359" s="58" t="s">
        <v>379</v>
      </c>
      <c r="G359" s="55">
        <v>1496</v>
      </c>
      <c r="H359" s="56" t="s">
        <v>8</v>
      </c>
      <c r="I359" s="59">
        <v>1952</v>
      </c>
    </row>
    <row r="360" spans="1:9" ht="17" customHeight="1">
      <c r="A360" s="39">
        <v>44371</v>
      </c>
      <c r="B360" s="40" t="str">
        <f ca="1">IFERROR(__xludf.DUMMYFUNCTION("FILTER($J$2:$J$445,$K$2:$K$445=D365)"),"Women in Computer Science")</f>
        <v>Women in Computer Science</v>
      </c>
      <c r="C360" s="40" t="str">
        <f ca="1">IFERROR(__xludf.DUMMYFUNCTION("filter($M$1:$M$500, $N$1:$N$500=D365)"),"Pre-Professional")</f>
        <v>Pre-Professional</v>
      </c>
      <c r="D360" s="41">
        <v>209</v>
      </c>
      <c r="E360" s="42">
        <v>2155</v>
      </c>
      <c r="F360" s="58" t="s">
        <v>387</v>
      </c>
      <c r="G360" s="55">
        <v>149</v>
      </c>
      <c r="H360" s="56" t="s">
        <v>60</v>
      </c>
      <c r="I360" s="59">
        <v>1961</v>
      </c>
    </row>
    <row r="361" spans="1:9" ht="17" customHeight="1">
      <c r="A361" s="39">
        <v>44371</v>
      </c>
      <c r="B361" s="40" t="str">
        <f ca="1">IFERROR(__xludf.DUMMYFUNCTION("FILTER($J$2:$J$445,$K$2:$K$445=D384)"),"Minority Association of Pre-Health Students")</f>
        <v>Minority Association of Pre-Health Students</v>
      </c>
      <c r="C361" s="40" t="str">
        <f ca="1">IFERROR(__xludf.DUMMYFUNCTION("filter($M$1:$M$500, $N$1:$N$500=D384)"),"Pre-Professional")</f>
        <v>Pre-Professional</v>
      </c>
      <c r="D361" s="41">
        <v>72</v>
      </c>
      <c r="E361" s="43">
        <v>449</v>
      </c>
      <c r="F361" s="58" t="s">
        <v>406</v>
      </c>
      <c r="G361" s="55">
        <v>494</v>
      </c>
    </row>
    <row r="362" spans="1:9" ht="17" customHeight="1">
      <c r="A362" s="39">
        <v>44371</v>
      </c>
      <c r="B362" s="40" t="str">
        <f ca="1">IFERROR(__xludf.DUMMYFUNCTION("FILTER($J$2:$J$445,$K$2:$K$445=D2)"),"Queer Caucus")</f>
        <v>Queer Caucus</v>
      </c>
      <c r="C362" s="40" t="str">
        <f ca="1">IFERROR(__xludf.DUMMYFUNCTION("filter($M$1:$M$500, $N$1:$N$500=D2)"),"Social Action/Political")</f>
        <v>Social Action/Political</v>
      </c>
      <c r="D362" s="41">
        <v>1656</v>
      </c>
      <c r="E362" s="42">
        <v>6500</v>
      </c>
      <c r="F362" s="58" t="s">
        <v>7</v>
      </c>
      <c r="G362" s="55">
        <v>824</v>
      </c>
      <c r="H362" s="54" t="s">
        <v>8</v>
      </c>
      <c r="I362" s="59">
        <v>6</v>
      </c>
    </row>
    <row r="363" spans="1:9" ht="17" customHeight="1">
      <c r="A363" s="39">
        <v>44371</v>
      </c>
      <c r="B363" s="40" t="str">
        <f ca="1">IFERROR(__xludf.DUMMYFUNCTION("FILTER($J$2:$J$445,$K$2:$K$445=D4)"),"Douglass Governing Council")</f>
        <v>Douglass Governing Council</v>
      </c>
      <c r="C363" s="40" t="str">
        <f ca="1">IFERROR(__xludf.DUMMYFUNCTION("filter($M$1:$M$500, $N$1:$N$500=D4)"),"Social Action/Political")</f>
        <v>Social Action/Political</v>
      </c>
      <c r="D363" s="41">
        <v>726</v>
      </c>
      <c r="E363" s="42">
        <v>4555.41</v>
      </c>
      <c r="F363" s="58" t="s">
        <v>11</v>
      </c>
      <c r="G363" s="55">
        <v>405</v>
      </c>
      <c r="H363" s="54" t="s">
        <v>8</v>
      </c>
      <c r="I363" s="59">
        <v>19</v>
      </c>
    </row>
    <row r="364" spans="1:9" ht="17" customHeight="1">
      <c r="A364" s="39">
        <v>44371</v>
      </c>
      <c r="B364" s="40" t="str">
        <f ca="1">IFERROR(__xludf.DUMMYFUNCTION("FILTER($J$2:$J$445,$K$2:$K$445=D48)"),"UndocRutgers")</f>
        <v>UndocRutgers</v>
      </c>
      <c r="C364" s="40" t="str">
        <f ca="1">IFERROR(__xludf.DUMMYFUNCTION("filter($M$1:$M$500, $N$1:$N$500=D48)"),"Social Action/Political")</f>
        <v>Social Action/Political</v>
      </c>
      <c r="D364" s="41">
        <v>1754</v>
      </c>
      <c r="E364" s="43">
        <v>200</v>
      </c>
      <c r="F364" s="54" t="s">
        <v>63</v>
      </c>
      <c r="G364" s="55">
        <v>1934</v>
      </c>
      <c r="H364" s="56" t="s">
        <v>21</v>
      </c>
      <c r="I364" s="59">
        <v>224</v>
      </c>
    </row>
    <row r="365" spans="1:9" ht="17" customHeight="1">
      <c r="A365" s="39">
        <v>44371</v>
      </c>
      <c r="B365" s="40" t="str">
        <f ca="1">IFERROR(__xludf.DUMMYFUNCTION("FILTER($J$2:$J$445,$K$2:$K$445=D61)"),"House the Hub")</f>
        <v>House the Hub</v>
      </c>
      <c r="C365" s="40" t="str">
        <f ca="1">IFERROR(__xludf.DUMMYFUNCTION("filter($M$1:$M$500, $N$1:$N$500=D61)"),"Social Action/Political")</f>
        <v>Social Action/Political</v>
      </c>
      <c r="D365" s="41">
        <v>1594</v>
      </c>
      <c r="E365" s="42">
        <v>1000</v>
      </c>
      <c r="F365" s="58" t="s">
        <v>78</v>
      </c>
      <c r="G365" s="55">
        <v>1030</v>
      </c>
      <c r="H365" s="56" t="s">
        <v>8</v>
      </c>
      <c r="I365" s="59">
        <v>295</v>
      </c>
    </row>
    <row r="366" spans="1:9" ht="17" customHeight="1">
      <c r="A366" s="39">
        <v>44371</v>
      </c>
      <c r="B366" s="40" t="str">
        <f ca="1">IFERROR(__xludf.DUMMYFUNCTION("FILTER($J$2:$J$445,$K$2:$K$445=D70)"),"She's the First")</f>
        <v>She's the First</v>
      </c>
      <c r="C366" s="40" t="str">
        <f ca="1">IFERROR(__xludf.DUMMYFUNCTION("filter($M$1:$M$500, $N$1:$N$500=D70)"),"Social Action/Political")</f>
        <v>Social Action/Political</v>
      </c>
      <c r="D366" s="41">
        <v>1475</v>
      </c>
      <c r="E366" s="43">
        <v>300</v>
      </c>
      <c r="F366" s="58" t="s">
        <v>87</v>
      </c>
      <c r="G366" s="55">
        <v>620</v>
      </c>
      <c r="H366" s="56" t="s">
        <v>8</v>
      </c>
      <c r="I366" s="59">
        <v>348</v>
      </c>
    </row>
    <row r="367" spans="1:9" ht="17" customHeight="1">
      <c r="A367" s="39">
        <v>44371</v>
      </c>
      <c r="B367" s="40" t="str">
        <f ca="1">IFERROR(__xludf.DUMMYFUNCTION("FILTER($J$2:$J$445,$K$2:$K$445=D74)"),"Women Organizing Against Harassment")</f>
        <v>Women Organizing Against Harassment</v>
      </c>
      <c r="C367" s="40" t="str">
        <f ca="1">IFERROR(__xludf.DUMMYFUNCTION("filter($M$1:$M$500, $N$1:$N$500=D74)"),"Social Action/Political")</f>
        <v>Social Action/Political</v>
      </c>
      <c r="D367" s="41">
        <v>1416</v>
      </c>
      <c r="E367" s="43">
        <v>140</v>
      </c>
      <c r="F367" s="54" t="s">
        <v>91</v>
      </c>
      <c r="G367" s="55">
        <v>1511</v>
      </c>
      <c r="H367" s="56" t="s">
        <v>34</v>
      </c>
      <c r="I367" s="59">
        <v>362</v>
      </c>
    </row>
    <row r="368" spans="1:9" ht="17" customHeight="1">
      <c r="A368" s="39">
        <v>44371</v>
      </c>
      <c r="B368" s="40" t="str">
        <f ca="1">IFERROR(__xludf.DUMMYFUNCTION("FILTER($J$2:$J$445,$K$2:$K$445=D76)"),"Vegetarian Society")</f>
        <v>Vegetarian Society</v>
      </c>
      <c r="C368" s="40" t="str">
        <f ca="1">IFERROR(__xludf.DUMMYFUNCTION("filter($M$1:$M$500, $N$1:$N$500=D76)"),"Social Action/Political")</f>
        <v>Social Action/Political</v>
      </c>
      <c r="D368" s="41">
        <v>1391</v>
      </c>
      <c r="E368" s="42">
        <v>1000</v>
      </c>
      <c r="F368" s="54" t="s">
        <v>93</v>
      </c>
      <c r="G368" s="55">
        <v>338</v>
      </c>
      <c r="H368" s="68" t="s">
        <v>30</v>
      </c>
      <c r="I368" s="57">
        <v>386</v>
      </c>
    </row>
    <row r="369" spans="1:9" ht="17" customHeight="1">
      <c r="A369" s="39">
        <v>44371</v>
      </c>
      <c r="B369" s="40" t="str">
        <f ca="1">IFERROR(__xludf.DUMMYFUNCTION("FILTER($J$2:$J$445,$K$2:$K$445=D79)"),"GlobeMed")</f>
        <v>GlobeMed</v>
      </c>
      <c r="C369" s="40" t="str">
        <f ca="1">IFERROR(__xludf.DUMMYFUNCTION("filter($M$1:$M$500, $N$1:$N$500=D79)"),"Social Action/Political")</f>
        <v>Social Action/Political</v>
      </c>
      <c r="D369" s="41">
        <v>1347</v>
      </c>
      <c r="E369" s="43">
        <v>450</v>
      </c>
      <c r="F369" s="58" t="s">
        <v>96</v>
      </c>
      <c r="G369" s="55">
        <v>766</v>
      </c>
      <c r="H369" s="56" t="s">
        <v>28</v>
      </c>
      <c r="I369" s="59">
        <v>401</v>
      </c>
    </row>
    <row r="370" spans="1:9" ht="17" customHeight="1">
      <c r="A370" s="39">
        <v>44371</v>
      </c>
      <c r="B370" s="40" t="str">
        <f ca="1">IFERROR(__xludf.DUMMYFUNCTION("FILTER($J$2:$J$445,$K$2:$K$445=D87)"),"Sisters with Values")</f>
        <v>Sisters with Values</v>
      </c>
      <c r="C370" s="40" t="str">
        <f ca="1">IFERROR(__xludf.DUMMYFUNCTION("filter($M$1:$M$500, $N$1:$N$500=D87)"),"Social Action/Political")</f>
        <v>Social Action/Political</v>
      </c>
      <c r="D370" s="41">
        <v>1274</v>
      </c>
      <c r="E370" s="43">
        <v>820</v>
      </c>
      <c r="F370" s="54" t="s">
        <v>104</v>
      </c>
      <c r="G370" s="55">
        <v>1273</v>
      </c>
      <c r="H370" s="56" t="s">
        <v>8</v>
      </c>
      <c r="I370" s="59">
        <v>468</v>
      </c>
    </row>
    <row r="371" spans="1:9" ht="17" customHeight="1">
      <c r="A371" s="39">
        <v>44371</v>
      </c>
      <c r="B371" s="40" t="str">
        <f ca="1">IFERROR(__xludf.DUMMYFUNCTION("FILTER($J$2:$J$445,$K$2:$K$445=D92)"),"Young Americans for Liberty")</f>
        <v>Young Americans for Liberty</v>
      </c>
      <c r="C371" s="40" t="str">
        <f ca="1">IFERROR(__xludf.DUMMYFUNCTION("filter($M$1:$M$500, $N$1:$N$500=D92)"),"Social Action/Political")</f>
        <v>Social Action/Political</v>
      </c>
      <c r="D371" s="41">
        <v>1191</v>
      </c>
      <c r="E371" s="42">
        <v>1350</v>
      </c>
      <c r="F371" s="54" t="s">
        <v>109</v>
      </c>
      <c r="G371" s="55">
        <v>1662</v>
      </c>
      <c r="H371" s="56" t="s">
        <v>8</v>
      </c>
      <c r="I371" s="59">
        <v>495</v>
      </c>
    </row>
    <row r="372" spans="1:9" ht="17" customHeight="1">
      <c r="A372" s="39">
        <v>44371</v>
      </c>
      <c r="B372" s="40" t="str">
        <f ca="1">IFERROR(__xludf.DUMMYFUNCTION("FILTER($J$2:$J$445,$K$2:$K$445=D110)"),"Women's Center Coalition")</f>
        <v>Women's Center Coalition</v>
      </c>
      <c r="C372" s="40" t="str">
        <f ca="1">IFERROR(__xludf.DUMMYFUNCTION("filter($M$1:$M$500, $N$1:$N$500=D110)"),"Social Action/Political")</f>
        <v>Social Action/Political</v>
      </c>
      <c r="D372" s="41">
        <v>737</v>
      </c>
      <c r="E372" s="43">
        <v>250</v>
      </c>
      <c r="F372" s="58" t="s">
        <v>127</v>
      </c>
      <c r="G372" s="58" t="s">
        <v>128</v>
      </c>
      <c r="H372" s="56" t="s">
        <v>17</v>
      </c>
      <c r="I372" s="59">
        <v>624</v>
      </c>
    </row>
    <row r="373" spans="1:9" ht="17" customHeight="1">
      <c r="A373" s="39">
        <v>44371</v>
      </c>
      <c r="B373" s="40" t="str">
        <f ca="1">IFERROR(__xludf.DUMMYFUNCTION("FILTER($J$2:$J$445,$K$2:$K$445=D111)"),"Sophia Club")</f>
        <v>Sophia Club</v>
      </c>
      <c r="C373" s="40" t="str">
        <f ca="1">IFERROR(__xludf.DUMMYFUNCTION("filter($M$1:$M$500, $N$1:$N$500=D111)"),"Social Action/Political")</f>
        <v>Social Action/Political</v>
      </c>
      <c r="D373" s="41">
        <v>733</v>
      </c>
      <c r="E373" s="43">
        <v>583.24</v>
      </c>
      <c r="F373" s="58" t="s">
        <v>129</v>
      </c>
      <c r="G373" s="55">
        <v>1783</v>
      </c>
      <c r="H373" s="56" t="s">
        <v>66</v>
      </c>
      <c r="I373" s="59">
        <v>628</v>
      </c>
    </row>
    <row r="374" spans="1:9" ht="17" customHeight="1">
      <c r="A374" s="39">
        <v>44371</v>
      </c>
      <c r="B374" s="40" t="str">
        <f ca="1">IFERROR(__xludf.DUMMYFUNCTION("FILTER($J$2:$J$445,$K$2:$K$445=D112)"),"Douglass Governing Council")</f>
        <v>Douglass Governing Council</v>
      </c>
      <c r="C374" s="40" t="str">
        <f ca="1">IFERROR(__xludf.DUMMYFUNCTION("filter($M$1:$M$500, $N$1:$N$500=D112)"),"Social Action/Political")</f>
        <v>Social Action/Political</v>
      </c>
      <c r="D374" s="41">
        <v>726</v>
      </c>
      <c r="E374" s="43">
        <v>200</v>
      </c>
      <c r="F374" s="58" t="s">
        <v>130</v>
      </c>
      <c r="G374" s="55">
        <v>1013</v>
      </c>
      <c r="H374" s="56" t="s">
        <v>66</v>
      </c>
      <c r="I374" s="59">
        <v>630</v>
      </c>
    </row>
    <row r="375" spans="1:9" ht="17" customHeight="1">
      <c r="A375" s="39">
        <v>44371</v>
      </c>
      <c r="B375" s="40" t="str">
        <f ca="1">IFERROR(__xludf.DUMMYFUNCTION("FILTER($J$2:$J$445,$K$2:$K$445=D116)"),"Rutgers University Student Assembly")</f>
        <v>Rutgers University Student Assembly</v>
      </c>
      <c r="C375" s="40" t="str">
        <f ca="1">IFERROR(__xludf.DUMMYFUNCTION("filter($M$1:$M$500, $N$1:$N$500=D116)"),"Social Action/Political")</f>
        <v>Social Action/Political</v>
      </c>
      <c r="D375" s="41">
        <v>707</v>
      </c>
      <c r="E375" s="42">
        <v>185307.69</v>
      </c>
      <c r="F375" s="54" t="s">
        <v>134</v>
      </c>
      <c r="G375" s="55">
        <v>754</v>
      </c>
      <c r="H375" s="56" t="s">
        <v>17</v>
      </c>
      <c r="I375" s="59">
        <v>660</v>
      </c>
    </row>
    <row r="376" spans="1:9" ht="17" customHeight="1">
      <c r="A376" s="39">
        <v>44371</v>
      </c>
      <c r="B376" s="40" t="str">
        <f ca="1">IFERROR(__xludf.DUMMYFUNCTION("FILTER($J$2:$J$445,$K$2:$K$445=D126)"),"Students for Justice in Palestine")</f>
        <v>Students for Justice in Palestine</v>
      </c>
      <c r="C376" s="40" t="str">
        <f ca="1">IFERROR(__xludf.DUMMYFUNCTION("filter($M$1:$M$500, $N$1:$N$500=D126)"),"Social Action/Political")</f>
        <v>Social Action/Political</v>
      </c>
      <c r="D376" s="41">
        <v>586</v>
      </c>
      <c r="E376" s="43">
        <v>159.57</v>
      </c>
      <c r="F376" s="58" t="s">
        <v>144</v>
      </c>
      <c r="G376" s="55">
        <v>822</v>
      </c>
      <c r="H376" s="56" t="s">
        <v>8</v>
      </c>
      <c r="I376" s="59">
        <v>710</v>
      </c>
    </row>
    <row r="377" spans="1:9" ht="17" customHeight="1">
      <c r="A377" s="39">
        <v>44371</v>
      </c>
      <c r="B377" s="40" t="str">
        <f ca="1">IFERROR(__xludf.DUMMYFUNCTION("FILTER($J$2:$J$445,$K$2:$K$445=D170)"),"Queer Student Alliance")</f>
        <v>Queer Student Alliance</v>
      </c>
      <c r="C377" s="40" t="str">
        <f ca="1">IFERROR(__xludf.DUMMYFUNCTION("filter($M$1:$M$500, $N$1:$N$500=D170)"),"Social Action/Political")</f>
        <v>Social Action/Political</v>
      </c>
      <c r="D377" s="41">
        <v>128</v>
      </c>
      <c r="E377" s="43">
        <v>50</v>
      </c>
      <c r="F377" s="54" t="s">
        <v>189</v>
      </c>
      <c r="G377" s="55">
        <v>759</v>
      </c>
      <c r="H377" s="56" t="s">
        <v>17</v>
      </c>
      <c r="I377" s="59">
        <v>1191</v>
      </c>
    </row>
    <row r="378" spans="1:9" ht="17" customHeight="1">
      <c r="A378" s="39">
        <v>44371</v>
      </c>
      <c r="B378" s="40" t="str">
        <f ca="1">IFERROR(__xludf.DUMMYFUNCTION("FILTER($J$2:$J$445,$K$2:$K$445=D180)"),"Democrats")</f>
        <v>Democrats</v>
      </c>
      <c r="C378" s="40" t="str">
        <f ca="1">IFERROR(__xludf.DUMMYFUNCTION("filter($M$1:$M$500, $N$1:$N$500=D180)"),"Social Action/Political")</f>
        <v>Social Action/Political</v>
      </c>
      <c r="D378" s="41">
        <v>29</v>
      </c>
      <c r="E378" s="42">
        <v>1500</v>
      </c>
      <c r="F378" s="54" t="s">
        <v>199</v>
      </c>
      <c r="G378" s="55">
        <v>1949</v>
      </c>
      <c r="H378" s="62" t="s">
        <v>17</v>
      </c>
      <c r="I378" s="63">
        <v>1274</v>
      </c>
    </row>
    <row r="379" spans="1:9" ht="17" customHeight="1">
      <c r="A379" s="39">
        <v>44371</v>
      </c>
      <c r="B379" s="40" t="str">
        <f ca="1">IFERROR(__xludf.DUMMYFUNCTION("FILTER($J$2:$J$445,$K$2:$K$445=D181)"),"Amnesty International")</f>
        <v>Amnesty International</v>
      </c>
      <c r="C379" s="40" t="str">
        <f ca="1">IFERROR(__xludf.DUMMYFUNCTION("filter($M$1:$M$500, $N$1:$N$500=D181)"),"Social Action/Political")</f>
        <v>Social Action/Political</v>
      </c>
      <c r="D379" s="41">
        <v>26</v>
      </c>
      <c r="E379" s="43">
        <v>50</v>
      </c>
      <c r="F379" s="58" t="s">
        <v>200</v>
      </c>
      <c r="G379" s="55">
        <v>762</v>
      </c>
      <c r="H379" s="56" t="s">
        <v>34</v>
      </c>
      <c r="I379" s="59">
        <v>1277</v>
      </c>
    </row>
    <row r="380" spans="1:9" ht="17" customHeight="1">
      <c r="A380" s="39">
        <v>44371</v>
      </c>
      <c r="B380" s="40" t="str">
        <f ca="1">IFERROR(__xludf.DUMMYFUNCTION("FILTER($J$2:$J$445,$K$2:$K$445=D216)"),"GenUN")</f>
        <v>GenUN</v>
      </c>
      <c r="C380" s="40" t="str">
        <f ca="1">IFERROR(__xludf.DUMMYFUNCTION("filter($M$1:$M$500, $N$1:$N$500=D216)"),"Social Action/Political")</f>
        <v>Social Action/Political</v>
      </c>
      <c r="D380" s="41">
        <v>1849</v>
      </c>
      <c r="E380" s="43">
        <v>112</v>
      </c>
      <c r="F380" s="58" t="s">
        <v>235</v>
      </c>
      <c r="G380" s="55">
        <v>1938</v>
      </c>
      <c r="H380" s="56" t="s">
        <v>21</v>
      </c>
      <c r="I380" s="59">
        <v>1468</v>
      </c>
    </row>
    <row r="381" spans="1:9" ht="17" customHeight="1">
      <c r="A381" s="39">
        <v>44371</v>
      </c>
      <c r="B381" s="40" t="str">
        <f ca="1">IFERROR(__xludf.DUMMYFUNCTION("FILTER($J$2:$J$445,$K$2:$K$445=D228)"),"RU Progressive")</f>
        <v>RU Progressive</v>
      </c>
      <c r="C381" s="40" t="str">
        <f ca="1">IFERROR(__xludf.DUMMYFUNCTION("filter($M$1:$M$500, $N$1:$N$500=D228)"),"Social Action/Political")</f>
        <v>Social Action/Political</v>
      </c>
      <c r="D381" s="41">
        <v>1769</v>
      </c>
      <c r="E381" s="43">
        <v>842</v>
      </c>
      <c r="F381" s="54" t="s">
        <v>247</v>
      </c>
      <c r="G381" s="55">
        <v>1832</v>
      </c>
      <c r="H381" s="56" t="s">
        <v>153</v>
      </c>
      <c r="I381" s="59">
        <v>1508</v>
      </c>
    </row>
    <row r="382" spans="1:9" ht="17" customHeight="1">
      <c r="A382" s="39">
        <v>44371</v>
      </c>
      <c r="B382" s="40" t="str">
        <f ca="1">IFERROR(__xludf.DUMMYFUNCTION("FILTER($J$2:$J$445,$K$2:$K$445=D232)"),"UndocRutgers")</f>
        <v>UndocRutgers</v>
      </c>
      <c r="C382" s="40" t="str">
        <f ca="1">IFERROR(__xludf.DUMMYFUNCTION("filter($M$1:$M$500, $N$1:$N$500=D232)"),"Social Action/Political")</f>
        <v>Social Action/Political</v>
      </c>
      <c r="D382" s="41">
        <v>1754</v>
      </c>
      <c r="E382" s="43">
        <v>550.83000000000004</v>
      </c>
      <c r="F382" s="58" t="s">
        <v>251</v>
      </c>
      <c r="G382" s="55">
        <v>246</v>
      </c>
      <c r="H382" s="56" t="s">
        <v>28</v>
      </c>
      <c r="I382" s="59">
        <v>1514</v>
      </c>
    </row>
    <row r="383" spans="1:9" ht="17" customHeight="1">
      <c r="A383" s="39">
        <v>44371</v>
      </c>
      <c r="B383" s="40" t="str">
        <f ca="1">IFERROR(__xludf.DUMMYFUNCTION("FILTER($J$2:$J$445,$K$2:$K$445=D241)"),"Rutgers One and The Same Foundation (RUOATS)")</f>
        <v>Rutgers One and The Same Foundation (RUOATS)</v>
      </c>
      <c r="C383" s="40" t="str">
        <f ca="1">IFERROR(__xludf.DUMMYFUNCTION("filter($M$1:$M$500, $N$1:$N$500=D241)"),"Social Action/Political")</f>
        <v>Social Action/Political</v>
      </c>
      <c r="D383" s="41">
        <v>1663</v>
      </c>
      <c r="E383" s="43">
        <v>645</v>
      </c>
      <c r="F383" s="58" t="s">
        <v>260</v>
      </c>
      <c r="G383" s="55">
        <v>1827</v>
      </c>
      <c r="H383" s="56" t="s">
        <v>28</v>
      </c>
      <c r="I383" s="59">
        <v>1571</v>
      </c>
    </row>
    <row r="384" spans="1:9" ht="17" customHeight="1">
      <c r="A384" s="39">
        <v>44371</v>
      </c>
      <c r="B384" s="40" t="str">
        <f ca="1">IFERROR(__xludf.DUMMYFUNCTION("FILTER($J$2:$J$445,$K$2:$K$445=D245)"),"House the Hub")</f>
        <v>House the Hub</v>
      </c>
      <c r="C384" s="40" t="str">
        <f ca="1">IFERROR(__xludf.DUMMYFUNCTION("filter($M$1:$M$500, $N$1:$N$500=D245)"),"Social Action/Political")</f>
        <v>Social Action/Political</v>
      </c>
      <c r="D384" s="41">
        <v>1594</v>
      </c>
      <c r="E384" s="43">
        <v>20</v>
      </c>
      <c r="F384" s="54" t="s">
        <v>264</v>
      </c>
      <c r="G384" s="55">
        <v>1437</v>
      </c>
      <c r="H384" s="56" t="s">
        <v>21</v>
      </c>
      <c r="I384" s="59">
        <v>1578</v>
      </c>
    </row>
    <row r="385" spans="1:9" ht="17" customHeight="1">
      <c r="A385" s="39">
        <v>44371</v>
      </c>
      <c r="B385" s="40" t="str">
        <f ca="1">IFERROR(__xludf.DUMMYFUNCTION("FILTER($J$2:$J$445,$K$2:$K$445=D263)"),"She's the First")</f>
        <v>She's the First</v>
      </c>
      <c r="C385" s="40" t="str">
        <f ca="1">IFERROR(__xludf.DUMMYFUNCTION("filter($M$1:$M$500, $N$1:$N$500=D263)"),"Social Action/Political")</f>
        <v>Social Action/Political</v>
      </c>
      <c r="D385" s="41">
        <v>1475</v>
      </c>
      <c r="E385" s="42">
        <v>1101</v>
      </c>
      <c r="F385" s="58" t="s">
        <v>282</v>
      </c>
      <c r="G385" s="55">
        <v>1393</v>
      </c>
      <c r="H385" s="56" t="s">
        <v>30</v>
      </c>
      <c r="I385" s="59">
        <v>1672</v>
      </c>
    </row>
    <row r="386" spans="1:9" ht="17" customHeight="1">
      <c r="A386" s="39">
        <v>44371</v>
      </c>
      <c r="B386" s="40" t="str">
        <f ca="1">IFERROR(__xludf.DUMMYFUNCTION("FILTER($J$2:$J$445,$K$2:$K$445=D268)"),"Transmissions")</f>
        <v>Transmissions</v>
      </c>
      <c r="C386" s="40" t="str">
        <f ca="1">IFERROR(__xludf.DUMMYFUNCTION("filter($M$1:$M$500, $N$1:$N$500=D268)"),"Social Action/Political")</f>
        <v>Social Action/Political</v>
      </c>
      <c r="D386" s="41">
        <v>1425</v>
      </c>
      <c r="E386" s="43">
        <v>200</v>
      </c>
      <c r="F386" s="54" t="s">
        <v>287</v>
      </c>
      <c r="G386" s="55">
        <v>1746</v>
      </c>
      <c r="H386" s="56" t="s">
        <v>21</v>
      </c>
      <c r="I386" s="59">
        <v>1697</v>
      </c>
    </row>
    <row r="387" spans="1:9" ht="17" customHeight="1">
      <c r="A387" s="39">
        <v>44371</v>
      </c>
      <c r="B387" s="40" t="str">
        <f ca="1">IFERROR(__xludf.DUMMYFUNCTION("FILTER($J$2:$J$445,$K$2:$K$445=D269)"),"Women Organizing Against Harassment")</f>
        <v>Women Organizing Against Harassment</v>
      </c>
      <c r="C387" s="40" t="str">
        <f ca="1">IFERROR(__xludf.DUMMYFUNCTION("filter($M$1:$M$500, $N$1:$N$500=D269)"),"Social Action/Political")</f>
        <v>Social Action/Political</v>
      </c>
      <c r="D387" s="41">
        <v>1416</v>
      </c>
      <c r="E387" s="43">
        <v>112</v>
      </c>
      <c r="F387" s="54" t="s">
        <v>288</v>
      </c>
      <c r="G387" s="55">
        <v>98</v>
      </c>
      <c r="H387" s="56" t="s">
        <v>8</v>
      </c>
      <c r="I387" s="59">
        <v>1703</v>
      </c>
    </row>
    <row r="388" spans="1:9" ht="17" customHeight="1">
      <c r="A388" s="39">
        <v>44371</v>
      </c>
      <c r="B388" s="40" t="str">
        <f ca="1">IFERROR(__xludf.DUMMYFUNCTION("FILTER($J$2:$J$445,$K$2:$K$445=D276)"),"GlobeMed")</f>
        <v>GlobeMed</v>
      </c>
      <c r="C388" s="40" t="str">
        <f ca="1">IFERROR(__xludf.DUMMYFUNCTION("filter($M$1:$M$500, $N$1:$N$500=D276)"),"Social Action/Political")</f>
        <v>Social Action/Political</v>
      </c>
      <c r="D388" s="41">
        <v>1347</v>
      </c>
      <c r="E388" s="43">
        <v>710</v>
      </c>
      <c r="F388" s="54" t="s">
        <v>295</v>
      </c>
      <c r="G388" s="55">
        <v>512</v>
      </c>
      <c r="H388" s="56" t="s">
        <v>66</v>
      </c>
      <c r="I388" s="59">
        <v>1745</v>
      </c>
    </row>
    <row r="389" spans="1:9" ht="17" customHeight="1">
      <c r="A389" s="39">
        <v>44371</v>
      </c>
      <c r="B389" s="40" t="str">
        <f ca="1">IFERROR(__xludf.DUMMYFUNCTION("FILTER($J$2:$J$445,$K$2:$K$445=D285)"),"Sisters with Values")</f>
        <v>Sisters with Values</v>
      </c>
      <c r="C389" s="40" t="str">
        <f ca="1">IFERROR(__xludf.DUMMYFUNCTION("filter($M$1:$M$500, $N$1:$N$500=D285)"),"Social Action/Political")</f>
        <v>Social Action/Political</v>
      </c>
      <c r="D389" s="41">
        <v>1274</v>
      </c>
      <c r="E389" s="43">
        <v>200</v>
      </c>
      <c r="F389" s="58" t="s">
        <v>304</v>
      </c>
      <c r="G389" s="55">
        <v>1109</v>
      </c>
      <c r="H389" s="56" t="s">
        <v>66</v>
      </c>
      <c r="I389" s="59">
        <v>1766</v>
      </c>
    </row>
    <row r="390" spans="1:9" ht="17" customHeight="1">
      <c r="A390" s="39">
        <v>44371</v>
      </c>
      <c r="B390" s="40" t="str">
        <f ca="1">IFERROR(__xludf.DUMMYFUNCTION("FILTER($J$2:$J$445,$K$2:$K$445=D296)"),"Bioethics Society")</f>
        <v>Bioethics Society</v>
      </c>
      <c r="C390" s="40" t="str">
        <f ca="1">IFERROR(__xludf.DUMMYFUNCTION("filter($M$1:$M$500, $N$1:$N$500=D296)"),"Social Action/Political")</f>
        <v>Social Action/Political</v>
      </c>
      <c r="D390" s="41">
        <v>1108</v>
      </c>
      <c r="E390" s="43">
        <v>335.45</v>
      </c>
      <c r="F390" s="58" t="s">
        <v>315</v>
      </c>
      <c r="G390" s="55">
        <v>758</v>
      </c>
      <c r="H390" s="56" t="s">
        <v>30</v>
      </c>
      <c r="I390" s="59">
        <v>1800</v>
      </c>
    </row>
    <row r="391" spans="1:9" ht="17" customHeight="1">
      <c r="A391" s="39">
        <v>44371</v>
      </c>
      <c r="B391" s="40" t="str">
        <f ca="1">IFERROR(__xludf.DUMMYFUNCTION("FILTER($J$2:$J$445,$K$2:$K$445=D309)"),"Women's Political Caucus")</f>
        <v>Women's Political Caucus</v>
      </c>
      <c r="C391" s="40" t="str">
        <f ca="1">IFERROR(__xludf.DUMMYFUNCTION("filter($M$1:$M$500, $N$1:$N$500=D309)"),"Social Action/Political")</f>
        <v>Social Action/Political</v>
      </c>
      <c r="D391" s="41">
        <v>741</v>
      </c>
      <c r="E391" s="43">
        <v>100</v>
      </c>
      <c r="F391" s="58" t="s">
        <v>328</v>
      </c>
      <c r="G391" s="55">
        <v>1857</v>
      </c>
      <c r="H391" s="56" t="s">
        <v>30</v>
      </c>
      <c r="I391" s="59">
        <v>1834</v>
      </c>
    </row>
    <row r="392" spans="1:9" ht="17" customHeight="1">
      <c r="A392" s="39">
        <v>44371</v>
      </c>
      <c r="B392" s="40" t="str">
        <f ca="1">IFERROR(__xludf.DUMMYFUNCTION("FILTER($J$2:$J$445,$K$2:$K$445=D310)"),"Sophia Club")</f>
        <v>Sophia Club</v>
      </c>
      <c r="C392" s="40" t="str">
        <f ca="1">IFERROR(__xludf.DUMMYFUNCTION("filter($M$1:$M$500, $N$1:$N$500=D310)"),"Social Action/Political")</f>
        <v>Social Action/Political</v>
      </c>
      <c r="D392" s="41">
        <v>733</v>
      </c>
      <c r="E392" s="43">
        <v>200</v>
      </c>
      <c r="F392" s="54" t="s">
        <v>329</v>
      </c>
      <c r="G392" s="55">
        <v>1905</v>
      </c>
      <c r="H392" s="56" t="s">
        <v>28</v>
      </c>
      <c r="I392" s="59">
        <v>1835</v>
      </c>
    </row>
    <row r="393" spans="1:9" ht="17" customHeight="1">
      <c r="A393" s="39">
        <v>44371</v>
      </c>
      <c r="B393" s="40" t="str">
        <f ca="1">IFERROR(__xludf.DUMMYFUNCTION("FILTER($J$2:$J$445,$K$2:$K$445=D311)"),"Douglass Governing Council")</f>
        <v>Douglass Governing Council</v>
      </c>
      <c r="C393" s="40" t="str">
        <f ca="1">IFERROR(__xludf.DUMMYFUNCTION("filter($M$1:$M$500, $N$1:$N$500=D311)"),"Social Action/Political")</f>
        <v>Social Action/Political</v>
      </c>
      <c r="D393" s="41">
        <v>726</v>
      </c>
      <c r="E393" s="43">
        <v>415</v>
      </c>
      <c r="F393" s="58" t="s">
        <v>330</v>
      </c>
      <c r="G393" s="55">
        <v>1748</v>
      </c>
      <c r="H393" s="56" t="s">
        <v>50</v>
      </c>
      <c r="I393" s="59">
        <v>1837</v>
      </c>
    </row>
    <row r="394" spans="1:9" ht="17" customHeight="1">
      <c r="A394" s="39">
        <v>44371</v>
      </c>
      <c r="B394" s="40" t="str">
        <f ca="1">IFERROR(__xludf.DUMMYFUNCTION("FILTER($J$2:$J$445,$K$2:$K$445=D377)"),"Queer Student Alliance")</f>
        <v>Queer Student Alliance</v>
      </c>
      <c r="C394" s="40" t="str">
        <f ca="1">IFERROR(__xludf.DUMMYFUNCTION("filter($M$1:$M$500, $N$1:$N$500=D377)"),"Social Action/Political")</f>
        <v>Social Action/Political</v>
      </c>
      <c r="D394" s="41">
        <v>128</v>
      </c>
      <c r="E394" s="43">
        <v>218</v>
      </c>
      <c r="F394" s="58" t="s">
        <v>399</v>
      </c>
      <c r="G394" s="55">
        <v>1306</v>
      </c>
    </row>
    <row r="395" spans="1:9" ht="17" customHeight="1">
      <c r="A395" s="39">
        <v>44371</v>
      </c>
      <c r="B395" s="40" t="str">
        <f ca="1">IFERROR(__xludf.DUMMYFUNCTION("FILTER($J$2:$J$445,$K$2:$K$445=D391)"),"Democrats")</f>
        <v>Democrats</v>
      </c>
      <c r="C395" s="40" t="str">
        <f ca="1">IFERROR(__xludf.DUMMYFUNCTION("filter($M$1:$M$500, $N$1:$N$500=D391)"),"Social Action/Political")</f>
        <v>Social Action/Political</v>
      </c>
      <c r="D395" s="41">
        <v>29</v>
      </c>
      <c r="E395" s="42">
        <v>1016</v>
      </c>
      <c r="F395" s="58" t="s">
        <v>413</v>
      </c>
      <c r="G395" s="55">
        <v>545</v>
      </c>
    </row>
    <row r="396" spans="1:9" ht="17" customHeight="1">
      <c r="A396" s="39">
        <v>44371</v>
      </c>
      <c r="B396" s="40" t="str">
        <f ca="1">IFERROR(__xludf.DUMMYFUNCTION("FILTER($J$2:$J$445,$K$2:$K$445=D392)"),"Amnesty International")</f>
        <v>Amnesty International</v>
      </c>
      <c r="C396" s="40" t="str">
        <f ca="1">IFERROR(__xludf.DUMMYFUNCTION("filter($M$1:$M$500, $N$1:$N$500=D392)"),"Social Action/Political")</f>
        <v>Social Action/Political</v>
      </c>
      <c r="D396" s="41">
        <v>26</v>
      </c>
      <c r="E396" s="43">
        <v>867</v>
      </c>
      <c r="F396" s="58" t="s">
        <v>414</v>
      </c>
      <c r="G396" s="58" t="s">
        <v>415</v>
      </c>
    </row>
    <row r="397" spans="1:9" ht="17" customHeight="1">
      <c r="C397" s="49"/>
      <c r="D397" s="49"/>
      <c r="E397" s="50">
        <f>SUM(E3:E396)</f>
        <v>574953.74999999988</v>
      </c>
      <c r="F397" s="58" t="s">
        <v>421</v>
      </c>
      <c r="G397" s="55">
        <v>1967</v>
      </c>
    </row>
    <row r="398" spans="1:9" ht="17" customHeight="1">
      <c r="C398" s="49"/>
      <c r="D398" s="49"/>
      <c r="F398" s="58" t="s">
        <v>422</v>
      </c>
      <c r="G398" s="55">
        <v>1975</v>
      </c>
    </row>
    <row r="399" spans="1:9" ht="17" customHeight="1">
      <c r="C399" s="49"/>
      <c r="D399" s="49"/>
      <c r="F399" s="58" t="s">
        <v>423</v>
      </c>
      <c r="G399" s="55">
        <v>1763</v>
      </c>
    </row>
    <row r="400" spans="1:9" ht="17" customHeight="1">
      <c r="C400" s="49"/>
      <c r="D400" s="49"/>
      <c r="F400" s="58" t="s">
        <v>424</v>
      </c>
      <c r="G400" s="55">
        <v>782</v>
      </c>
    </row>
    <row r="401" spans="3:7" ht="17" customHeight="1">
      <c r="C401" s="49"/>
      <c r="D401" s="49"/>
      <c r="F401" s="58" t="s">
        <v>425</v>
      </c>
      <c r="G401" s="55">
        <v>1425</v>
      </c>
    </row>
    <row r="402" spans="3:7" ht="17" customHeight="1">
      <c r="C402" s="49"/>
      <c r="D402" s="49"/>
      <c r="F402" s="58" t="s">
        <v>426</v>
      </c>
      <c r="G402" s="58" t="s">
        <v>128</v>
      </c>
    </row>
    <row r="403" spans="3:7" ht="17" customHeight="1">
      <c r="C403" s="49"/>
      <c r="D403" s="49"/>
      <c r="F403" s="58" t="s">
        <v>427</v>
      </c>
      <c r="G403" s="55">
        <v>1239</v>
      </c>
    </row>
    <row r="404" spans="3:7" ht="17" customHeight="1">
      <c r="C404" s="49"/>
      <c r="D404" s="49"/>
      <c r="F404" s="58" t="s">
        <v>428</v>
      </c>
      <c r="G404" s="55">
        <v>1000</v>
      </c>
    </row>
    <row r="405" spans="3:7" ht="17" customHeight="1">
      <c r="C405" s="49"/>
      <c r="D405" s="49"/>
      <c r="F405" s="54" t="s">
        <v>429</v>
      </c>
      <c r="G405" s="55">
        <v>346</v>
      </c>
    </row>
    <row r="406" spans="3:7" ht="17" customHeight="1">
      <c r="C406" s="49"/>
      <c r="D406" s="49"/>
      <c r="F406" s="54" t="s">
        <v>430</v>
      </c>
      <c r="G406" s="55">
        <v>74</v>
      </c>
    </row>
    <row r="407" spans="3:7" ht="17" customHeight="1">
      <c r="C407" s="49"/>
      <c r="D407" s="49"/>
      <c r="F407" s="58" t="s">
        <v>431</v>
      </c>
      <c r="G407" s="55">
        <v>348</v>
      </c>
    </row>
    <row r="408" spans="3:7" ht="17" customHeight="1">
      <c r="C408" s="49"/>
      <c r="D408" s="49"/>
      <c r="F408" s="58" t="s">
        <v>432</v>
      </c>
      <c r="G408" s="55">
        <v>391</v>
      </c>
    </row>
    <row r="409" spans="3:7" ht="17" customHeight="1">
      <c r="C409" s="49"/>
      <c r="D409" s="49"/>
      <c r="F409" s="58" t="s">
        <v>433</v>
      </c>
      <c r="G409" s="55">
        <v>1008</v>
      </c>
    </row>
    <row r="410" spans="3:7" ht="17" customHeight="1">
      <c r="C410" s="49"/>
      <c r="D410" s="49"/>
      <c r="F410" s="54" t="s">
        <v>434</v>
      </c>
      <c r="G410" s="55">
        <v>1256</v>
      </c>
    </row>
    <row r="411" spans="3:7" ht="17" customHeight="1">
      <c r="C411" s="49"/>
      <c r="D411" s="49"/>
      <c r="F411" s="58" t="s">
        <v>435</v>
      </c>
      <c r="G411" s="55">
        <v>821</v>
      </c>
    </row>
    <row r="412" spans="3:7" ht="17" customHeight="1">
      <c r="C412" s="49"/>
      <c r="D412" s="49"/>
      <c r="F412" s="54" t="s">
        <v>436</v>
      </c>
      <c r="G412" s="55">
        <v>352</v>
      </c>
    </row>
    <row r="413" spans="3:7" ht="17" customHeight="1">
      <c r="C413" s="49"/>
      <c r="D413" s="49"/>
      <c r="F413" s="58" t="s">
        <v>437</v>
      </c>
      <c r="G413" s="55">
        <v>1754</v>
      </c>
    </row>
    <row r="414" spans="3:7" ht="17" customHeight="1">
      <c r="C414" s="49"/>
      <c r="D414" s="49"/>
      <c r="F414" s="58" t="s">
        <v>438</v>
      </c>
      <c r="G414" s="55">
        <v>628</v>
      </c>
    </row>
    <row r="415" spans="3:7" ht="17" customHeight="1">
      <c r="C415" s="49"/>
      <c r="D415" s="49"/>
      <c r="F415" s="58" t="s">
        <v>439</v>
      </c>
      <c r="G415" s="55">
        <v>468</v>
      </c>
    </row>
    <row r="416" spans="3:7" ht="17" customHeight="1">
      <c r="C416" s="49"/>
      <c r="D416" s="49"/>
      <c r="F416" s="58" t="s">
        <v>440</v>
      </c>
      <c r="G416" s="55">
        <v>1318</v>
      </c>
    </row>
    <row r="417" spans="3:7" ht="17" customHeight="1">
      <c r="C417" s="49"/>
      <c r="D417" s="49"/>
      <c r="F417" s="58" t="s">
        <v>441</v>
      </c>
      <c r="G417" s="55">
        <v>653</v>
      </c>
    </row>
    <row r="418" spans="3:7" ht="17" customHeight="1">
      <c r="C418" s="49"/>
      <c r="D418" s="49"/>
      <c r="F418" s="58" t="s">
        <v>442</v>
      </c>
      <c r="G418" s="55">
        <v>1091</v>
      </c>
    </row>
    <row r="419" spans="3:7" ht="17" customHeight="1">
      <c r="C419" s="49"/>
      <c r="D419" s="49"/>
      <c r="F419" s="58" t="s">
        <v>443</v>
      </c>
      <c r="G419" s="55">
        <v>1044</v>
      </c>
    </row>
    <row r="420" spans="3:7" ht="17" customHeight="1">
      <c r="C420" s="49"/>
      <c r="D420" s="49"/>
      <c r="F420" s="58" t="s">
        <v>444</v>
      </c>
      <c r="G420" s="55">
        <v>1470</v>
      </c>
    </row>
    <row r="421" spans="3:7" ht="17" customHeight="1">
      <c r="C421" s="49"/>
      <c r="D421" s="49"/>
      <c r="F421" s="58" t="s">
        <v>445</v>
      </c>
      <c r="G421" s="55">
        <v>256</v>
      </c>
    </row>
    <row r="422" spans="3:7" ht="17" customHeight="1">
      <c r="C422" s="49"/>
      <c r="D422" s="49"/>
      <c r="F422" s="58" t="s">
        <v>446</v>
      </c>
      <c r="G422" s="55">
        <v>1800</v>
      </c>
    </row>
    <row r="423" spans="3:7" ht="17" customHeight="1">
      <c r="C423" s="49"/>
      <c r="D423" s="49"/>
      <c r="F423" s="58" t="s">
        <v>447</v>
      </c>
      <c r="G423" s="55">
        <v>779</v>
      </c>
    </row>
    <row r="424" spans="3:7" ht="17" customHeight="1">
      <c r="C424" s="49"/>
      <c r="D424" s="49"/>
      <c r="F424" s="58" t="s">
        <v>448</v>
      </c>
      <c r="G424" s="55">
        <v>353</v>
      </c>
    </row>
    <row r="425" spans="3:7" ht="17" customHeight="1">
      <c r="C425" s="49"/>
      <c r="D425" s="49"/>
      <c r="F425" s="58" t="s">
        <v>449</v>
      </c>
      <c r="G425" s="55">
        <v>1157</v>
      </c>
    </row>
    <row r="426" spans="3:7" ht="17" customHeight="1">
      <c r="C426" s="49"/>
      <c r="D426" s="49"/>
      <c r="F426" s="54" t="s">
        <v>450</v>
      </c>
      <c r="G426" s="55">
        <v>481</v>
      </c>
    </row>
    <row r="427" spans="3:7" ht="17" customHeight="1">
      <c r="C427" s="49"/>
      <c r="D427" s="49"/>
      <c r="F427" s="58" t="s">
        <v>451</v>
      </c>
      <c r="G427" s="55">
        <v>1193</v>
      </c>
    </row>
    <row r="428" spans="3:7" ht="17" customHeight="1">
      <c r="C428" s="49"/>
      <c r="D428" s="49"/>
      <c r="F428" s="58" t="s">
        <v>452</v>
      </c>
      <c r="G428" s="55">
        <v>357</v>
      </c>
    </row>
    <row r="429" spans="3:7" ht="17" customHeight="1">
      <c r="C429" s="49"/>
      <c r="D429" s="49"/>
      <c r="F429" s="58" t="s">
        <v>453</v>
      </c>
      <c r="G429" s="55">
        <v>1886</v>
      </c>
    </row>
    <row r="430" spans="3:7" ht="17" customHeight="1">
      <c r="C430" s="49"/>
      <c r="D430" s="49"/>
      <c r="F430" s="58" t="s">
        <v>454</v>
      </c>
      <c r="G430" s="55">
        <v>209</v>
      </c>
    </row>
    <row r="431" spans="3:7" ht="17" customHeight="1">
      <c r="C431" s="49"/>
      <c r="D431" s="49"/>
      <c r="F431" s="58" t="s">
        <v>455</v>
      </c>
      <c r="G431" s="55">
        <v>1578</v>
      </c>
    </row>
    <row r="432" spans="3:7" ht="17" customHeight="1">
      <c r="C432" s="49"/>
      <c r="D432" s="49"/>
      <c r="F432" s="58" t="s">
        <v>456</v>
      </c>
      <c r="G432" s="55">
        <v>1792</v>
      </c>
    </row>
    <row r="433" spans="3:7" ht="17" customHeight="1">
      <c r="C433" s="49"/>
      <c r="D433" s="49"/>
      <c r="F433" s="58" t="s">
        <v>457</v>
      </c>
      <c r="G433" s="55">
        <v>1084</v>
      </c>
    </row>
    <row r="434" spans="3:7" ht="17" customHeight="1">
      <c r="C434" s="49"/>
      <c r="D434" s="49"/>
      <c r="F434" s="58" t="s">
        <v>458</v>
      </c>
      <c r="G434" s="55">
        <v>1416</v>
      </c>
    </row>
    <row r="435" spans="3:7" ht="17" customHeight="1">
      <c r="C435" s="49"/>
      <c r="D435" s="49"/>
      <c r="F435" s="58" t="s">
        <v>459</v>
      </c>
      <c r="G435" s="55">
        <v>737</v>
      </c>
    </row>
    <row r="436" spans="3:7" ht="17" customHeight="1">
      <c r="C436" s="49"/>
      <c r="D436" s="49"/>
      <c r="F436" s="58" t="s">
        <v>460</v>
      </c>
      <c r="G436" s="55">
        <v>741</v>
      </c>
    </row>
    <row r="437" spans="3:7" ht="17" customHeight="1">
      <c r="C437" s="49"/>
      <c r="D437" s="49"/>
      <c r="F437" s="58" t="s">
        <v>461</v>
      </c>
      <c r="G437" s="55">
        <v>359</v>
      </c>
    </row>
    <row r="438" spans="3:7" ht="17" customHeight="1">
      <c r="C438" s="49"/>
      <c r="D438" s="49"/>
      <c r="F438" s="69" t="s">
        <v>462</v>
      </c>
      <c r="G438" s="66">
        <v>1191</v>
      </c>
    </row>
    <row r="439" spans="3:7" ht="17" customHeight="1">
      <c r="C439" s="49"/>
      <c r="D439" s="49"/>
      <c r="F439" s="69" t="s">
        <v>463</v>
      </c>
      <c r="G439" s="66">
        <v>1774</v>
      </c>
    </row>
    <row r="440" spans="3:7" ht="17" customHeight="1">
      <c r="C440" s="49"/>
      <c r="D440" s="49"/>
      <c r="F440" s="69" t="s">
        <v>464</v>
      </c>
      <c r="G440" s="66">
        <v>1530</v>
      </c>
    </row>
    <row r="441" spans="3:7" ht="17" customHeight="1">
      <c r="C441" s="49"/>
      <c r="D441" s="49"/>
      <c r="F441" s="56" t="s">
        <v>465</v>
      </c>
      <c r="G441" s="59">
        <v>1444</v>
      </c>
    </row>
    <row r="442" spans="3:7" ht="17" customHeight="1">
      <c r="C442" s="49"/>
      <c r="D442" s="49"/>
    </row>
    <row r="443" spans="3:7" ht="17" customHeight="1">
      <c r="C443" s="49"/>
      <c r="D443" s="49"/>
    </row>
    <row r="444" spans="3:7" ht="17" customHeight="1">
      <c r="C444" s="49"/>
      <c r="D444" s="49"/>
    </row>
    <row r="445" spans="3:7" ht="17" customHeight="1">
      <c r="C445" s="49"/>
      <c r="D445" s="49"/>
    </row>
    <row r="446" spans="3:7" ht="17" customHeight="1">
      <c r="C446" s="49"/>
      <c r="D446" s="49"/>
    </row>
    <row r="447" spans="3:7" ht="17" customHeight="1">
      <c r="C447" s="49"/>
      <c r="D447" s="49"/>
    </row>
    <row r="448" spans="3:7" ht="17" customHeight="1">
      <c r="C448" s="49"/>
      <c r="D448" s="49"/>
    </row>
    <row r="449" spans="3:4" ht="17" customHeight="1">
      <c r="C449" s="49"/>
      <c r="D449" s="49"/>
    </row>
    <row r="450" spans="3:4" ht="17" customHeight="1">
      <c r="C450" s="49"/>
      <c r="D450" s="49"/>
    </row>
    <row r="451" spans="3:4" ht="17" customHeight="1">
      <c r="C451" s="49"/>
      <c r="D451" s="49"/>
    </row>
    <row r="452" spans="3:4" ht="17" customHeight="1">
      <c r="C452" s="49"/>
      <c r="D452" s="49"/>
    </row>
    <row r="453" spans="3:4" ht="17" customHeight="1">
      <c r="C453" s="49"/>
      <c r="D453" s="49"/>
    </row>
    <row r="454" spans="3:4" ht="17" customHeight="1">
      <c r="C454" s="49"/>
      <c r="D454" s="49"/>
    </row>
    <row r="455" spans="3:4" ht="17" customHeight="1">
      <c r="C455" s="49"/>
      <c r="D455" s="49"/>
    </row>
    <row r="456" spans="3:4" ht="17" customHeight="1">
      <c r="C456" s="49"/>
      <c r="D456" s="49"/>
    </row>
    <row r="457" spans="3:4" ht="17" customHeight="1">
      <c r="C457" s="49"/>
      <c r="D457" s="49"/>
    </row>
    <row r="458" spans="3:4" ht="17" customHeight="1">
      <c r="C458" s="49"/>
      <c r="D458" s="49"/>
    </row>
    <row r="459" spans="3:4" ht="17" customHeight="1">
      <c r="C459" s="49"/>
      <c r="D459" s="49"/>
    </row>
    <row r="460" spans="3:4" ht="17" customHeight="1">
      <c r="C460" s="49"/>
      <c r="D460" s="49"/>
    </row>
    <row r="461" spans="3:4" ht="17" customHeight="1">
      <c r="C461" s="49"/>
      <c r="D461" s="49"/>
    </row>
    <row r="462" spans="3:4" ht="17" customHeight="1">
      <c r="C462" s="49"/>
      <c r="D462" s="49"/>
    </row>
    <row r="463" spans="3:4" ht="17" customHeight="1">
      <c r="C463" s="49"/>
      <c r="D463" s="49"/>
    </row>
    <row r="464" spans="3:4" ht="17" customHeight="1">
      <c r="C464" s="49"/>
      <c r="D464" s="49"/>
    </row>
    <row r="465" spans="3:4" ht="17" customHeight="1">
      <c r="C465" s="49"/>
      <c r="D465" s="49"/>
    </row>
    <row r="466" spans="3:4" ht="17" customHeight="1">
      <c r="C466" s="49"/>
      <c r="D466" s="49"/>
    </row>
    <row r="467" spans="3:4" ht="17" customHeight="1">
      <c r="C467" s="49"/>
      <c r="D467" s="49"/>
    </row>
    <row r="468" spans="3:4" ht="17" customHeight="1">
      <c r="C468" s="49"/>
      <c r="D468" s="49"/>
    </row>
    <row r="469" spans="3:4" ht="17" customHeight="1">
      <c r="C469" s="49"/>
      <c r="D469" s="49"/>
    </row>
    <row r="470" spans="3:4" ht="17" customHeight="1">
      <c r="C470" s="49"/>
      <c r="D470" s="49"/>
    </row>
    <row r="471" spans="3:4" ht="17" customHeight="1">
      <c r="C471" s="49"/>
      <c r="D471" s="49"/>
    </row>
    <row r="472" spans="3:4" ht="17" customHeight="1">
      <c r="C472" s="49"/>
      <c r="D472" s="49"/>
    </row>
    <row r="473" spans="3:4" ht="17" customHeight="1">
      <c r="C473" s="49"/>
      <c r="D473" s="49"/>
    </row>
    <row r="474" spans="3:4" ht="17" customHeight="1">
      <c r="C474" s="49"/>
      <c r="D474" s="49"/>
    </row>
    <row r="475" spans="3:4" ht="17" customHeight="1">
      <c r="C475" s="49"/>
      <c r="D475" s="49"/>
    </row>
    <row r="476" spans="3:4" ht="17" customHeight="1">
      <c r="C476" s="49"/>
      <c r="D476" s="49"/>
    </row>
    <row r="477" spans="3:4" ht="17" customHeight="1">
      <c r="C477" s="49"/>
      <c r="D477" s="49"/>
    </row>
    <row r="478" spans="3:4" ht="17" customHeight="1">
      <c r="C478" s="49"/>
      <c r="D478" s="49"/>
    </row>
    <row r="479" spans="3:4" ht="17" customHeight="1">
      <c r="C479" s="49"/>
      <c r="D479" s="49"/>
    </row>
    <row r="480" spans="3:4" ht="17" customHeight="1">
      <c r="C480" s="49"/>
      <c r="D480" s="49"/>
    </row>
    <row r="481" spans="3:4" ht="17" customHeight="1">
      <c r="C481" s="49"/>
      <c r="D481" s="49"/>
    </row>
    <row r="482" spans="3:4" ht="17" customHeight="1">
      <c r="C482" s="49"/>
      <c r="D482" s="49"/>
    </row>
    <row r="483" spans="3:4" ht="17" customHeight="1">
      <c r="C483" s="49"/>
      <c r="D483" s="49"/>
    </row>
    <row r="484" spans="3:4" ht="17" customHeight="1">
      <c r="C484" s="49"/>
      <c r="D484" s="49"/>
    </row>
    <row r="485" spans="3:4" ht="17" customHeight="1">
      <c r="C485" s="49"/>
      <c r="D485" s="49"/>
    </row>
    <row r="486" spans="3:4" ht="17" customHeight="1">
      <c r="C486" s="49"/>
      <c r="D486" s="49"/>
    </row>
    <row r="487" spans="3:4" ht="17" customHeight="1">
      <c r="C487" s="49"/>
      <c r="D487" s="49"/>
    </row>
    <row r="488" spans="3:4" ht="17" customHeight="1">
      <c r="C488" s="49"/>
      <c r="D488" s="49"/>
    </row>
    <row r="489" spans="3:4" ht="17" customHeight="1">
      <c r="C489" s="49"/>
      <c r="D489" s="49"/>
    </row>
    <row r="490" spans="3:4" ht="17" customHeight="1">
      <c r="C490" s="49"/>
      <c r="D490" s="49"/>
    </row>
    <row r="491" spans="3:4" ht="17" customHeight="1">
      <c r="C491" s="49"/>
      <c r="D491" s="49"/>
    </row>
    <row r="492" spans="3:4" ht="17" customHeight="1">
      <c r="C492" s="49"/>
      <c r="D492" s="49"/>
    </row>
    <row r="493" spans="3:4" ht="17" customHeight="1">
      <c r="C493" s="49"/>
      <c r="D493" s="49"/>
    </row>
    <row r="494" spans="3:4" ht="17" customHeight="1">
      <c r="C494" s="49"/>
      <c r="D494" s="49"/>
    </row>
    <row r="495" spans="3:4" ht="17" customHeight="1">
      <c r="C495" s="49"/>
      <c r="D495" s="49"/>
    </row>
    <row r="496" spans="3:4" ht="17" customHeight="1">
      <c r="C496" s="49"/>
      <c r="D496" s="49"/>
    </row>
    <row r="497" spans="3:4" ht="17" customHeight="1">
      <c r="C497" s="49"/>
      <c r="D497" s="49"/>
    </row>
    <row r="498" spans="3:4" ht="17" customHeight="1">
      <c r="C498" s="49"/>
      <c r="D498" s="49"/>
    </row>
    <row r="499" spans="3:4" ht="17" customHeight="1">
      <c r="C499" s="49"/>
      <c r="D499" s="49"/>
    </row>
    <row r="500" spans="3:4" ht="17" customHeight="1">
      <c r="C500" s="49"/>
      <c r="D500" s="49"/>
    </row>
    <row r="501" spans="3:4" ht="17" customHeight="1">
      <c r="C501" s="49"/>
      <c r="D501" s="49"/>
    </row>
    <row r="502" spans="3:4" ht="17" customHeight="1">
      <c r="C502" s="49"/>
      <c r="D502" s="49"/>
    </row>
    <row r="503" spans="3:4" ht="17" customHeight="1">
      <c r="C503" s="49"/>
      <c r="D503" s="49"/>
    </row>
    <row r="504" spans="3:4" ht="17" customHeight="1">
      <c r="C504" s="49"/>
      <c r="D504" s="49"/>
    </row>
    <row r="505" spans="3:4" ht="17" customHeight="1">
      <c r="C505" s="49"/>
      <c r="D505" s="49"/>
    </row>
    <row r="506" spans="3:4" ht="17" customHeight="1">
      <c r="C506" s="49"/>
      <c r="D506" s="49"/>
    </row>
    <row r="507" spans="3:4" ht="17" customHeight="1">
      <c r="C507" s="49"/>
      <c r="D507" s="49"/>
    </row>
    <row r="508" spans="3:4" ht="17" customHeight="1">
      <c r="C508" s="49"/>
      <c r="D508" s="49"/>
    </row>
    <row r="509" spans="3:4" ht="17" customHeight="1">
      <c r="C509" s="49"/>
      <c r="D509" s="49"/>
    </row>
    <row r="510" spans="3:4" ht="17" customHeight="1">
      <c r="C510" s="49"/>
      <c r="D510" s="49"/>
    </row>
    <row r="511" spans="3:4" ht="17" customHeight="1">
      <c r="C511" s="49"/>
      <c r="D511" s="49"/>
    </row>
    <row r="512" spans="3:4" ht="17" customHeight="1">
      <c r="C512" s="49"/>
      <c r="D512" s="49"/>
    </row>
    <row r="513" spans="3:4" ht="17" customHeight="1">
      <c r="C513" s="49"/>
      <c r="D513" s="49"/>
    </row>
    <row r="514" spans="3:4" ht="17" customHeight="1">
      <c r="C514" s="49"/>
      <c r="D514" s="49"/>
    </row>
    <row r="515" spans="3:4" ht="17" customHeight="1">
      <c r="C515" s="49"/>
      <c r="D515" s="49"/>
    </row>
    <row r="516" spans="3:4" ht="17" customHeight="1">
      <c r="C516" s="49"/>
      <c r="D516" s="49"/>
    </row>
    <row r="517" spans="3:4" ht="17" customHeight="1">
      <c r="C517" s="49"/>
      <c r="D517" s="49"/>
    </row>
    <row r="518" spans="3:4" ht="17" customHeight="1">
      <c r="C518" s="49"/>
      <c r="D518" s="49"/>
    </row>
    <row r="519" spans="3:4" ht="17" customHeight="1">
      <c r="C519" s="49"/>
      <c r="D519" s="49"/>
    </row>
    <row r="520" spans="3:4" ht="17" customHeight="1">
      <c r="C520" s="49"/>
      <c r="D520" s="49"/>
    </row>
    <row r="521" spans="3:4" ht="17" customHeight="1">
      <c r="C521" s="49"/>
      <c r="D521" s="49"/>
    </row>
    <row r="522" spans="3:4" ht="17" customHeight="1">
      <c r="C522" s="49"/>
      <c r="D522" s="49"/>
    </row>
    <row r="523" spans="3:4" ht="17" customHeight="1">
      <c r="C523" s="49"/>
      <c r="D523" s="49"/>
    </row>
    <row r="524" spans="3:4" ht="17" customHeight="1">
      <c r="C524" s="49"/>
      <c r="D524" s="49"/>
    </row>
    <row r="525" spans="3:4" ht="17" customHeight="1">
      <c r="C525" s="49"/>
      <c r="D525" s="49"/>
    </row>
    <row r="526" spans="3:4" ht="17" customHeight="1">
      <c r="C526" s="49"/>
      <c r="D526" s="49"/>
    </row>
    <row r="527" spans="3:4" ht="17" customHeight="1">
      <c r="C527" s="49"/>
      <c r="D527" s="49"/>
    </row>
    <row r="528" spans="3:4" ht="17" customHeight="1">
      <c r="C528" s="49"/>
      <c r="D528" s="49"/>
    </row>
    <row r="529" spans="3:4" ht="17" customHeight="1">
      <c r="C529" s="49"/>
      <c r="D529" s="49"/>
    </row>
    <row r="530" spans="3:4" ht="17" customHeight="1">
      <c r="C530" s="49"/>
      <c r="D530" s="49"/>
    </row>
    <row r="531" spans="3:4" ht="17" customHeight="1">
      <c r="C531" s="49"/>
      <c r="D531" s="49"/>
    </row>
    <row r="532" spans="3:4" ht="17" customHeight="1">
      <c r="C532" s="49"/>
      <c r="D532" s="49"/>
    </row>
    <row r="533" spans="3:4" ht="17" customHeight="1">
      <c r="C533" s="49"/>
      <c r="D533" s="49"/>
    </row>
    <row r="534" spans="3:4" ht="17" customHeight="1">
      <c r="C534" s="49"/>
      <c r="D534" s="49"/>
    </row>
    <row r="535" spans="3:4" ht="17" customHeight="1">
      <c r="C535" s="49"/>
      <c r="D535" s="49"/>
    </row>
    <row r="536" spans="3:4" ht="17" customHeight="1">
      <c r="C536" s="49"/>
      <c r="D536" s="49"/>
    </row>
    <row r="537" spans="3:4" ht="17" customHeight="1">
      <c r="C537" s="49"/>
      <c r="D537" s="49"/>
    </row>
    <row r="538" spans="3:4" ht="17" customHeight="1">
      <c r="C538" s="49"/>
      <c r="D538" s="49"/>
    </row>
    <row r="539" spans="3:4" ht="17" customHeight="1">
      <c r="C539" s="49"/>
      <c r="D539" s="49"/>
    </row>
    <row r="540" spans="3:4" ht="17" customHeight="1">
      <c r="C540" s="49"/>
      <c r="D540" s="49"/>
    </row>
    <row r="541" spans="3:4" ht="17" customHeight="1">
      <c r="C541" s="49"/>
      <c r="D541" s="49"/>
    </row>
    <row r="542" spans="3:4" ht="17" customHeight="1">
      <c r="C542" s="49"/>
      <c r="D542" s="49"/>
    </row>
    <row r="543" spans="3:4" ht="17" customHeight="1">
      <c r="C543" s="49"/>
      <c r="D543" s="49"/>
    </row>
    <row r="544" spans="3:4" ht="17" customHeight="1">
      <c r="C544" s="49"/>
      <c r="D544" s="49"/>
    </row>
    <row r="545" spans="3:4" ht="17" customHeight="1">
      <c r="C545" s="49"/>
      <c r="D545" s="49"/>
    </row>
    <row r="546" spans="3:4" ht="17" customHeight="1">
      <c r="C546" s="49"/>
      <c r="D546" s="49"/>
    </row>
    <row r="547" spans="3:4" ht="17" customHeight="1">
      <c r="C547" s="49"/>
      <c r="D547" s="49"/>
    </row>
    <row r="548" spans="3:4" ht="17" customHeight="1">
      <c r="C548" s="49"/>
      <c r="D548" s="49"/>
    </row>
    <row r="549" spans="3:4" ht="17" customHeight="1">
      <c r="C549" s="49"/>
      <c r="D549" s="49"/>
    </row>
    <row r="550" spans="3:4" ht="17" customHeight="1">
      <c r="C550" s="49"/>
      <c r="D550" s="49"/>
    </row>
    <row r="551" spans="3:4" ht="17" customHeight="1">
      <c r="C551" s="49"/>
      <c r="D551" s="49"/>
    </row>
    <row r="552" spans="3:4" ht="17" customHeight="1">
      <c r="C552" s="49"/>
      <c r="D552" s="49"/>
    </row>
    <row r="553" spans="3:4" ht="17" customHeight="1">
      <c r="C553" s="49"/>
      <c r="D553" s="49"/>
    </row>
    <row r="554" spans="3:4" ht="17" customHeight="1">
      <c r="C554" s="49"/>
      <c r="D554" s="49"/>
    </row>
    <row r="555" spans="3:4" ht="17" customHeight="1">
      <c r="C555" s="49"/>
      <c r="D555" s="49"/>
    </row>
    <row r="556" spans="3:4" ht="17" customHeight="1">
      <c r="C556" s="49"/>
      <c r="D556" s="49"/>
    </row>
    <row r="557" spans="3:4" ht="17" customHeight="1">
      <c r="C557" s="49"/>
      <c r="D557" s="49"/>
    </row>
    <row r="558" spans="3:4" ht="17" customHeight="1">
      <c r="C558" s="49"/>
      <c r="D558" s="49"/>
    </row>
    <row r="559" spans="3:4" ht="17" customHeight="1">
      <c r="C559" s="49"/>
      <c r="D559" s="49"/>
    </row>
    <row r="560" spans="3:4" ht="17" customHeight="1">
      <c r="C560" s="49"/>
      <c r="D560" s="49"/>
    </row>
    <row r="561" spans="3:4" ht="17" customHeight="1">
      <c r="C561" s="49"/>
      <c r="D561" s="49"/>
    </row>
    <row r="562" spans="3:4" ht="17" customHeight="1">
      <c r="C562" s="49"/>
      <c r="D562" s="49"/>
    </row>
    <row r="563" spans="3:4" ht="17" customHeight="1">
      <c r="C563" s="49"/>
      <c r="D563" s="49"/>
    </row>
    <row r="564" spans="3:4" ht="17" customHeight="1">
      <c r="C564" s="49"/>
      <c r="D564" s="49"/>
    </row>
    <row r="565" spans="3:4" ht="17" customHeight="1">
      <c r="C565" s="49"/>
      <c r="D565" s="49"/>
    </row>
    <row r="566" spans="3:4" ht="17" customHeight="1">
      <c r="C566" s="49"/>
      <c r="D566" s="49"/>
    </row>
    <row r="567" spans="3:4" ht="17" customHeight="1">
      <c r="C567" s="49"/>
      <c r="D567" s="49"/>
    </row>
    <row r="568" spans="3:4" ht="17" customHeight="1">
      <c r="C568" s="49"/>
      <c r="D568" s="49"/>
    </row>
    <row r="569" spans="3:4" ht="17" customHeight="1">
      <c r="C569" s="49"/>
      <c r="D569" s="49"/>
    </row>
    <row r="570" spans="3:4" ht="17" customHeight="1">
      <c r="C570" s="49"/>
      <c r="D570" s="49"/>
    </row>
    <row r="571" spans="3:4" ht="17" customHeight="1">
      <c r="C571" s="49"/>
      <c r="D571" s="49"/>
    </row>
    <row r="572" spans="3:4" ht="17" customHeight="1">
      <c r="C572" s="49"/>
      <c r="D572" s="49"/>
    </row>
    <row r="573" spans="3:4" ht="17" customHeight="1">
      <c r="C573" s="49"/>
      <c r="D573" s="49"/>
    </row>
    <row r="574" spans="3:4" ht="17" customHeight="1">
      <c r="C574" s="49"/>
      <c r="D574" s="49"/>
    </row>
    <row r="575" spans="3:4" ht="17" customHeight="1">
      <c r="C575" s="49"/>
      <c r="D575" s="49"/>
    </row>
    <row r="576" spans="3:4" ht="17" customHeight="1">
      <c r="C576" s="49"/>
      <c r="D576" s="49"/>
    </row>
    <row r="577" spans="3:4" ht="17" customHeight="1">
      <c r="C577" s="49"/>
      <c r="D577" s="49"/>
    </row>
    <row r="578" spans="3:4" ht="17" customHeight="1">
      <c r="C578" s="49"/>
      <c r="D578" s="49"/>
    </row>
    <row r="579" spans="3:4" ht="17" customHeight="1">
      <c r="C579" s="49"/>
      <c r="D579" s="49"/>
    </row>
    <row r="580" spans="3:4" ht="17" customHeight="1">
      <c r="C580" s="49"/>
      <c r="D580" s="49"/>
    </row>
    <row r="581" spans="3:4" ht="17" customHeight="1">
      <c r="C581" s="49"/>
      <c r="D581" s="49"/>
    </row>
    <row r="582" spans="3:4" ht="17" customHeight="1">
      <c r="C582" s="49"/>
      <c r="D582" s="49"/>
    </row>
    <row r="583" spans="3:4" ht="17" customHeight="1">
      <c r="C583" s="49"/>
      <c r="D583" s="49"/>
    </row>
    <row r="584" spans="3:4" ht="17" customHeight="1">
      <c r="C584" s="49"/>
      <c r="D584" s="49"/>
    </row>
    <row r="585" spans="3:4" ht="17" customHeight="1">
      <c r="C585" s="49"/>
      <c r="D585" s="49"/>
    </row>
    <row r="586" spans="3:4" ht="17" customHeight="1">
      <c r="C586" s="49"/>
      <c r="D586" s="49"/>
    </row>
    <row r="587" spans="3:4" ht="17" customHeight="1">
      <c r="C587" s="49"/>
      <c r="D587" s="49"/>
    </row>
    <row r="588" spans="3:4" ht="17" customHeight="1">
      <c r="C588" s="49"/>
      <c r="D588" s="49"/>
    </row>
    <row r="589" spans="3:4" ht="17" customHeight="1">
      <c r="C589" s="49"/>
      <c r="D589" s="49"/>
    </row>
    <row r="590" spans="3:4" ht="17" customHeight="1">
      <c r="C590" s="49"/>
      <c r="D590" s="49"/>
    </row>
    <row r="591" spans="3:4" ht="17" customHeight="1">
      <c r="C591" s="49"/>
      <c r="D591" s="49"/>
    </row>
    <row r="592" spans="3:4" ht="17" customHeight="1">
      <c r="C592" s="49"/>
      <c r="D592" s="49"/>
    </row>
    <row r="593" spans="3:4" ht="17" customHeight="1">
      <c r="C593" s="49"/>
      <c r="D593" s="49"/>
    </row>
    <row r="594" spans="3:4" ht="17" customHeight="1">
      <c r="C594" s="49"/>
      <c r="D594" s="49"/>
    </row>
    <row r="595" spans="3:4" ht="17" customHeight="1">
      <c r="C595" s="49"/>
      <c r="D595" s="49"/>
    </row>
    <row r="596" spans="3:4" ht="17" customHeight="1">
      <c r="C596" s="49"/>
      <c r="D596" s="49"/>
    </row>
    <row r="597" spans="3:4" ht="17" customHeight="1">
      <c r="C597" s="49"/>
      <c r="D597" s="49"/>
    </row>
    <row r="598" spans="3:4" ht="17" customHeight="1">
      <c r="C598" s="49"/>
      <c r="D598" s="49"/>
    </row>
    <row r="599" spans="3:4" ht="17" customHeight="1">
      <c r="C599" s="49"/>
      <c r="D599" s="49"/>
    </row>
    <row r="600" spans="3:4" ht="17" customHeight="1">
      <c r="C600" s="49"/>
      <c r="D600" s="49"/>
    </row>
    <row r="601" spans="3:4" ht="17" customHeight="1">
      <c r="C601" s="49"/>
      <c r="D601" s="49"/>
    </row>
    <row r="602" spans="3:4" ht="17" customHeight="1">
      <c r="C602" s="49"/>
      <c r="D602" s="49"/>
    </row>
    <row r="603" spans="3:4" ht="17" customHeight="1">
      <c r="C603" s="49"/>
      <c r="D603" s="49"/>
    </row>
    <row r="604" spans="3:4" ht="17" customHeight="1">
      <c r="C604" s="49"/>
      <c r="D604" s="49"/>
    </row>
    <row r="605" spans="3:4" ht="17" customHeight="1">
      <c r="C605" s="49"/>
      <c r="D605" s="49"/>
    </row>
    <row r="606" spans="3:4" ht="17" customHeight="1">
      <c r="C606" s="49"/>
      <c r="D606" s="49"/>
    </row>
    <row r="607" spans="3:4" ht="17" customHeight="1">
      <c r="C607" s="49"/>
      <c r="D607" s="49"/>
    </row>
    <row r="608" spans="3:4" ht="17" customHeight="1">
      <c r="C608" s="49"/>
      <c r="D608" s="49"/>
    </row>
    <row r="609" spans="3:4" ht="17" customHeight="1">
      <c r="C609" s="49"/>
      <c r="D609" s="49"/>
    </row>
    <row r="610" spans="3:4" ht="17" customHeight="1">
      <c r="C610" s="49"/>
      <c r="D610" s="49"/>
    </row>
    <row r="611" spans="3:4" ht="17" customHeight="1">
      <c r="C611" s="49"/>
      <c r="D611" s="49"/>
    </row>
    <row r="612" spans="3:4" ht="17" customHeight="1">
      <c r="C612" s="49"/>
      <c r="D612" s="49"/>
    </row>
    <row r="613" spans="3:4" ht="17" customHeight="1">
      <c r="C613" s="49"/>
      <c r="D613" s="49"/>
    </row>
    <row r="614" spans="3:4" ht="17" customHeight="1">
      <c r="C614" s="49"/>
      <c r="D614" s="49"/>
    </row>
    <row r="615" spans="3:4" ht="17" customHeight="1">
      <c r="C615" s="49"/>
      <c r="D615" s="49"/>
    </row>
    <row r="616" spans="3:4" ht="17" customHeight="1">
      <c r="C616" s="49"/>
      <c r="D616" s="49"/>
    </row>
    <row r="617" spans="3:4" ht="17" customHeight="1">
      <c r="C617" s="49"/>
      <c r="D617" s="49"/>
    </row>
    <row r="618" spans="3:4" ht="17" customHeight="1">
      <c r="C618" s="49"/>
      <c r="D618" s="49"/>
    </row>
    <row r="619" spans="3:4" ht="17" customHeight="1">
      <c r="C619" s="49"/>
      <c r="D619" s="49"/>
    </row>
    <row r="620" spans="3:4" ht="17" customHeight="1">
      <c r="C620" s="49"/>
      <c r="D620" s="49"/>
    </row>
    <row r="621" spans="3:4" ht="17" customHeight="1">
      <c r="C621" s="49"/>
      <c r="D621" s="49"/>
    </row>
    <row r="622" spans="3:4" ht="17" customHeight="1">
      <c r="C622" s="49"/>
      <c r="D622" s="49"/>
    </row>
    <row r="623" spans="3:4" ht="17" customHeight="1">
      <c r="C623" s="49"/>
      <c r="D623" s="49"/>
    </row>
    <row r="624" spans="3:4" ht="17" customHeight="1">
      <c r="C624" s="49"/>
      <c r="D624" s="49"/>
    </row>
    <row r="625" spans="3:4" ht="17" customHeight="1">
      <c r="C625" s="49"/>
      <c r="D625" s="49"/>
    </row>
    <row r="626" spans="3:4" ht="17" customHeight="1">
      <c r="C626" s="49"/>
      <c r="D626" s="49"/>
    </row>
    <row r="627" spans="3:4" ht="17" customHeight="1">
      <c r="C627" s="49"/>
      <c r="D627" s="49"/>
    </row>
    <row r="628" spans="3:4" ht="17" customHeight="1">
      <c r="C628" s="49"/>
      <c r="D628" s="49"/>
    </row>
    <row r="629" spans="3:4" ht="17" customHeight="1">
      <c r="C629" s="49"/>
      <c r="D629" s="49"/>
    </row>
    <row r="630" spans="3:4" ht="17" customHeight="1">
      <c r="C630" s="49"/>
      <c r="D630" s="49"/>
    </row>
    <row r="631" spans="3:4" ht="17" customHeight="1">
      <c r="C631" s="49"/>
      <c r="D631" s="49"/>
    </row>
    <row r="632" spans="3:4" ht="17" customHeight="1">
      <c r="C632" s="49"/>
      <c r="D632" s="49"/>
    </row>
    <row r="633" spans="3:4" ht="17" customHeight="1">
      <c r="C633" s="49"/>
      <c r="D633" s="49"/>
    </row>
    <row r="634" spans="3:4" ht="17" customHeight="1">
      <c r="C634" s="49"/>
      <c r="D634" s="49"/>
    </row>
    <row r="635" spans="3:4" ht="17" customHeight="1">
      <c r="C635" s="49"/>
      <c r="D635" s="49"/>
    </row>
    <row r="636" spans="3:4" ht="17" customHeight="1">
      <c r="C636" s="49"/>
      <c r="D636" s="49"/>
    </row>
    <row r="637" spans="3:4" ht="17" customHeight="1">
      <c r="C637" s="49"/>
      <c r="D637" s="49"/>
    </row>
    <row r="638" spans="3:4" ht="17" customHeight="1">
      <c r="C638" s="49"/>
      <c r="D638" s="49"/>
    </row>
    <row r="639" spans="3:4" ht="17" customHeight="1">
      <c r="C639" s="49"/>
      <c r="D639" s="49"/>
    </row>
    <row r="640" spans="3:4" ht="17" customHeight="1">
      <c r="C640" s="49"/>
      <c r="D640" s="49"/>
    </row>
    <row r="641" spans="3:4" ht="17" customHeight="1">
      <c r="C641" s="49"/>
      <c r="D641" s="49"/>
    </row>
    <row r="642" spans="3:4" ht="17" customHeight="1">
      <c r="C642" s="49"/>
      <c r="D642" s="49"/>
    </row>
    <row r="643" spans="3:4" ht="17" customHeight="1">
      <c r="C643" s="49"/>
      <c r="D643" s="49"/>
    </row>
    <row r="644" spans="3:4" ht="17" customHeight="1">
      <c r="C644" s="49"/>
      <c r="D644" s="49"/>
    </row>
    <row r="645" spans="3:4" ht="17" customHeight="1">
      <c r="C645" s="49"/>
      <c r="D645" s="49"/>
    </row>
    <row r="646" spans="3:4" ht="17" customHeight="1">
      <c r="C646" s="49"/>
      <c r="D646" s="49"/>
    </row>
    <row r="647" spans="3:4" ht="17" customHeight="1">
      <c r="C647" s="49"/>
      <c r="D647" s="49"/>
    </row>
    <row r="648" spans="3:4" ht="17" customHeight="1">
      <c r="C648" s="49"/>
      <c r="D648" s="49"/>
    </row>
    <row r="649" spans="3:4" ht="17" customHeight="1">
      <c r="C649" s="49"/>
      <c r="D649" s="49"/>
    </row>
    <row r="650" spans="3:4" ht="17" customHeight="1">
      <c r="C650" s="49"/>
      <c r="D650" s="49"/>
    </row>
    <row r="651" spans="3:4" ht="17" customHeight="1">
      <c r="C651" s="49"/>
      <c r="D651" s="49"/>
    </row>
    <row r="652" spans="3:4" ht="17" customHeight="1">
      <c r="C652" s="49"/>
      <c r="D652" s="49"/>
    </row>
    <row r="653" spans="3:4" ht="17" customHeight="1">
      <c r="C653" s="49"/>
      <c r="D653" s="49"/>
    </row>
    <row r="654" spans="3:4" ht="17" customHeight="1">
      <c r="C654" s="49"/>
      <c r="D654" s="49"/>
    </row>
    <row r="655" spans="3:4" ht="17" customHeight="1">
      <c r="C655" s="49"/>
      <c r="D655" s="49"/>
    </row>
    <row r="656" spans="3:4" ht="17" customHeight="1">
      <c r="C656" s="49"/>
      <c r="D656" s="49"/>
    </row>
    <row r="657" spans="3:4" ht="17" customHeight="1">
      <c r="C657" s="49"/>
      <c r="D657" s="49"/>
    </row>
    <row r="658" spans="3:4" ht="17" customHeight="1">
      <c r="C658" s="49"/>
      <c r="D658" s="49"/>
    </row>
    <row r="659" spans="3:4" ht="17" customHeight="1">
      <c r="C659" s="49"/>
      <c r="D659" s="49"/>
    </row>
    <row r="660" spans="3:4" ht="17" customHeight="1">
      <c r="C660" s="49"/>
      <c r="D660" s="49"/>
    </row>
    <row r="661" spans="3:4" ht="17" customHeight="1">
      <c r="C661" s="49"/>
      <c r="D661" s="49"/>
    </row>
    <row r="662" spans="3:4" ht="17" customHeight="1">
      <c r="C662" s="49"/>
      <c r="D662" s="49"/>
    </row>
    <row r="663" spans="3:4" ht="17" customHeight="1">
      <c r="C663" s="49"/>
      <c r="D663" s="49"/>
    </row>
    <row r="664" spans="3:4" ht="17" customHeight="1">
      <c r="C664" s="49"/>
      <c r="D664" s="49"/>
    </row>
    <row r="665" spans="3:4" ht="17" customHeight="1">
      <c r="C665" s="49"/>
      <c r="D665" s="49"/>
    </row>
    <row r="666" spans="3:4" ht="17" customHeight="1">
      <c r="C666" s="49"/>
      <c r="D666" s="49"/>
    </row>
    <row r="667" spans="3:4" ht="17" customHeight="1">
      <c r="C667" s="49"/>
      <c r="D667" s="49"/>
    </row>
    <row r="668" spans="3:4" ht="17" customHeight="1">
      <c r="C668" s="49"/>
      <c r="D668" s="49"/>
    </row>
    <row r="669" spans="3:4" ht="17" customHeight="1">
      <c r="C669" s="49"/>
      <c r="D669" s="49"/>
    </row>
    <row r="670" spans="3:4" ht="17" customHeight="1">
      <c r="C670" s="49"/>
      <c r="D670" s="49"/>
    </row>
    <row r="671" spans="3:4" ht="17" customHeight="1">
      <c r="C671" s="49"/>
      <c r="D671" s="49"/>
    </row>
    <row r="672" spans="3:4" ht="17" customHeight="1">
      <c r="C672" s="49"/>
      <c r="D672" s="49"/>
    </row>
    <row r="673" spans="3:4" ht="17" customHeight="1">
      <c r="C673" s="49"/>
      <c r="D673" s="49"/>
    </row>
    <row r="674" spans="3:4" ht="17" customHeight="1">
      <c r="C674" s="49"/>
      <c r="D674" s="49"/>
    </row>
    <row r="675" spans="3:4" ht="17" customHeight="1">
      <c r="C675" s="49"/>
      <c r="D675" s="49"/>
    </row>
    <row r="676" spans="3:4" ht="17" customHeight="1">
      <c r="C676" s="49"/>
      <c r="D676" s="49"/>
    </row>
    <row r="677" spans="3:4" ht="17" customHeight="1">
      <c r="C677" s="49"/>
      <c r="D677" s="49"/>
    </row>
    <row r="678" spans="3:4" ht="17" customHeight="1">
      <c r="C678" s="49"/>
      <c r="D678" s="49"/>
    </row>
    <row r="679" spans="3:4" ht="17" customHeight="1">
      <c r="C679" s="49"/>
      <c r="D679" s="49"/>
    </row>
    <row r="680" spans="3:4" ht="17" customHeight="1">
      <c r="C680" s="49"/>
      <c r="D680" s="49"/>
    </row>
    <row r="681" spans="3:4" ht="17" customHeight="1">
      <c r="C681" s="49"/>
      <c r="D681" s="49"/>
    </row>
    <row r="682" spans="3:4" ht="17" customHeight="1">
      <c r="C682" s="49"/>
      <c r="D682" s="49"/>
    </row>
    <row r="683" spans="3:4" ht="17" customHeight="1">
      <c r="C683" s="49"/>
      <c r="D683" s="49"/>
    </row>
    <row r="684" spans="3:4" ht="17" customHeight="1">
      <c r="C684" s="49"/>
      <c r="D684" s="49"/>
    </row>
    <row r="685" spans="3:4" ht="17" customHeight="1">
      <c r="C685" s="49"/>
      <c r="D685" s="49"/>
    </row>
    <row r="686" spans="3:4" ht="17" customHeight="1">
      <c r="C686" s="49"/>
      <c r="D686" s="49"/>
    </row>
    <row r="687" spans="3:4" ht="17" customHeight="1">
      <c r="C687" s="49"/>
      <c r="D687" s="49"/>
    </row>
    <row r="688" spans="3:4" ht="17" customHeight="1">
      <c r="C688" s="49"/>
      <c r="D688" s="49"/>
    </row>
    <row r="689" spans="3:4" ht="17" customHeight="1">
      <c r="C689" s="49"/>
      <c r="D689" s="49"/>
    </row>
    <row r="690" spans="3:4" ht="17" customHeight="1">
      <c r="C690" s="49"/>
      <c r="D690" s="49"/>
    </row>
    <row r="691" spans="3:4" ht="17" customHeight="1">
      <c r="C691" s="49"/>
      <c r="D691" s="49"/>
    </row>
    <row r="692" spans="3:4" ht="17" customHeight="1">
      <c r="C692" s="49"/>
      <c r="D692" s="49"/>
    </row>
    <row r="693" spans="3:4" ht="17" customHeight="1">
      <c r="C693" s="49"/>
      <c r="D693" s="49"/>
    </row>
    <row r="694" spans="3:4" ht="17" customHeight="1">
      <c r="C694" s="49"/>
      <c r="D694" s="49"/>
    </row>
    <row r="695" spans="3:4" ht="17" customHeight="1">
      <c r="C695" s="49"/>
      <c r="D695" s="49"/>
    </row>
    <row r="696" spans="3:4" ht="17" customHeight="1">
      <c r="C696" s="49"/>
      <c r="D696" s="49"/>
    </row>
    <row r="697" spans="3:4" ht="17" customHeight="1">
      <c r="C697" s="49"/>
      <c r="D697" s="49"/>
    </row>
    <row r="698" spans="3:4" ht="17" customHeight="1">
      <c r="C698" s="49"/>
      <c r="D698" s="49"/>
    </row>
    <row r="699" spans="3:4" ht="17" customHeight="1">
      <c r="C699" s="49"/>
      <c r="D699" s="49"/>
    </row>
    <row r="700" spans="3:4" ht="17" customHeight="1">
      <c r="C700" s="49"/>
      <c r="D700" s="49"/>
    </row>
    <row r="701" spans="3:4" ht="17" customHeight="1">
      <c r="C701" s="49"/>
      <c r="D701" s="49"/>
    </row>
    <row r="702" spans="3:4" ht="17" customHeight="1">
      <c r="C702" s="49"/>
      <c r="D702" s="49"/>
    </row>
    <row r="703" spans="3:4" ht="17" customHeight="1">
      <c r="C703" s="49"/>
      <c r="D703" s="49"/>
    </row>
    <row r="704" spans="3:4" ht="17" customHeight="1">
      <c r="C704" s="49"/>
      <c r="D704" s="49"/>
    </row>
    <row r="705" spans="3:4" ht="17" customHeight="1">
      <c r="C705" s="49"/>
      <c r="D705" s="49"/>
    </row>
    <row r="706" spans="3:4" ht="17" customHeight="1">
      <c r="C706" s="49"/>
      <c r="D706" s="49"/>
    </row>
    <row r="707" spans="3:4" ht="17" customHeight="1">
      <c r="C707" s="49"/>
      <c r="D707" s="49"/>
    </row>
    <row r="708" spans="3:4" ht="17" customHeight="1">
      <c r="C708" s="49"/>
      <c r="D708" s="49"/>
    </row>
    <row r="709" spans="3:4" ht="17" customHeight="1">
      <c r="C709" s="49"/>
      <c r="D709" s="49"/>
    </row>
    <row r="710" spans="3:4" ht="17" customHeight="1">
      <c r="C710" s="49"/>
      <c r="D710" s="49"/>
    </row>
    <row r="711" spans="3:4" ht="17" customHeight="1">
      <c r="C711" s="49"/>
      <c r="D711" s="49"/>
    </row>
    <row r="712" spans="3:4" ht="17" customHeight="1">
      <c r="C712" s="49"/>
      <c r="D712" s="49"/>
    </row>
    <row r="713" spans="3:4" ht="17" customHeight="1">
      <c r="C713" s="49"/>
      <c r="D713" s="49"/>
    </row>
    <row r="714" spans="3:4" ht="17" customHeight="1">
      <c r="C714" s="49"/>
      <c r="D714" s="49"/>
    </row>
    <row r="715" spans="3:4" ht="17" customHeight="1">
      <c r="C715" s="49"/>
      <c r="D715" s="49"/>
    </row>
    <row r="716" spans="3:4" ht="17" customHeight="1">
      <c r="C716" s="49"/>
      <c r="D716" s="49"/>
    </row>
    <row r="717" spans="3:4" ht="17" customHeight="1">
      <c r="C717" s="49"/>
      <c r="D717" s="49"/>
    </row>
    <row r="718" spans="3:4" ht="17" customHeight="1">
      <c r="C718" s="49"/>
      <c r="D718" s="49"/>
    </row>
    <row r="719" spans="3:4" ht="17" customHeight="1">
      <c r="C719" s="49"/>
      <c r="D719" s="49"/>
    </row>
    <row r="720" spans="3:4" ht="17" customHeight="1">
      <c r="C720" s="49"/>
      <c r="D720" s="49"/>
    </row>
    <row r="721" spans="3:4" ht="17" customHeight="1">
      <c r="C721" s="49"/>
      <c r="D721" s="49"/>
    </row>
    <row r="722" spans="3:4" ht="17" customHeight="1">
      <c r="C722" s="49"/>
      <c r="D722" s="49"/>
    </row>
    <row r="723" spans="3:4" ht="17" customHeight="1">
      <c r="C723" s="49"/>
      <c r="D723" s="49"/>
    </row>
    <row r="724" spans="3:4" ht="17" customHeight="1">
      <c r="C724" s="49"/>
      <c r="D724" s="49"/>
    </row>
    <row r="725" spans="3:4" ht="17" customHeight="1">
      <c r="C725" s="49"/>
      <c r="D725" s="49"/>
    </row>
    <row r="726" spans="3:4" ht="17" customHeight="1">
      <c r="C726" s="49"/>
      <c r="D726" s="49"/>
    </row>
    <row r="727" spans="3:4" ht="17" customHeight="1">
      <c r="C727" s="49"/>
      <c r="D727" s="49"/>
    </row>
    <row r="728" spans="3:4" ht="17" customHeight="1">
      <c r="C728" s="49"/>
      <c r="D728" s="49"/>
    </row>
    <row r="729" spans="3:4" ht="17" customHeight="1">
      <c r="C729" s="49"/>
      <c r="D729" s="49"/>
    </row>
    <row r="730" spans="3:4" ht="17" customHeight="1">
      <c r="C730" s="49"/>
      <c r="D730" s="49"/>
    </row>
    <row r="731" spans="3:4" ht="17" customHeight="1">
      <c r="C731" s="49"/>
      <c r="D731" s="49"/>
    </row>
    <row r="732" spans="3:4" ht="17" customHeight="1">
      <c r="C732" s="49"/>
      <c r="D732" s="49"/>
    </row>
    <row r="733" spans="3:4" ht="17" customHeight="1">
      <c r="C733" s="49"/>
      <c r="D733" s="49"/>
    </row>
    <row r="734" spans="3:4" ht="17" customHeight="1">
      <c r="C734" s="49"/>
      <c r="D734" s="49"/>
    </row>
    <row r="735" spans="3:4" ht="17" customHeight="1">
      <c r="C735" s="49"/>
      <c r="D735" s="49"/>
    </row>
    <row r="736" spans="3:4" ht="17" customHeight="1">
      <c r="C736" s="49"/>
      <c r="D736" s="49"/>
    </row>
    <row r="737" spans="3:4" ht="17" customHeight="1">
      <c r="C737" s="49"/>
      <c r="D737" s="49"/>
    </row>
    <row r="738" spans="3:4" ht="17" customHeight="1">
      <c r="C738" s="49"/>
      <c r="D738" s="49"/>
    </row>
    <row r="739" spans="3:4" ht="17" customHeight="1">
      <c r="C739" s="49"/>
      <c r="D739" s="49"/>
    </row>
    <row r="740" spans="3:4" ht="17" customHeight="1">
      <c r="C740" s="49"/>
      <c r="D740" s="49"/>
    </row>
    <row r="741" spans="3:4" ht="17" customHeight="1">
      <c r="C741" s="49"/>
      <c r="D741" s="49"/>
    </row>
    <row r="742" spans="3:4" ht="17" customHeight="1">
      <c r="C742" s="49"/>
      <c r="D742" s="49"/>
    </row>
    <row r="743" spans="3:4" ht="17" customHeight="1">
      <c r="C743" s="49"/>
      <c r="D743" s="49"/>
    </row>
    <row r="744" spans="3:4" ht="17" customHeight="1">
      <c r="C744" s="49"/>
      <c r="D744" s="49"/>
    </row>
    <row r="745" spans="3:4" ht="17" customHeight="1">
      <c r="C745" s="49"/>
      <c r="D745" s="49"/>
    </row>
    <row r="746" spans="3:4" ht="17" customHeight="1">
      <c r="C746" s="49"/>
      <c r="D746" s="49"/>
    </row>
    <row r="747" spans="3:4" ht="17" customHeight="1">
      <c r="C747" s="49"/>
      <c r="D747" s="49"/>
    </row>
    <row r="748" spans="3:4" ht="17" customHeight="1">
      <c r="C748" s="49"/>
      <c r="D748" s="49"/>
    </row>
    <row r="749" spans="3:4" ht="17" customHeight="1">
      <c r="C749" s="49"/>
      <c r="D749" s="49"/>
    </row>
    <row r="750" spans="3:4" ht="17" customHeight="1">
      <c r="C750" s="49"/>
      <c r="D750" s="49"/>
    </row>
    <row r="751" spans="3:4" ht="17" customHeight="1">
      <c r="C751" s="49"/>
      <c r="D751" s="49"/>
    </row>
    <row r="752" spans="3:4" ht="17" customHeight="1">
      <c r="C752" s="49"/>
      <c r="D752" s="49"/>
    </row>
    <row r="753" spans="3:4" ht="17" customHeight="1">
      <c r="C753" s="49"/>
      <c r="D753" s="49"/>
    </row>
    <row r="754" spans="3:4" ht="17" customHeight="1">
      <c r="C754" s="49"/>
      <c r="D754" s="49"/>
    </row>
    <row r="755" spans="3:4" ht="17" customHeight="1">
      <c r="C755" s="49"/>
      <c r="D755" s="49"/>
    </row>
    <row r="756" spans="3:4" ht="17" customHeight="1">
      <c r="C756" s="49"/>
      <c r="D756" s="49"/>
    </row>
    <row r="757" spans="3:4" ht="17" customHeight="1">
      <c r="C757" s="49"/>
      <c r="D757" s="49"/>
    </row>
    <row r="758" spans="3:4" ht="17" customHeight="1">
      <c r="C758" s="49"/>
      <c r="D758" s="49"/>
    </row>
    <row r="759" spans="3:4" ht="17" customHeight="1">
      <c r="C759" s="49"/>
      <c r="D759" s="49"/>
    </row>
    <row r="760" spans="3:4" ht="17" customHeight="1">
      <c r="C760" s="49"/>
      <c r="D760" s="49"/>
    </row>
    <row r="761" spans="3:4" ht="17" customHeight="1">
      <c r="C761" s="49"/>
      <c r="D761" s="49"/>
    </row>
    <row r="762" spans="3:4" ht="17" customHeight="1">
      <c r="C762" s="49"/>
      <c r="D762" s="49"/>
    </row>
    <row r="763" spans="3:4" ht="17" customHeight="1">
      <c r="C763" s="49"/>
      <c r="D763" s="49"/>
    </row>
    <row r="764" spans="3:4" ht="17" customHeight="1">
      <c r="C764" s="49"/>
      <c r="D764" s="49"/>
    </row>
    <row r="765" spans="3:4" ht="17" customHeight="1">
      <c r="C765" s="49"/>
      <c r="D765" s="49"/>
    </row>
    <row r="766" spans="3:4" ht="17" customHeight="1">
      <c r="C766" s="49"/>
      <c r="D766" s="49"/>
    </row>
    <row r="767" spans="3:4" ht="17" customHeight="1">
      <c r="C767" s="49"/>
      <c r="D767" s="49"/>
    </row>
    <row r="768" spans="3:4" ht="17" customHeight="1">
      <c r="C768" s="49"/>
      <c r="D768" s="49"/>
    </row>
    <row r="769" spans="3:4" ht="17" customHeight="1">
      <c r="C769" s="49"/>
      <c r="D769" s="49"/>
    </row>
    <row r="770" spans="3:4" ht="17" customHeight="1">
      <c r="C770" s="49"/>
      <c r="D770" s="49"/>
    </row>
    <row r="771" spans="3:4" ht="17" customHeight="1">
      <c r="C771" s="49"/>
      <c r="D771" s="49"/>
    </row>
    <row r="772" spans="3:4" ht="17" customHeight="1">
      <c r="C772" s="49"/>
      <c r="D772" s="49"/>
    </row>
    <row r="773" spans="3:4" ht="17" customHeight="1">
      <c r="C773" s="49"/>
      <c r="D773" s="49"/>
    </row>
    <row r="774" spans="3:4" ht="17" customHeight="1">
      <c r="C774" s="49"/>
      <c r="D774" s="49"/>
    </row>
    <row r="775" spans="3:4" ht="17" customHeight="1">
      <c r="C775" s="49"/>
      <c r="D775" s="49"/>
    </row>
    <row r="776" spans="3:4" ht="17" customHeight="1">
      <c r="C776" s="49"/>
      <c r="D776" s="49"/>
    </row>
    <row r="777" spans="3:4" ht="17" customHeight="1">
      <c r="C777" s="49"/>
      <c r="D777" s="49"/>
    </row>
    <row r="778" spans="3:4" ht="17" customHeight="1">
      <c r="C778" s="49"/>
      <c r="D778" s="49"/>
    </row>
    <row r="779" spans="3:4" ht="17" customHeight="1">
      <c r="C779" s="49"/>
      <c r="D779" s="49"/>
    </row>
    <row r="780" spans="3:4" ht="17" customHeight="1">
      <c r="C780" s="49"/>
      <c r="D780" s="49"/>
    </row>
    <row r="781" spans="3:4" ht="17" customHeight="1">
      <c r="C781" s="49"/>
      <c r="D781" s="49"/>
    </row>
    <row r="782" spans="3:4" ht="17" customHeight="1">
      <c r="C782" s="49"/>
      <c r="D782" s="49"/>
    </row>
    <row r="783" spans="3:4" ht="17" customHeight="1">
      <c r="C783" s="49"/>
      <c r="D783" s="49"/>
    </row>
    <row r="784" spans="3:4" ht="17" customHeight="1">
      <c r="C784" s="49"/>
      <c r="D784" s="49"/>
    </row>
    <row r="785" spans="3:4" ht="17" customHeight="1">
      <c r="C785" s="49"/>
      <c r="D785" s="49"/>
    </row>
    <row r="786" spans="3:4" ht="17" customHeight="1">
      <c r="C786" s="49"/>
      <c r="D786" s="49"/>
    </row>
    <row r="787" spans="3:4" ht="17" customHeight="1">
      <c r="C787" s="49"/>
      <c r="D787" s="49"/>
    </row>
    <row r="788" spans="3:4" ht="17" customHeight="1">
      <c r="C788" s="49"/>
      <c r="D788" s="49"/>
    </row>
    <row r="789" spans="3:4" ht="17" customHeight="1">
      <c r="C789" s="49"/>
      <c r="D789" s="49"/>
    </row>
    <row r="790" spans="3:4" ht="17" customHeight="1">
      <c r="C790" s="49"/>
      <c r="D790" s="49"/>
    </row>
    <row r="791" spans="3:4" ht="17" customHeight="1">
      <c r="C791" s="49"/>
      <c r="D791" s="49"/>
    </row>
    <row r="792" spans="3:4" ht="17" customHeight="1">
      <c r="C792" s="49"/>
      <c r="D792" s="49"/>
    </row>
    <row r="793" spans="3:4" ht="17" customHeight="1">
      <c r="C793" s="49"/>
      <c r="D793" s="49"/>
    </row>
    <row r="794" spans="3:4" ht="17" customHeight="1">
      <c r="C794" s="49"/>
      <c r="D794" s="49"/>
    </row>
    <row r="795" spans="3:4" ht="17" customHeight="1">
      <c r="C795" s="49"/>
      <c r="D795" s="49"/>
    </row>
    <row r="796" spans="3:4" ht="17" customHeight="1">
      <c r="C796" s="49"/>
      <c r="D796" s="49"/>
    </row>
    <row r="797" spans="3:4" ht="17" customHeight="1">
      <c r="C797" s="49"/>
      <c r="D797" s="49"/>
    </row>
    <row r="798" spans="3:4" ht="17" customHeight="1">
      <c r="C798" s="49"/>
      <c r="D798" s="49"/>
    </row>
    <row r="799" spans="3:4" ht="17" customHeight="1">
      <c r="C799" s="49"/>
      <c r="D799" s="49"/>
    </row>
    <row r="800" spans="3:4" ht="17" customHeight="1">
      <c r="C800" s="49"/>
      <c r="D800" s="49"/>
    </row>
    <row r="801" spans="3:4" ht="17" customHeight="1">
      <c r="C801" s="49"/>
      <c r="D801" s="49"/>
    </row>
    <row r="802" spans="3:4" ht="17" customHeight="1">
      <c r="C802" s="49"/>
      <c r="D802" s="49"/>
    </row>
    <row r="803" spans="3:4" ht="17" customHeight="1">
      <c r="C803" s="49"/>
      <c r="D803" s="49"/>
    </row>
    <row r="804" spans="3:4" ht="17" customHeight="1">
      <c r="C804" s="49"/>
      <c r="D804" s="49"/>
    </row>
    <row r="805" spans="3:4" ht="17" customHeight="1">
      <c r="C805" s="49"/>
      <c r="D805" s="49"/>
    </row>
    <row r="806" spans="3:4" ht="17" customHeight="1">
      <c r="C806" s="49"/>
      <c r="D806" s="49"/>
    </row>
    <row r="807" spans="3:4" ht="17" customHeight="1">
      <c r="C807" s="49"/>
      <c r="D807" s="49"/>
    </row>
    <row r="808" spans="3:4" ht="17" customHeight="1">
      <c r="C808" s="49"/>
      <c r="D808" s="49"/>
    </row>
    <row r="809" spans="3:4" ht="17" customHeight="1">
      <c r="C809" s="49"/>
      <c r="D809" s="49"/>
    </row>
    <row r="810" spans="3:4" ht="17" customHeight="1">
      <c r="C810" s="49"/>
      <c r="D810" s="49"/>
    </row>
    <row r="811" spans="3:4" ht="17" customHeight="1">
      <c r="C811" s="49"/>
      <c r="D811" s="49"/>
    </row>
    <row r="812" spans="3:4" ht="17" customHeight="1">
      <c r="C812" s="49"/>
      <c r="D812" s="49"/>
    </row>
    <row r="813" spans="3:4" ht="17" customHeight="1">
      <c r="C813" s="49"/>
      <c r="D813" s="49"/>
    </row>
    <row r="814" spans="3:4" ht="17" customHeight="1">
      <c r="C814" s="49"/>
      <c r="D814" s="49"/>
    </row>
    <row r="815" spans="3:4" ht="17" customHeight="1">
      <c r="C815" s="49"/>
      <c r="D815" s="49"/>
    </row>
    <row r="816" spans="3:4" ht="17" customHeight="1">
      <c r="C816" s="49"/>
      <c r="D816" s="49"/>
    </row>
    <row r="817" spans="3:4" ht="17" customHeight="1">
      <c r="C817" s="49"/>
      <c r="D817" s="49"/>
    </row>
    <row r="818" spans="3:4" ht="17" customHeight="1">
      <c r="C818" s="49"/>
      <c r="D818" s="49"/>
    </row>
    <row r="819" spans="3:4" ht="17" customHeight="1">
      <c r="C819" s="49"/>
      <c r="D819" s="49"/>
    </row>
    <row r="820" spans="3:4" ht="17" customHeight="1">
      <c r="C820" s="49"/>
      <c r="D820" s="49"/>
    </row>
    <row r="821" spans="3:4" ht="17" customHeight="1">
      <c r="C821" s="49"/>
      <c r="D821" s="49"/>
    </row>
    <row r="822" spans="3:4" ht="17" customHeight="1">
      <c r="C822" s="49"/>
      <c r="D822" s="49"/>
    </row>
    <row r="823" spans="3:4" ht="17" customHeight="1">
      <c r="C823" s="49"/>
      <c r="D823" s="49"/>
    </row>
    <row r="824" spans="3:4" ht="17" customHeight="1">
      <c r="C824" s="49"/>
      <c r="D824" s="49"/>
    </row>
    <row r="825" spans="3:4" ht="17" customHeight="1">
      <c r="C825" s="49"/>
      <c r="D825" s="49"/>
    </row>
    <row r="826" spans="3:4" ht="17" customHeight="1">
      <c r="C826" s="49"/>
      <c r="D826" s="49"/>
    </row>
    <row r="827" spans="3:4" ht="17" customHeight="1">
      <c r="C827" s="49"/>
      <c r="D827" s="49"/>
    </row>
    <row r="828" spans="3:4" ht="17" customHeight="1">
      <c r="C828" s="49"/>
      <c r="D828" s="49"/>
    </row>
    <row r="829" spans="3:4" ht="17" customHeight="1">
      <c r="C829" s="49"/>
      <c r="D829" s="49"/>
    </row>
    <row r="830" spans="3:4" ht="17" customHeight="1">
      <c r="C830" s="49"/>
      <c r="D830" s="49"/>
    </row>
    <row r="831" spans="3:4" ht="17" customHeight="1">
      <c r="C831" s="49"/>
      <c r="D831" s="49"/>
    </row>
    <row r="832" spans="3:4" ht="17" customHeight="1">
      <c r="C832" s="49"/>
      <c r="D832" s="49"/>
    </row>
    <row r="833" spans="3:4" ht="17" customHeight="1">
      <c r="C833" s="49"/>
      <c r="D833" s="49"/>
    </row>
    <row r="834" spans="3:4" ht="17" customHeight="1">
      <c r="C834" s="49"/>
      <c r="D834" s="49"/>
    </row>
    <row r="835" spans="3:4" ht="17" customHeight="1">
      <c r="C835" s="49"/>
      <c r="D835" s="49"/>
    </row>
    <row r="836" spans="3:4" ht="17" customHeight="1">
      <c r="C836" s="49"/>
      <c r="D836" s="49"/>
    </row>
    <row r="837" spans="3:4" ht="17" customHeight="1">
      <c r="C837" s="49"/>
      <c r="D837" s="49"/>
    </row>
    <row r="838" spans="3:4" ht="17" customHeight="1">
      <c r="C838" s="49"/>
      <c r="D838" s="49"/>
    </row>
    <row r="839" spans="3:4" ht="17" customHeight="1">
      <c r="C839" s="49"/>
      <c r="D839" s="49"/>
    </row>
    <row r="840" spans="3:4" ht="17" customHeight="1">
      <c r="C840" s="49"/>
      <c r="D840" s="49"/>
    </row>
    <row r="841" spans="3:4" ht="17" customHeight="1">
      <c r="C841" s="49"/>
      <c r="D841" s="49"/>
    </row>
    <row r="842" spans="3:4" ht="17" customHeight="1">
      <c r="C842" s="49"/>
      <c r="D842" s="49"/>
    </row>
    <row r="843" spans="3:4" ht="17" customHeight="1">
      <c r="C843" s="49"/>
      <c r="D843" s="49"/>
    </row>
    <row r="844" spans="3:4" ht="17" customHeight="1">
      <c r="C844" s="49"/>
      <c r="D844" s="49"/>
    </row>
    <row r="845" spans="3:4" ht="17" customHeight="1">
      <c r="C845" s="49"/>
      <c r="D845" s="49"/>
    </row>
    <row r="846" spans="3:4" ht="17" customHeight="1">
      <c r="C846" s="49"/>
      <c r="D846" s="49"/>
    </row>
    <row r="847" spans="3:4" ht="17" customHeight="1">
      <c r="C847" s="49"/>
      <c r="D847" s="49"/>
    </row>
    <row r="848" spans="3:4" ht="17" customHeight="1">
      <c r="C848" s="49"/>
      <c r="D848" s="49"/>
    </row>
    <row r="849" spans="3:4" ht="17" customHeight="1">
      <c r="C849" s="49"/>
      <c r="D849" s="49"/>
    </row>
    <row r="850" spans="3:4" ht="17" customHeight="1">
      <c r="C850" s="49"/>
      <c r="D850" s="49"/>
    </row>
    <row r="851" spans="3:4" ht="17" customHeight="1">
      <c r="C851" s="49"/>
      <c r="D851" s="49"/>
    </row>
    <row r="852" spans="3:4" ht="17" customHeight="1">
      <c r="C852" s="49"/>
      <c r="D852" s="49"/>
    </row>
    <row r="853" spans="3:4" ht="17" customHeight="1">
      <c r="C853" s="49"/>
      <c r="D853" s="49"/>
    </row>
    <row r="854" spans="3:4" ht="17" customHeight="1">
      <c r="C854" s="49"/>
      <c r="D854" s="49"/>
    </row>
    <row r="855" spans="3:4" ht="17" customHeight="1">
      <c r="C855" s="49"/>
      <c r="D855" s="49"/>
    </row>
    <row r="856" spans="3:4" ht="17" customHeight="1">
      <c r="C856" s="49"/>
      <c r="D856" s="49"/>
    </row>
    <row r="857" spans="3:4" ht="17" customHeight="1">
      <c r="C857" s="49"/>
      <c r="D857" s="49"/>
    </row>
    <row r="858" spans="3:4" ht="17" customHeight="1">
      <c r="C858" s="49"/>
      <c r="D858" s="49"/>
    </row>
    <row r="859" spans="3:4" ht="17" customHeight="1">
      <c r="C859" s="49"/>
      <c r="D859" s="49"/>
    </row>
    <row r="860" spans="3:4" ht="17" customHeight="1">
      <c r="C860" s="49"/>
      <c r="D860" s="49"/>
    </row>
    <row r="861" spans="3:4" ht="17" customHeight="1">
      <c r="C861" s="49"/>
      <c r="D861" s="49"/>
    </row>
    <row r="862" spans="3:4" ht="17" customHeight="1">
      <c r="C862" s="49"/>
      <c r="D862" s="49"/>
    </row>
    <row r="863" spans="3:4" ht="17" customHeight="1">
      <c r="C863" s="49"/>
      <c r="D863" s="49"/>
    </row>
    <row r="864" spans="3:4" ht="17" customHeight="1">
      <c r="C864" s="49"/>
      <c r="D864" s="49"/>
    </row>
    <row r="865" spans="3:4" ht="17" customHeight="1">
      <c r="C865" s="49"/>
      <c r="D865" s="49"/>
    </row>
    <row r="866" spans="3:4" ht="17" customHeight="1">
      <c r="C866" s="49"/>
      <c r="D866" s="49"/>
    </row>
    <row r="867" spans="3:4" ht="17" customHeight="1">
      <c r="C867" s="49"/>
      <c r="D867" s="49"/>
    </row>
    <row r="868" spans="3:4" ht="17" customHeight="1">
      <c r="C868" s="49"/>
      <c r="D868" s="49"/>
    </row>
    <row r="869" spans="3:4" ht="17" customHeight="1">
      <c r="C869" s="49"/>
      <c r="D869" s="49"/>
    </row>
    <row r="870" spans="3:4" ht="17" customHeight="1">
      <c r="C870" s="49"/>
      <c r="D870" s="49"/>
    </row>
    <row r="871" spans="3:4" ht="17" customHeight="1">
      <c r="C871" s="49"/>
      <c r="D871" s="49"/>
    </row>
    <row r="872" spans="3:4" ht="17" customHeight="1">
      <c r="C872" s="49"/>
      <c r="D872" s="49"/>
    </row>
    <row r="873" spans="3:4" ht="17" customHeight="1">
      <c r="C873" s="49"/>
      <c r="D873" s="49"/>
    </row>
    <row r="874" spans="3:4" ht="17" customHeight="1">
      <c r="C874" s="49"/>
      <c r="D874" s="49"/>
    </row>
    <row r="875" spans="3:4" ht="17" customHeight="1">
      <c r="C875" s="49"/>
      <c r="D875" s="49"/>
    </row>
    <row r="876" spans="3:4" ht="17" customHeight="1">
      <c r="C876" s="49"/>
      <c r="D876" s="49"/>
    </row>
    <row r="877" spans="3:4" ht="17" customHeight="1">
      <c r="C877" s="49"/>
      <c r="D877" s="49"/>
    </row>
    <row r="878" spans="3:4" ht="17" customHeight="1">
      <c r="C878" s="49"/>
      <c r="D878" s="49"/>
    </row>
    <row r="879" spans="3:4" ht="17" customHeight="1">
      <c r="C879" s="49"/>
      <c r="D879" s="49"/>
    </row>
    <row r="880" spans="3:4" ht="17" customHeight="1">
      <c r="C880" s="49"/>
      <c r="D880" s="49"/>
    </row>
    <row r="881" spans="3:4" ht="17" customHeight="1">
      <c r="C881" s="49"/>
      <c r="D881" s="49"/>
    </row>
    <row r="882" spans="3:4" ht="17" customHeight="1">
      <c r="C882" s="49"/>
      <c r="D882" s="49"/>
    </row>
    <row r="883" spans="3:4" ht="17" customHeight="1">
      <c r="C883" s="49"/>
      <c r="D883" s="49"/>
    </row>
    <row r="884" spans="3:4" ht="17" customHeight="1">
      <c r="C884" s="49"/>
      <c r="D884" s="49"/>
    </row>
    <row r="885" spans="3:4" ht="17" customHeight="1">
      <c r="C885" s="49"/>
      <c r="D885" s="49"/>
    </row>
    <row r="886" spans="3:4" ht="17" customHeight="1">
      <c r="C886" s="49"/>
      <c r="D886" s="49"/>
    </row>
    <row r="887" spans="3:4" ht="17" customHeight="1">
      <c r="C887" s="49"/>
      <c r="D887" s="49"/>
    </row>
    <row r="888" spans="3:4" ht="17" customHeight="1">
      <c r="C888" s="49"/>
      <c r="D888" s="49"/>
    </row>
    <row r="889" spans="3:4" ht="17" customHeight="1">
      <c r="C889" s="49"/>
      <c r="D889" s="49"/>
    </row>
    <row r="890" spans="3:4" ht="17" customHeight="1">
      <c r="C890" s="49"/>
      <c r="D890" s="49"/>
    </row>
    <row r="891" spans="3:4" ht="17" customHeight="1">
      <c r="C891" s="49"/>
      <c r="D891" s="49"/>
    </row>
    <row r="892" spans="3:4" ht="17" customHeight="1">
      <c r="C892" s="49"/>
      <c r="D892" s="49"/>
    </row>
    <row r="893" spans="3:4" ht="17" customHeight="1">
      <c r="C893" s="49"/>
      <c r="D893" s="49"/>
    </row>
    <row r="894" spans="3:4" ht="17" customHeight="1">
      <c r="C894" s="49"/>
      <c r="D894" s="49"/>
    </row>
    <row r="895" spans="3:4" ht="17" customHeight="1">
      <c r="C895" s="49"/>
      <c r="D895" s="49"/>
    </row>
    <row r="896" spans="3:4" ht="17" customHeight="1">
      <c r="C896" s="49"/>
      <c r="D896" s="49"/>
    </row>
    <row r="897" spans="3:4" ht="17" customHeight="1">
      <c r="C897" s="49"/>
      <c r="D897" s="49"/>
    </row>
    <row r="898" spans="3:4" ht="17" customHeight="1">
      <c r="C898" s="49"/>
      <c r="D898" s="49"/>
    </row>
    <row r="899" spans="3:4" ht="17" customHeight="1">
      <c r="C899" s="49"/>
      <c r="D899" s="49"/>
    </row>
    <row r="900" spans="3:4" ht="17" customHeight="1">
      <c r="C900" s="49"/>
      <c r="D900" s="49"/>
    </row>
    <row r="901" spans="3:4" ht="17" customHeight="1">
      <c r="C901" s="49"/>
      <c r="D901" s="49"/>
    </row>
    <row r="902" spans="3:4" ht="17" customHeight="1">
      <c r="C902" s="49"/>
      <c r="D902" s="49"/>
    </row>
    <row r="903" spans="3:4" ht="17" customHeight="1">
      <c r="C903" s="49"/>
      <c r="D903" s="49"/>
    </row>
    <row r="904" spans="3:4" ht="17" customHeight="1">
      <c r="C904" s="49"/>
      <c r="D904" s="49"/>
    </row>
    <row r="905" spans="3:4" ht="17" customHeight="1">
      <c r="C905" s="49"/>
      <c r="D905" s="49"/>
    </row>
    <row r="906" spans="3:4" ht="17" customHeight="1">
      <c r="C906" s="49"/>
      <c r="D906" s="49"/>
    </row>
    <row r="907" spans="3:4" ht="17" customHeight="1">
      <c r="C907" s="49"/>
      <c r="D907" s="49"/>
    </row>
    <row r="908" spans="3:4" ht="17" customHeight="1">
      <c r="C908" s="49"/>
      <c r="D908" s="49"/>
    </row>
    <row r="909" spans="3:4" ht="17" customHeight="1">
      <c r="C909" s="49"/>
      <c r="D909" s="49"/>
    </row>
    <row r="910" spans="3:4" ht="17" customHeight="1">
      <c r="C910" s="49"/>
      <c r="D910" s="49"/>
    </row>
    <row r="911" spans="3:4" ht="17" customHeight="1">
      <c r="C911" s="49"/>
      <c r="D911" s="49"/>
    </row>
    <row r="912" spans="3:4" ht="17" customHeight="1">
      <c r="C912" s="49"/>
      <c r="D912" s="49"/>
    </row>
    <row r="913" spans="3:4" ht="17" customHeight="1">
      <c r="C913" s="49"/>
      <c r="D913" s="49"/>
    </row>
    <row r="914" spans="3:4" ht="17" customHeight="1">
      <c r="C914" s="49"/>
      <c r="D914" s="49"/>
    </row>
    <row r="915" spans="3:4" ht="17" customHeight="1">
      <c r="C915" s="49"/>
      <c r="D915" s="49"/>
    </row>
    <row r="916" spans="3:4" ht="17" customHeight="1">
      <c r="C916" s="49"/>
      <c r="D916" s="49"/>
    </row>
    <row r="917" spans="3:4" ht="17" customHeight="1">
      <c r="C917" s="49"/>
      <c r="D917" s="49"/>
    </row>
    <row r="918" spans="3:4" ht="17" customHeight="1">
      <c r="C918" s="49"/>
      <c r="D918" s="49"/>
    </row>
    <row r="919" spans="3:4" ht="17" customHeight="1">
      <c r="C919" s="49"/>
      <c r="D919" s="49"/>
    </row>
    <row r="920" spans="3:4" ht="17" customHeight="1">
      <c r="C920" s="49"/>
      <c r="D920" s="49"/>
    </row>
    <row r="921" spans="3:4" ht="17" customHeight="1">
      <c r="C921" s="49"/>
      <c r="D921" s="49"/>
    </row>
    <row r="922" spans="3:4" ht="17" customHeight="1">
      <c r="C922" s="49"/>
      <c r="D922" s="49"/>
    </row>
    <row r="923" spans="3:4" ht="17" customHeight="1">
      <c r="C923" s="49"/>
      <c r="D923" s="49"/>
    </row>
    <row r="924" spans="3:4" ht="17" customHeight="1">
      <c r="C924" s="49"/>
      <c r="D924" s="49"/>
    </row>
    <row r="925" spans="3:4" ht="17" customHeight="1">
      <c r="C925" s="49"/>
      <c r="D925" s="49"/>
    </row>
    <row r="926" spans="3:4" ht="17" customHeight="1">
      <c r="C926" s="49"/>
      <c r="D926" s="49"/>
    </row>
    <row r="927" spans="3:4" ht="17" customHeight="1">
      <c r="C927" s="49"/>
      <c r="D927" s="49"/>
    </row>
    <row r="928" spans="3:4" ht="17" customHeight="1">
      <c r="C928" s="49"/>
      <c r="D928" s="49"/>
    </row>
    <row r="929" spans="3:4" ht="17" customHeight="1">
      <c r="C929" s="49"/>
      <c r="D929" s="49"/>
    </row>
    <row r="930" spans="3:4" ht="17" customHeight="1">
      <c r="C930" s="49"/>
      <c r="D930" s="49"/>
    </row>
    <row r="931" spans="3:4" ht="17" customHeight="1">
      <c r="C931" s="49"/>
      <c r="D931" s="49"/>
    </row>
    <row r="932" spans="3:4" ht="17" customHeight="1">
      <c r="C932" s="49"/>
      <c r="D932" s="49"/>
    </row>
    <row r="933" spans="3:4" ht="17" customHeight="1">
      <c r="C933" s="49"/>
      <c r="D933" s="49"/>
    </row>
    <row r="934" spans="3:4" ht="17" customHeight="1">
      <c r="C934" s="49"/>
      <c r="D934" s="49"/>
    </row>
    <row r="935" spans="3:4" ht="17" customHeight="1">
      <c r="C935" s="49"/>
      <c r="D935" s="49"/>
    </row>
    <row r="936" spans="3:4" ht="17" customHeight="1">
      <c r="C936" s="49"/>
      <c r="D936" s="49"/>
    </row>
    <row r="937" spans="3:4" ht="17" customHeight="1">
      <c r="C937" s="49"/>
      <c r="D937" s="49"/>
    </row>
    <row r="938" spans="3:4" ht="17" customHeight="1">
      <c r="C938" s="49"/>
      <c r="D938" s="49"/>
    </row>
    <row r="939" spans="3:4" ht="17" customHeight="1">
      <c r="C939" s="49"/>
      <c r="D939" s="49"/>
    </row>
    <row r="940" spans="3:4" ht="17" customHeight="1">
      <c r="C940" s="49"/>
      <c r="D940" s="49"/>
    </row>
    <row r="941" spans="3:4" ht="17" customHeight="1">
      <c r="C941" s="49"/>
      <c r="D941" s="49"/>
    </row>
    <row r="942" spans="3:4" ht="17" customHeight="1">
      <c r="C942" s="49"/>
      <c r="D942" s="49"/>
    </row>
    <row r="943" spans="3:4" ht="17" customHeight="1">
      <c r="C943" s="49"/>
      <c r="D943" s="49"/>
    </row>
    <row r="944" spans="3:4" ht="17" customHeight="1">
      <c r="C944" s="49"/>
      <c r="D944" s="49"/>
    </row>
    <row r="945" spans="3:4" ht="17" customHeight="1">
      <c r="C945" s="49"/>
      <c r="D945" s="49"/>
    </row>
    <row r="946" spans="3:4" ht="17" customHeight="1">
      <c r="C946" s="49"/>
      <c r="D946" s="49"/>
    </row>
    <row r="947" spans="3:4" ht="17" customHeight="1">
      <c r="C947" s="49"/>
      <c r="D947" s="49"/>
    </row>
    <row r="948" spans="3:4" ht="17" customHeight="1">
      <c r="C948" s="49"/>
      <c r="D948" s="49"/>
    </row>
    <row r="949" spans="3:4" ht="17" customHeight="1">
      <c r="C949" s="49"/>
      <c r="D949" s="49"/>
    </row>
    <row r="950" spans="3:4" ht="17" customHeight="1">
      <c r="C950" s="49"/>
      <c r="D950" s="49"/>
    </row>
    <row r="951" spans="3:4" ht="17" customHeight="1">
      <c r="C951" s="49"/>
      <c r="D951" s="49"/>
    </row>
    <row r="952" spans="3:4" ht="17" customHeight="1">
      <c r="C952" s="49"/>
      <c r="D952" s="49"/>
    </row>
    <row r="953" spans="3:4" ht="17" customHeight="1">
      <c r="C953" s="49"/>
      <c r="D953" s="49"/>
    </row>
    <row r="954" spans="3:4" ht="17" customHeight="1">
      <c r="C954" s="49"/>
      <c r="D954" s="49"/>
    </row>
    <row r="955" spans="3:4" ht="17" customHeight="1">
      <c r="C955" s="49"/>
      <c r="D955" s="49"/>
    </row>
    <row r="956" spans="3:4" ht="17" customHeight="1">
      <c r="C956" s="49"/>
      <c r="D956" s="49"/>
    </row>
    <row r="957" spans="3:4" ht="17" customHeight="1">
      <c r="C957" s="49"/>
      <c r="D957" s="49"/>
    </row>
    <row r="958" spans="3:4" ht="17" customHeight="1">
      <c r="C958" s="49"/>
      <c r="D958" s="49"/>
    </row>
    <row r="959" spans="3:4" ht="17" customHeight="1">
      <c r="C959" s="49"/>
      <c r="D959" s="49"/>
    </row>
    <row r="960" spans="3:4" ht="17" customHeight="1">
      <c r="C960" s="49"/>
      <c r="D960" s="49"/>
    </row>
    <row r="961" spans="3:4" ht="17" customHeight="1">
      <c r="C961" s="49"/>
      <c r="D961" s="49"/>
    </row>
    <row r="962" spans="3:4" ht="17" customHeight="1">
      <c r="C962" s="49"/>
      <c r="D962" s="49"/>
    </row>
    <row r="963" spans="3:4" ht="17" customHeight="1">
      <c r="C963" s="49"/>
      <c r="D963" s="49"/>
    </row>
    <row r="964" spans="3:4" ht="17" customHeight="1">
      <c r="C964" s="49"/>
      <c r="D964" s="49"/>
    </row>
    <row r="965" spans="3:4" ht="17" customHeight="1">
      <c r="C965" s="49"/>
      <c r="D965" s="49"/>
    </row>
    <row r="966" spans="3:4" ht="17" customHeight="1">
      <c r="C966" s="49"/>
      <c r="D966" s="49"/>
    </row>
    <row r="967" spans="3:4" ht="17" customHeight="1">
      <c r="C967" s="49"/>
      <c r="D967" s="49"/>
    </row>
    <row r="968" spans="3:4" ht="17" customHeight="1">
      <c r="C968" s="49"/>
      <c r="D968" s="49"/>
    </row>
    <row r="969" spans="3:4" ht="17" customHeight="1">
      <c r="C969" s="49"/>
      <c r="D969" s="49"/>
    </row>
  </sheetData>
  <sortState xmlns:xlrd2="http://schemas.microsoft.com/office/spreadsheetml/2017/richdata2" ref="A1:J969">
    <sortCondition ref="C1:C969"/>
  </sortState>
  <conditionalFormatting sqref="C2 C397:C969 D2:H969">
    <cfRule type="notContainsBlanks" dxfId="3" priority="3">
      <formula>LEN(TRIM(C2))&gt;0</formula>
    </cfRule>
  </conditionalFormatting>
  <conditionalFormatting sqref="E3">
    <cfRule type="colorScale" priority="5">
      <colorScale>
        <cfvo type="min"/>
        <cfvo type="max"/>
        <color rgb="FF57BB8A"/>
        <color rgb="FFFFFFFF"/>
      </colorScale>
    </cfRule>
  </conditionalFormatting>
  <conditionalFormatting sqref="D1:G1">
    <cfRule type="notContainsBlanks" dxfId="2" priority="1">
      <formula>LEN(TRIM(D1))&gt;0</formula>
    </cfRule>
  </conditionalFormatting>
  <conditionalFormatting sqref="H1">
    <cfRule type="notContainsBlanks" dxfId="1" priority="2">
      <formula>LEN(TRIM(H1))&gt;0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69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3984375" defaultRowHeight="15" customHeight="1"/>
  <cols>
    <col min="1" max="1" width="11.59765625" customWidth="1"/>
    <col min="2" max="2" width="23.19921875" customWidth="1"/>
    <col min="3" max="3" width="26.59765625" customWidth="1"/>
    <col min="4" max="4" width="0.3984375" customWidth="1"/>
    <col min="5" max="5" width="12.796875" customWidth="1"/>
    <col min="6" max="6" width="4.796875" customWidth="1"/>
    <col min="7" max="8" width="3.19921875" customWidth="1"/>
    <col min="9" max="11" width="8.796875" customWidth="1"/>
  </cols>
  <sheetData>
    <row r="1" spans="1:10">
      <c r="A1" s="1" t="s">
        <v>466</v>
      </c>
      <c r="B1" s="2" t="s">
        <v>1</v>
      </c>
      <c r="C1" s="29" t="s">
        <v>467</v>
      </c>
      <c r="D1" s="30"/>
      <c r="E1" s="3" t="s">
        <v>468</v>
      </c>
      <c r="F1" s="4"/>
      <c r="G1" s="28"/>
      <c r="H1" s="27"/>
      <c r="I1" s="5" t="s">
        <v>4</v>
      </c>
      <c r="J1" s="5" t="s">
        <v>5</v>
      </c>
    </row>
    <row r="2" spans="1:10">
      <c r="A2" s="6">
        <v>44371</v>
      </c>
      <c r="B2" s="7"/>
      <c r="C2" s="26">
        <v>1656</v>
      </c>
      <c r="D2" s="27"/>
      <c r="E2" s="8">
        <v>6500</v>
      </c>
      <c r="F2" s="9"/>
      <c r="G2" s="28"/>
      <c r="H2" s="27"/>
      <c r="I2" s="10" t="s">
        <v>7</v>
      </c>
      <c r="J2" s="11">
        <v>824</v>
      </c>
    </row>
    <row r="3" spans="1:10">
      <c r="A3" s="6">
        <v>44371</v>
      </c>
      <c r="B3" s="7"/>
      <c r="C3" s="26">
        <v>1125</v>
      </c>
      <c r="D3" s="27"/>
      <c r="E3" s="14">
        <v>20</v>
      </c>
      <c r="F3" s="9"/>
      <c r="G3" s="28"/>
      <c r="H3" s="27"/>
      <c r="I3" s="12" t="s">
        <v>9</v>
      </c>
      <c r="J3" s="11">
        <v>1312</v>
      </c>
    </row>
    <row r="4" spans="1:10">
      <c r="A4" s="6">
        <v>44371</v>
      </c>
      <c r="B4" s="7"/>
      <c r="C4" s="26">
        <v>726</v>
      </c>
      <c r="D4" s="27"/>
      <c r="E4" s="8">
        <v>4555.41</v>
      </c>
      <c r="F4" s="9"/>
      <c r="G4" s="28"/>
      <c r="H4" s="27"/>
      <c r="I4" s="10" t="s">
        <v>11</v>
      </c>
      <c r="J4" s="11">
        <v>405</v>
      </c>
    </row>
    <row r="5" spans="1:10">
      <c r="A5" s="6">
        <v>44371</v>
      </c>
      <c r="B5" s="7"/>
      <c r="C5" s="26">
        <v>468</v>
      </c>
      <c r="D5" s="27"/>
      <c r="E5" s="8">
        <v>6500</v>
      </c>
      <c r="F5" s="9"/>
      <c r="G5" s="28"/>
      <c r="H5" s="27"/>
      <c r="I5" s="10" t="s">
        <v>12</v>
      </c>
      <c r="J5" s="11">
        <v>1655</v>
      </c>
    </row>
    <row r="6" spans="1:10">
      <c r="A6" s="6">
        <v>44371</v>
      </c>
      <c r="B6" s="7"/>
      <c r="C6" s="26">
        <v>452</v>
      </c>
      <c r="D6" s="27"/>
      <c r="E6" s="8">
        <v>2870</v>
      </c>
      <c r="F6" s="9"/>
      <c r="G6" s="28"/>
      <c r="H6" s="27"/>
      <c r="I6" s="10" t="s">
        <v>14</v>
      </c>
      <c r="J6" s="11">
        <v>1054</v>
      </c>
    </row>
    <row r="7" spans="1:10">
      <c r="A7" s="6">
        <v>44371</v>
      </c>
      <c r="B7" s="7"/>
      <c r="C7" s="26">
        <v>344</v>
      </c>
      <c r="D7" s="27"/>
      <c r="E7" s="14">
        <v>0.04</v>
      </c>
      <c r="F7" s="9"/>
      <c r="G7" s="28"/>
      <c r="H7" s="27"/>
      <c r="I7" s="10" t="s">
        <v>15</v>
      </c>
      <c r="J7" s="11">
        <v>1203</v>
      </c>
    </row>
    <row r="8" spans="1:10">
      <c r="A8" s="6">
        <v>44371</v>
      </c>
      <c r="B8" s="7"/>
      <c r="C8" s="26">
        <v>22</v>
      </c>
      <c r="D8" s="27"/>
      <c r="E8" s="8">
        <v>8000</v>
      </c>
      <c r="F8" s="9"/>
      <c r="G8" s="28"/>
      <c r="H8" s="27"/>
      <c r="I8" s="10" t="s">
        <v>16</v>
      </c>
      <c r="J8" s="11">
        <v>1369</v>
      </c>
    </row>
    <row r="9" spans="1:10">
      <c r="A9" s="6">
        <v>44371</v>
      </c>
      <c r="B9" s="7"/>
      <c r="C9" s="26">
        <v>1695</v>
      </c>
      <c r="D9" s="27"/>
      <c r="E9" s="8">
        <v>59222.9</v>
      </c>
      <c r="F9" s="9"/>
      <c r="G9" s="28"/>
      <c r="H9" s="27"/>
      <c r="I9" s="10" t="s">
        <v>18</v>
      </c>
      <c r="J9" s="11">
        <v>1565</v>
      </c>
    </row>
    <row r="10" spans="1:10">
      <c r="A10" s="6">
        <v>44371</v>
      </c>
      <c r="B10" s="7"/>
      <c r="C10" s="26">
        <v>568</v>
      </c>
      <c r="D10" s="27"/>
      <c r="E10" s="8">
        <v>1580.71</v>
      </c>
      <c r="F10" s="9"/>
      <c r="G10" s="28"/>
      <c r="H10" s="27"/>
      <c r="I10" s="12" t="s">
        <v>19</v>
      </c>
      <c r="J10" s="11">
        <v>1958</v>
      </c>
    </row>
    <row r="11" spans="1:10">
      <c r="A11" s="6">
        <v>44371</v>
      </c>
      <c r="B11" s="21"/>
      <c r="C11" s="26">
        <v>494</v>
      </c>
      <c r="D11" s="27"/>
      <c r="E11" s="14">
        <v>541.78</v>
      </c>
      <c r="F11" s="9"/>
      <c r="G11" s="28"/>
      <c r="H11" s="27"/>
      <c r="I11" s="10" t="s">
        <v>20</v>
      </c>
      <c r="J11" s="11">
        <v>1513</v>
      </c>
    </row>
    <row r="12" spans="1:10">
      <c r="A12" s="6">
        <v>44371</v>
      </c>
      <c r="B12" s="7"/>
      <c r="C12" s="26">
        <v>74</v>
      </c>
      <c r="D12" s="27"/>
      <c r="E12" s="8">
        <v>2776</v>
      </c>
      <c r="F12" s="9"/>
      <c r="G12" s="28"/>
      <c r="H12" s="27"/>
      <c r="I12" s="12" t="s">
        <v>22</v>
      </c>
      <c r="J12" s="11">
        <v>1433</v>
      </c>
    </row>
    <row r="13" spans="1:10">
      <c r="A13" s="6">
        <v>44371</v>
      </c>
      <c r="B13" s="7"/>
      <c r="C13" s="26">
        <v>25</v>
      </c>
      <c r="D13" s="27"/>
      <c r="E13" s="8">
        <v>14400</v>
      </c>
      <c r="F13" s="9"/>
      <c r="G13" s="28"/>
      <c r="H13" s="27"/>
      <c r="I13" s="10" t="s">
        <v>23</v>
      </c>
      <c r="J13" s="11">
        <v>1433</v>
      </c>
    </row>
    <row r="14" spans="1:10">
      <c r="A14" s="6">
        <v>44371</v>
      </c>
      <c r="B14" s="7"/>
      <c r="C14" s="26">
        <v>1997</v>
      </c>
      <c r="D14" s="27"/>
      <c r="E14" s="14">
        <v>150</v>
      </c>
      <c r="F14" s="9"/>
      <c r="G14" s="28"/>
      <c r="H14" s="27"/>
      <c r="I14" s="10" t="s">
        <v>24</v>
      </c>
      <c r="J14" s="11">
        <v>769</v>
      </c>
    </row>
    <row r="15" spans="1:10">
      <c r="A15" s="6">
        <v>44371</v>
      </c>
      <c r="B15" s="7"/>
      <c r="C15" s="26">
        <v>1996</v>
      </c>
      <c r="D15" s="27"/>
      <c r="E15" s="14">
        <v>250</v>
      </c>
      <c r="F15" s="9"/>
      <c r="G15" s="28"/>
      <c r="H15" s="27"/>
      <c r="I15" s="10" t="s">
        <v>25</v>
      </c>
      <c r="J15" s="11">
        <v>1132</v>
      </c>
    </row>
    <row r="16" spans="1:10">
      <c r="A16" s="6">
        <v>44371</v>
      </c>
      <c r="B16" s="7"/>
      <c r="C16" s="26">
        <v>1991</v>
      </c>
      <c r="D16" s="27"/>
      <c r="E16" s="14">
        <v>300</v>
      </c>
      <c r="F16" s="9"/>
      <c r="G16" s="28"/>
      <c r="H16" s="27"/>
      <c r="I16" s="10" t="s">
        <v>26</v>
      </c>
      <c r="J16" s="11">
        <v>748</v>
      </c>
    </row>
    <row r="17" spans="1:10">
      <c r="A17" s="6">
        <v>44371</v>
      </c>
      <c r="B17" s="7"/>
      <c r="C17" s="26">
        <v>1990</v>
      </c>
      <c r="D17" s="27"/>
      <c r="E17" s="14">
        <v>205</v>
      </c>
      <c r="F17" s="9"/>
      <c r="G17" s="28"/>
      <c r="H17" s="27"/>
      <c r="I17" s="12" t="s">
        <v>27</v>
      </c>
      <c r="J17" s="11">
        <v>196</v>
      </c>
    </row>
    <row r="18" spans="1:10">
      <c r="A18" s="6">
        <v>44371</v>
      </c>
      <c r="B18" s="7"/>
      <c r="C18" s="26">
        <v>1974</v>
      </c>
      <c r="D18" s="27"/>
      <c r="E18" s="8">
        <v>1170.83</v>
      </c>
      <c r="F18" s="9"/>
      <c r="G18" s="28"/>
      <c r="H18" s="27"/>
      <c r="I18" s="12" t="s">
        <v>29</v>
      </c>
      <c r="J18" s="11">
        <v>291</v>
      </c>
    </row>
    <row r="19" spans="1:10">
      <c r="A19" s="6">
        <v>44371</v>
      </c>
      <c r="B19" s="7"/>
      <c r="C19" s="26">
        <v>1960</v>
      </c>
      <c r="D19" s="27"/>
      <c r="E19" s="14">
        <v>8.16</v>
      </c>
      <c r="F19" s="9"/>
      <c r="G19" s="28"/>
      <c r="H19" s="27"/>
      <c r="I19" s="10" t="s">
        <v>31</v>
      </c>
      <c r="J19" s="11">
        <v>1103</v>
      </c>
    </row>
    <row r="20" spans="1:10">
      <c r="A20" s="6">
        <v>44371</v>
      </c>
      <c r="B20" s="7"/>
      <c r="C20" s="26">
        <v>1958</v>
      </c>
      <c r="D20" s="27"/>
      <c r="E20" s="8">
        <v>1100</v>
      </c>
      <c r="F20" s="9"/>
      <c r="G20" s="28"/>
      <c r="H20" s="27"/>
      <c r="I20" s="12" t="s">
        <v>32</v>
      </c>
      <c r="J20" s="11">
        <v>26</v>
      </c>
    </row>
    <row r="21" spans="1:10">
      <c r="A21" s="6">
        <v>44371</v>
      </c>
      <c r="B21" s="7"/>
      <c r="C21" s="26">
        <v>1951</v>
      </c>
      <c r="D21" s="27"/>
      <c r="E21" s="14">
        <v>6.32</v>
      </c>
      <c r="F21" s="9"/>
      <c r="G21" s="28"/>
      <c r="H21" s="27"/>
      <c r="I21" s="12" t="s">
        <v>33</v>
      </c>
      <c r="J21" s="11">
        <v>745</v>
      </c>
    </row>
    <row r="22" spans="1:10">
      <c r="A22" s="6">
        <v>44371</v>
      </c>
      <c r="B22" s="7"/>
      <c r="C22" s="26">
        <v>1950</v>
      </c>
      <c r="D22" s="27"/>
      <c r="E22" s="14">
        <v>150</v>
      </c>
      <c r="F22" s="9"/>
      <c r="G22" s="28"/>
      <c r="H22" s="27"/>
      <c r="I22" s="12" t="s">
        <v>35</v>
      </c>
      <c r="J22" s="11">
        <v>17</v>
      </c>
    </row>
    <row r="23" spans="1:10">
      <c r="A23" s="6">
        <v>44371</v>
      </c>
      <c r="B23" s="7"/>
      <c r="C23" s="26">
        <v>1948</v>
      </c>
      <c r="D23" s="27"/>
      <c r="E23" s="8">
        <v>1440</v>
      </c>
      <c r="F23" s="9"/>
      <c r="G23" s="28"/>
      <c r="H23" s="27"/>
      <c r="I23" s="10" t="s">
        <v>36</v>
      </c>
      <c r="J23" s="11">
        <v>767</v>
      </c>
    </row>
    <row r="24" spans="1:10">
      <c r="A24" s="6">
        <v>44371</v>
      </c>
      <c r="B24" s="7"/>
      <c r="C24" s="26">
        <v>1946</v>
      </c>
      <c r="D24" s="27"/>
      <c r="E24" s="14">
        <v>130</v>
      </c>
      <c r="F24" s="9"/>
      <c r="G24" s="28"/>
      <c r="H24" s="27"/>
      <c r="I24" s="12" t="s">
        <v>37</v>
      </c>
      <c r="J24" s="11">
        <v>746</v>
      </c>
    </row>
    <row r="25" spans="1:10">
      <c r="A25" s="6">
        <v>44371</v>
      </c>
      <c r="B25" s="7"/>
      <c r="C25" s="26">
        <v>1944</v>
      </c>
      <c r="D25" s="27"/>
      <c r="E25" s="14">
        <v>150</v>
      </c>
      <c r="F25" s="9"/>
      <c r="G25" s="28"/>
      <c r="H25" s="27"/>
      <c r="I25" s="10" t="s">
        <v>38</v>
      </c>
      <c r="J25" s="11">
        <v>686</v>
      </c>
    </row>
    <row r="26" spans="1:10">
      <c r="A26" s="6">
        <v>44371</v>
      </c>
      <c r="B26" s="7"/>
      <c r="C26" s="26">
        <v>1940</v>
      </c>
      <c r="D26" s="27"/>
      <c r="E26" s="14">
        <v>16.809999999999999</v>
      </c>
      <c r="F26" s="9"/>
      <c r="G26" s="28"/>
      <c r="H26" s="27"/>
      <c r="I26" s="12" t="s">
        <v>39</v>
      </c>
      <c r="J26" s="11">
        <v>1486</v>
      </c>
    </row>
    <row r="27" spans="1:10">
      <c r="A27" s="6">
        <v>44371</v>
      </c>
      <c r="B27" s="7"/>
      <c r="C27" s="26">
        <v>1938</v>
      </c>
      <c r="D27" s="27"/>
      <c r="E27" s="14">
        <v>362.9</v>
      </c>
      <c r="F27" s="9"/>
      <c r="G27" s="28"/>
      <c r="H27" s="27"/>
      <c r="I27" s="12" t="s">
        <v>40</v>
      </c>
      <c r="J27" s="11">
        <v>1972</v>
      </c>
    </row>
    <row r="28" spans="1:10">
      <c r="A28" s="6">
        <v>44371</v>
      </c>
      <c r="B28" s="7"/>
      <c r="C28" s="26">
        <v>1934</v>
      </c>
      <c r="D28" s="27"/>
      <c r="E28" s="8">
        <v>2340</v>
      </c>
      <c r="F28" s="9"/>
      <c r="G28" s="28"/>
      <c r="H28" s="27"/>
      <c r="I28" s="10" t="s">
        <v>41</v>
      </c>
      <c r="J28" s="11">
        <v>452</v>
      </c>
    </row>
    <row r="29" spans="1:10">
      <c r="A29" s="6">
        <v>44371</v>
      </c>
      <c r="B29" s="7"/>
      <c r="C29" s="26">
        <v>1908</v>
      </c>
      <c r="D29" s="27"/>
      <c r="E29" s="14">
        <v>114.57</v>
      </c>
      <c r="F29" s="9"/>
      <c r="G29" s="28"/>
      <c r="H29" s="27"/>
      <c r="I29" s="10" t="s">
        <v>42</v>
      </c>
      <c r="J29" s="11">
        <v>22</v>
      </c>
    </row>
    <row r="30" spans="1:10">
      <c r="A30" s="6">
        <v>44371</v>
      </c>
      <c r="B30" s="7"/>
      <c r="C30" s="26">
        <v>1899</v>
      </c>
      <c r="D30" s="27"/>
      <c r="E30" s="14">
        <v>300</v>
      </c>
      <c r="F30" s="9"/>
      <c r="G30" s="28"/>
      <c r="H30" s="27"/>
      <c r="I30" s="12" t="s">
        <v>43</v>
      </c>
      <c r="J30" s="11">
        <v>154</v>
      </c>
    </row>
    <row r="31" spans="1:10">
      <c r="A31" s="6">
        <v>44371</v>
      </c>
      <c r="B31" s="7"/>
      <c r="C31" s="26">
        <v>1886</v>
      </c>
      <c r="D31" s="27"/>
      <c r="E31" s="14">
        <v>300</v>
      </c>
      <c r="F31" s="9"/>
      <c r="G31" s="28"/>
      <c r="H31" s="27"/>
      <c r="I31" s="10" t="s">
        <v>44</v>
      </c>
      <c r="J31" s="11">
        <v>1149</v>
      </c>
    </row>
    <row r="32" spans="1:10">
      <c r="A32" s="6">
        <v>44371</v>
      </c>
      <c r="B32" s="7"/>
      <c r="C32" s="26">
        <v>1881</v>
      </c>
      <c r="D32" s="27"/>
      <c r="E32" s="14">
        <v>200</v>
      </c>
      <c r="F32" s="9"/>
      <c r="G32" s="28"/>
      <c r="H32" s="27"/>
      <c r="I32" s="10" t="s">
        <v>45</v>
      </c>
      <c r="J32" s="11">
        <v>1057</v>
      </c>
    </row>
    <row r="33" spans="1:10">
      <c r="A33" s="6">
        <v>44371</v>
      </c>
      <c r="B33" s="7"/>
      <c r="C33" s="26">
        <v>1877</v>
      </c>
      <c r="D33" s="27"/>
      <c r="E33" s="14">
        <v>470</v>
      </c>
      <c r="F33" s="9"/>
      <c r="G33" s="28"/>
      <c r="H33" s="27"/>
      <c r="I33" s="12" t="s">
        <v>46</v>
      </c>
      <c r="J33" s="11">
        <v>295</v>
      </c>
    </row>
    <row r="34" spans="1:10">
      <c r="A34" s="6">
        <v>44371</v>
      </c>
      <c r="B34" s="7"/>
      <c r="C34" s="26">
        <v>1874</v>
      </c>
      <c r="D34" s="27"/>
      <c r="E34" s="14">
        <v>4</v>
      </c>
      <c r="F34" s="9"/>
      <c r="G34" s="28"/>
      <c r="H34" s="27"/>
      <c r="I34" s="12" t="s">
        <v>47</v>
      </c>
      <c r="J34" s="11">
        <v>1410</v>
      </c>
    </row>
    <row r="35" spans="1:10">
      <c r="A35" s="6">
        <v>44371</v>
      </c>
      <c r="B35" s="7"/>
      <c r="C35" s="26">
        <v>1873</v>
      </c>
      <c r="D35" s="27"/>
      <c r="E35" s="14">
        <v>100</v>
      </c>
      <c r="F35" s="9"/>
      <c r="G35" s="28"/>
      <c r="H35" s="27"/>
      <c r="I35" s="10" t="s">
        <v>48</v>
      </c>
      <c r="J35" s="11">
        <v>224</v>
      </c>
    </row>
    <row r="36" spans="1:10">
      <c r="A36" s="6">
        <v>44371</v>
      </c>
      <c r="B36" s="7"/>
      <c r="C36" s="26">
        <v>1866</v>
      </c>
      <c r="D36" s="27"/>
      <c r="E36" s="14">
        <v>180</v>
      </c>
      <c r="F36" s="9"/>
      <c r="G36" s="28"/>
      <c r="H36" s="27"/>
      <c r="I36" s="12" t="s">
        <v>49</v>
      </c>
      <c r="J36" s="11">
        <v>675</v>
      </c>
    </row>
    <row r="37" spans="1:10">
      <c r="A37" s="6">
        <v>44371</v>
      </c>
      <c r="B37" s="7"/>
      <c r="C37" s="26">
        <v>1845</v>
      </c>
      <c r="D37" s="27"/>
      <c r="E37" s="14">
        <v>100</v>
      </c>
      <c r="F37" s="9"/>
      <c r="G37" s="28"/>
      <c r="H37" s="27"/>
      <c r="I37" s="12" t="s">
        <v>51</v>
      </c>
      <c r="J37" s="11">
        <v>1946</v>
      </c>
    </row>
    <row r="38" spans="1:10">
      <c r="A38" s="6">
        <v>44371</v>
      </c>
      <c r="B38" s="7"/>
      <c r="C38" s="26">
        <v>1839</v>
      </c>
      <c r="D38" s="27"/>
      <c r="E38" s="14">
        <v>300</v>
      </c>
      <c r="F38" s="9"/>
      <c r="G38" s="28"/>
      <c r="H38" s="27"/>
      <c r="I38" s="12" t="s">
        <v>52</v>
      </c>
      <c r="J38" s="11">
        <v>1155</v>
      </c>
    </row>
    <row r="39" spans="1:10">
      <c r="A39" s="6">
        <v>44371</v>
      </c>
      <c r="B39" s="7"/>
      <c r="C39" s="26">
        <v>1835</v>
      </c>
      <c r="D39" s="27"/>
      <c r="E39" s="8">
        <v>1800</v>
      </c>
      <c r="F39" s="9"/>
      <c r="G39" s="28"/>
      <c r="H39" s="27"/>
      <c r="I39" s="10" t="s">
        <v>53</v>
      </c>
      <c r="J39" s="11">
        <v>697</v>
      </c>
    </row>
    <row r="40" spans="1:10">
      <c r="A40" s="6">
        <v>44371</v>
      </c>
      <c r="B40" s="7"/>
      <c r="C40" s="26">
        <v>1831</v>
      </c>
      <c r="D40" s="27"/>
      <c r="E40" s="14">
        <v>200</v>
      </c>
      <c r="F40" s="9"/>
      <c r="G40" s="28"/>
      <c r="H40" s="27"/>
      <c r="I40" s="12" t="s">
        <v>54</v>
      </c>
      <c r="J40" s="11">
        <v>712</v>
      </c>
    </row>
    <row r="41" spans="1:10">
      <c r="A41" s="6">
        <v>44371</v>
      </c>
      <c r="B41" s="7"/>
      <c r="C41" s="26">
        <v>1817</v>
      </c>
      <c r="D41" s="27"/>
      <c r="E41" s="14">
        <v>50</v>
      </c>
      <c r="F41" s="9"/>
      <c r="G41" s="28"/>
      <c r="H41" s="27"/>
      <c r="I41" s="10" t="s">
        <v>55</v>
      </c>
      <c r="J41" s="11">
        <v>63</v>
      </c>
    </row>
    <row r="42" spans="1:10">
      <c r="A42" s="6">
        <v>44371</v>
      </c>
      <c r="B42" s="7"/>
      <c r="C42" s="26">
        <v>1801</v>
      </c>
      <c r="D42" s="27"/>
      <c r="E42" s="14">
        <v>2.0099999999999998</v>
      </c>
      <c r="F42" s="9"/>
      <c r="G42" s="28"/>
      <c r="H42" s="27"/>
      <c r="I42" s="10" t="s">
        <v>56</v>
      </c>
      <c r="J42" s="11">
        <v>1061</v>
      </c>
    </row>
    <row r="43" spans="1:10">
      <c r="A43" s="6">
        <v>44371</v>
      </c>
      <c r="B43" s="7"/>
      <c r="C43" s="26">
        <v>1797</v>
      </c>
      <c r="D43" s="27"/>
      <c r="E43" s="14">
        <v>7.03</v>
      </c>
      <c r="F43" s="9"/>
      <c r="G43" s="28"/>
      <c r="H43" s="27"/>
      <c r="I43" s="10" t="s">
        <v>57</v>
      </c>
      <c r="J43" s="11">
        <v>1108</v>
      </c>
    </row>
    <row r="44" spans="1:10">
      <c r="A44" s="6">
        <v>44371</v>
      </c>
      <c r="B44" s="7"/>
      <c r="C44" s="26">
        <v>1785</v>
      </c>
      <c r="D44" s="27"/>
      <c r="E44" s="14">
        <v>508.86</v>
      </c>
      <c r="F44" s="9"/>
      <c r="G44" s="28"/>
      <c r="H44" s="27"/>
      <c r="I44" s="10" t="s">
        <v>58</v>
      </c>
      <c r="J44" s="11">
        <v>1966</v>
      </c>
    </row>
    <row r="45" spans="1:10">
      <c r="A45" s="6">
        <v>44371</v>
      </c>
      <c r="B45" s="7"/>
      <c r="C45" s="26">
        <v>1766</v>
      </c>
      <c r="D45" s="27"/>
      <c r="E45" s="14">
        <v>30</v>
      </c>
      <c r="F45" s="9"/>
      <c r="G45" s="28"/>
      <c r="H45" s="27"/>
      <c r="I45" s="12" t="s">
        <v>59</v>
      </c>
      <c r="J45" s="11">
        <v>666</v>
      </c>
    </row>
    <row r="46" spans="1:10">
      <c r="A46" s="6">
        <v>44371</v>
      </c>
      <c r="B46" s="7"/>
      <c r="C46" s="26">
        <v>1759</v>
      </c>
      <c r="D46" s="27"/>
      <c r="E46" s="8">
        <v>5000</v>
      </c>
      <c r="F46" s="9"/>
      <c r="G46" s="28"/>
      <c r="H46" s="27"/>
      <c r="I46" s="10" t="s">
        <v>61</v>
      </c>
      <c r="J46" s="11">
        <v>25</v>
      </c>
    </row>
    <row r="47" spans="1:10">
      <c r="A47" s="6">
        <v>44371</v>
      </c>
      <c r="B47" s="7"/>
      <c r="C47" s="26">
        <v>1758</v>
      </c>
      <c r="D47" s="27"/>
      <c r="E47" s="14">
        <v>50</v>
      </c>
      <c r="F47" s="9"/>
      <c r="G47" s="28"/>
      <c r="H47" s="27"/>
      <c r="I47" s="10" t="s">
        <v>62</v>
      </c>
      <c r="J47" s="11">
        <v>691</v>
      </c>
    </row>
    <row r="48" spans="1:10">
      <c r="A48" s="6">
        <v>44371</v>
      </c>
      <c r="B48" s="7"/>
      <c r="C48" s="26">
        <v>1754</v>
      </c>
      <c r="D48" s="27"/>
      <c r="E48" s="14">
        <v>200</v>
      </c>
      <c r="F48" s="9"/>
      <c r="G48" s="28"/>
      <c r="H48" s="27"/>
      <c r="I48" s="12" t="s">
        <v>63</v>
      </c>
      <c r="J48" s="11">
        <v>1934</v>
      </c>
    </row>
    <row r="49" spans="1:10">
      <c r="A49" s="6">
        <v>44371</v>
      </c>
      <c r="B49" s="7"/>
      <c r="C49" s="26">
        <v>1753</v>
      </c>
      <c r="D49" s="27"/>
      <c r="E49" s="14">
        <v>246.43</v>
      </c>
      <c r="F49" s="9"/>
      <c r="G49" s="28"/>
      <c r="H49" s="27"/>
      <c r="I49" s="10" t="s">
        <v>64</v>
      </c>
      <c r="J49" s="11">
        <v>1841</v>
      </c>
    </row>
    <row r="50" spans="1:10">
      <c r="A50" s="6">
        <v>44371</v>
      </c>
      <c r="B50" s="7"/>
      <c r="C50" s="26">
        <v>1748</v>
      </c>
      <c r="D50" s="27"/>
      <c r="E50" s="14">
        <v>590</v>
      </c>
      <c r="F50" s="9"/>
      <c r="G50" s="28"/>
      <c r="H50" s="27"/>
      <c r="I50" s="12" t="s">
        <v>65</v>
      </c>
      <c r="J50" s="11">
        <v>1541</v>
      </c>
    </row>
    <row r="51" spans="1:10">
      <c r="A51" s="6">
        <v>44371</v>
      </c>
      <c r="B51" s="7"/>
      <c r="C51" s="26">
        <v>1742</v>
      </c>
      <c r="D51" s="27"/>
      <c r="E51" s="14">
        <v>50</v>
      </c>
      <c r="F51" s="9"/>
      <c r="G51" s="28"/>
      <c r="H51" s="27"/>
      <c r="I51" s="12" t="s">
        <v>67</v>
      </c>
      <c r="J51" s="11">
        <v>1692</v>
      </c>
    </row>
    <row r="52" spans="1:10">
      <c r="A52" s="6">
        <v>44371</v>
      </c>
      <c r="B52" s="7"/>
      <c r="C52" s="26">
        <v>1741</v>
      </c>
      <c r="D52" s="27"/>
      <c r="E52" s="8">
        <v>1100</v>
      </c>
      <c r="F52" s="9"/>
      <c r="G52" s="28"/>
      <c r="H52" s="27"/>
      <c r="I52" s="10" t="s">
        <v>68</v>
      </c>
      <c r="J52" s="11">
        <v>1438</v>
      </c>
    </row>
    <row r="53" spans="1:10">
      <c r="A53" s="6">
        <v>44371</v>
      </c>
      <c r="B53" s="7"/>
      <c r="C53" s="26">
        <v>1722</v>
      </c>
      <c r="D53" s="27"/>
      <c r="E53" s="14">
        <v>350</v>
      </c>
      <c r="F53" s="9"/>
      <c r="G53" s="28"/>
      <c r="H53" s="27"/>
      <c r="I53" s="10" t="s">
        <v>69</v>
      </c>
      <c r="J53" s="11">
        <v>1366</v>
      </c>
    </row>
    <row r="54" spans="1:10">
      <c r="A54" s="6">
        <v>44371</v>
      </c>
      <c r="B54" s="7"/>
      <c r="C54" s="26">
        <v>1717</v>
      </c>
      <c r="D54" s="27"/>
      <c r="E54" s="14">
        <v>210</v>
      </c>
      <c r="F54" s="9"/>
      <c r="G54" s="28"/>
      <c r="H54" s="27"/>
      <c r="I54" s="12" t="s">
        <v>70</v>
      </c>
      <c r="J54" s="11">
        <v>1023</v>
      </c>
    </row>
    <row r="55" spans="1:10">
      <c r="A55" s="6">
        <v>44371</v>
      </c>
      <c r="B55" s="7"/>
      <c r="C55" s="26">
        <v>1716</v>
      </c>
      <c r="D55" s="27"/>
      <c r="E55" s="14">
        <v>50</v>
      </c>
      <c r="F55" s="9"/>
      <c r="G55" s="28"/>
      <c r="H55" s="27"/>
      <c r="I55" s="10" t="s">
        <v>71</v>
      </c>
      <c r="J55" s="10" t="s">
        <v>72</v>
      </c>
    </row>
    <row r="56" spans="1:10">
      <c r="A56" s="6">
        <v>44371</v>
      </c>
      <c r="B56" s="7"/>
      <c r="C56" s="26">
        <v>1703</v>
      </c>
      <c r="D56" s="27"/>
      <c r="E56" s="14">
        <v>400</v>
      </c>
      <c r="F56" s="9"/>
      <c r="G56" s="28"/>
      <c r="H56" s="27"/>
      <c r="I56" s="12" t="s">
        <v>73</v>
      </c>
      <c r="J56" s="11">
        <v>58</v>
      </c>
    </row>
    <row r="57" spans="1:10">
      <c r="A57" s="6">
        <v>44371</v>
      </c>
      <c r="B57" s="7"/>
      <c r="C57" s="26">
        <v>1697</v>
      </c>
      <c r="D57" s="27"/>
      <c r="E57" s="14">
        <v>500</v>
      </c>
      <c r="F57" s="9"/>
      <c r="G57" s="28"/>
      <c r="H57" s="27"/>
      <c r="I57" s="10" t="s">
        <v>74</v>
      </c>
      <c r="J57" s="11">
        <v>646</v>
      </c>
    </row>
    <row r="58" spans="1:10">
      <c r="A58" s="6">
        <v>44371</v>
      </c>
      <c r="B58" s="7"/>
      <c r="C58" s="26">
        <v>1692</v>
      </c>
      <c r="D58" s="27"/>
      <c r="E58" s="14">
        <v>250</v>
      </c>
      <c r="F58" s="9"/>
      <c r="G58" s="28"/>
      <c r="H58" s="27"/>
      <c r="I58" s="10" t="s">
        <v>75</v>
      </c>
      <c r="J58" s="11">
        <v>567</v>
      </c>
    </row>
    <row r="59" spans="1:10">
      <c r="A59" s="6">
        <v>44371</v>
      </c>
      <c r="B59" s="7"/>
      <c r="C59" s="26">
        <v>1688</v>
      </c>
      <c r="D59" s="27"/>
      <c r="E59" s="14">
        <v>320</v>
      </c>
      <c r="F59" s="9"/>
      <c r="G59" s="28"/>
      <c r="H59" s="27"/>
      <c r="I59" s="10" t="s">
        <v>76</v>
      </c>
      <c r="J59" s="11">
        <v>226</v>
      </c>
    </row>
    <row r="60" spans="1:10">
      <c r="A60" s="6">
        <v>44371</v>
      </c>
      <c r="B60" s="7"/>
      <c r="C60" s="26">
        <v>1655</v>
      </c>
      <c r="D60" s="27"/>
      <c r="E60" s="8">
        <v>1982.48</v>
      </c>
      <c r="F60" s="9"/>
      <c r="G60" s="28"/>
      <c r="H60" s="27"/>
      <c r="I60" s="12" t="s">
        <v>77</v>
      </c>
      <c r="J60" s="11">
        <v>1926</v>
      </c>
    </row>
    <row r="61" spans="1:10">
      <c r="A61" s="6">
        <v>44371</v>
      </c>
      <c r="B61" s="7"/>
      <c r="C61" s="26">
        <v>1594</v>
      </c>
      <c r="D61" s="27"/>
      <c r="E61" s="8">
        <v>1000</v>
      </c>
      <c r="F61" s="9"/>
      <c r="G61" s="28"/>
      <c r="H61" s="27"/>
      <c r="I61" s="10" t="s">
        <v>78</v>
      </c>
      <c r="J61" s="11">
        <v>1030</v>
      </c>
    </row>
    <row r="62" spans="1:10">
      <c r="A62" s="6">
        <v>44371</v>
      </c>
      <c r="B62" s="7"/>
      <c r="C62" s="26">
        <v>1593</v>
      </c>
      <c r="D62" s="27"/>
      <c r="E62" s="14">
        <v>496.1</v>
      </c>
      <c r="F62" s="9"/>
      <c r="G62" s="28"/>
      <c r="H62" s="27"/>
      <c r="I62" s="12" t="s">
        <v>79</v>
      </c>
      <c r="J62" s="11">
        <v>1871</v>
      </c>
    </row>
    <row r="63" spans="1:10">
      <c r="A63" s="6">
        <v>44371</v>
      </c>
      <c r="B63" s="7"/>
      <c r="C63" s="26">
        <v>1592</v>
      </c>
      <c r="D63" s="27"/>
      <c r="E63" s="14">
        <v>500</v>
      </c>
      <c r="F63" s="9"/>
      <c r="G63" s="28"/>
      <c r="H63" s="27"/>
      <c r="I63" s="10" t="s">
        <v>80</v>
      </c>
      <c r="J63" s="11">
        <v>328</v>
      </c>
    </row>
    <row r="64" spans="1:10">
      <c r="A64" s="6">
        <v>44371</v>
      </c>
      <c r="B64" s="7"/>
      <c r="C64" s="26">
        <v>1578</v>
      </c>
      <c r="D64" s="27"/>
      <c r="E64" s="14">
        <v>38.119999999999997</v>
      </c>
      <c r="F64" s="9"/>
      <c r="G64" s="28"/>
      <c r="H64" s="27"/>
      <c r="I64" s="10" t="s">
        <v>81</v>
      </c>
      <c r="J64" s="11">
        <v>1978</v>
      </c>
    </row>
    <row r="65" spans="1:10">
      <c r="A65" s="6">
        <v>44371</v>
      </c>
      <c r="B65" s="7"/>
      <c r="C65" s="26">
        <v>1568</v>
      </c>
      <c r="D65" s="27"/>
      <c r="E65" s="8">
        <v>1800</v>
      </c>
      <c r="F65" s="9"/>
      <c r="G65" s="28"/>
      <c r="H65" s="27"/>
      <c r="I65" s="12" t="s">
        <v>82</v>
      </c>
      <c r="J65" s="11">
        <v>1831</v>
      </c>
    </row>
    <row r="66" spans="1:10">
      <c r="A66" s="6">
        <v>44371</v>
      </c>
      <c r="B66" s="7"/>
      <c r="C66" s="26">
        <v>1543</v>
      </c>
      <c r="D66" s="27"/>
      <c r="E66" s="14">
        <v>16</v>
      </c>
      <c r="F66" s="9"/>
      <c r="G66" s="28"/>
      <c r="H66" s="27"/>
      <c r="I66" s="12" t="s">
        <v>83</v>
      </c>
      <c r="J66" s="11">
        <v>1277</v>
      </c>
    </row>
    <row r="67" spans="1:10">
      <c r="A67" s="6">
        <v>44371</v>
      </c>
      <c r="B67" s="7"/>
      <c r="C67" s="26">
        <v>1542</v>
      </c>
      <c r="D67" s="27"/>
      <c r="E67" s="14">
        <v>900</v>
      </c>
      <c r="F67" s="9"/>
      <c r="G67" s="28"/>
      <c r="H67" s="27"/>
      <c r="I67" s="12" t="s">
        <v>84</v>
      </c>
      <c r="J67" s="11">
        <v>414</v>
      </c>
    </row>
    <row r="68" spans="1:10">
      <c r="A68" s="6">
        <v>44371</v>
      </c>
      <c r="B68" s="7"/>
      <c r="C68" s="26">
        <v>1490</v>
      </c>
      <c r="D68" s="27"/>
      <c r="E68" s="14">
        <v>100</v>
      </c>
      <c r="F68" s="9"/>
      <c r="G68" s="28"/>
      <c r="H68" s="27"/>
      <c r="I68" s="12" t="s">
        <v>85</v>
      </c>
      <c r="J68" s="11">
        <v>1510</v>
      </c>
    </row>
    <row r="69" spans="1:10">
      <c r="A69" s="6">
        <v>44371</v>
      </c>
      <c r="B69" s="7"/>
      <c r="C69" s="26">
        <v>1478</v>
      </c>
      <c r="D69" s="27"/>
      <c r="E69" s="14">
        <v>400</v>
      </c>
      <c r="F69" s="9"/>
      <c r="G69" s="28"/>
      <c r="H69" s="27"/>
      <c r="I69" s="10" t="s">
        <v>86</v>
      </c>
      <c r="J69" s="11">
        <v>688</v>
      </c>
    </row>
    <row r="70" spans="1:10">
      <c r="A70" s="6">
        <v>44371</v>
      </c>
      <c r="B70" s="7"/>
      <c r="C70" s="26">
        <v>1475</v>
      </c>
      <c r="D70" s="27"/>
      <c r="E70" s="14">
        <v>300</v>
      </c>
      <c r="F70" s="9"/>
      <c r="G70" s="28"/>
      <c r="H70" s="27"/>
      <c r="I70" s="10" t="s">
        <v>87</v>
      </c>
      <c r="J70" s="11">
        <v>620</v>
      </c>
    </row>
    <row r="71" spans="1:10">
      <c r="A71" s="6">
        <v>44371</v>
      </c>
      <c r="B71" s="7"/>
      <c r="C71" s="26">
        <v>1474</v>
      </c>
      <c r="D71" s="27"/>
      <c r="E71" s="14">
        <v>51.93</v>
      </c>
      <c r="F71" s="9"/>
      <c r="G71" s="28"/>
      <c r="H71" s="27"/>
      <c r="I71" s="12" t="s">
        <v>88</v>
      </c>
      <c r="J71" s="11">
        <v>178</v>
      </c>
    </row>
    <row r="72" spans="1:10">
      <c r="A72" s="6">
        <v>44371</v>
      </c>
      <c r="B72" s="7"/>
      <c r="C72" s="26">
        <v>1468</v>
      </c>
      <c r="D72" s="27"/>
      <c r="E72" s="14">
        <v>800</v>
      </c>
      <c r="F72" s="9"/>
      <c r="G72" s="28"/>
      <c r="H72" s="27"/>
      <c r="I72" s="10" t="s">
        <v>89</v>
      </c>
      <c r="J72" s="11">
        <v>62</v>
      </c>
    </row>
    <row r="73" spans="1:10">
      <c r="A73" s="6">
        <v>44371</v>
      </c>
      <c r="B73" s="7"/>
      <c r="C73" s="26">
        <v>1467</v>
      </c>
      <c r="D73" s="27"/>
      <c r="E73" s="14">
        <v>15</v>
      </c>
      <c r="F73" s="9"/>
      <c r="G73" s="28"/>
      <c r="H73" s="27"/>
      <c r="I73" s="10" t="s">
        <v>90</v>
      </c>
      <c r="J73" s="11">
        <v>1952</v>
      </c>
    </row>
    <row r="74" spans="1:10">
      <c r="A74" s="6">
        <v>44371</v>
      </c>
      <c r="B74" s="7"/>
      <c r="C74" s="26">
        <v>1416</v>
      </c>
      <c r="D74" s="27"/>
      <c r="E74" s="14">
        <v>140</v>
      </c>
      <c r="F74" s="9"/>
      <c r="G74" s="28"/>
      <c r="H74" s="27"/>
      <c r="I74" s="12" t="s">
        <v>91</v>
      </c>
      <c r="J74" s="11">
        <v>1511</v>
      </c>
    </row>
    <row r="75" spans="1:10">
      <c r="A75" s="6">
        <v>44371</v>
      </c>
      <c r="B75" s="7"/>
      <c r="C75" s="26">
        <v>1412</v>
      </c>
      <c r="D75" s="27"/>
      <c r="E75" s="14">
        <v>300</v>
      </c>
      <c r="F75" s="9"/>
      <c r="G75" s="28"/>
      <c r="H75" s="27"/>
      <c r="I75" s="12" t="s">
        <v>92</v>
      </c>
      <c r="J75" s="11">
        <v>401</v>
      </c>
    </row>
    <row r="76" spans="1:10">
      <c r="A76" s="6">
        <v>44371</v>
      </c>
      <c r="B76" s="7"/>
      <c r="C76" s="26">
        <v>1391</v>
      </c>
      <c r="D76" s="27"/>
      <c r="E76" s="8">
        <v>1000</v>
      </c>
      <c r="F76" s="9"/>
      <c r="G76" s="28"/>
      <c r="H76" s="27"/>
      <c r="I76" s="12" t="s">
        <v>93</v>
      </c>
      <c r="J76" s="11">
        <v>338</v>
      </c>
    </row>
    <row r="77" spans="1:10">
      <c r="A77" s="6">
        <v>44371</v>
      </c>
      <c r="B77" s="7"/>
      <c r="C77" s="26">
        <v>1373</v>
      </c>
      <c r="D77" s="27"/>
      <c r="E77" s="14">
        <v>400</v>
      </c>
      <c r="F77" s="9"/>
      <c r="G77" s="28"/>
      <c r="H77" s="27"/>
      <c r="I77" s="10" t="s">
        <v>94</v>
      </c>
      <c r="J77" s="11">
        <v>69</v>
      </c>
    </row>
    <row r="78" spans="1:10">
      <c r="A78" s="6">
        <v>44371</v>
      </c>
      <c r="B78" s="7"/>
      <c r="C78" s="26">
        <v>1369</v>
      </c>
      <c r="D78" s="27"/>
      <c r="E78" s="14">
        <v>10</v>
      </c>
      <c r="F78" s="9"/>
      <c r="G78" s="28"/>
      <c r="H78" s="27"/>
      <c r="I78" s="12" t="s">
        <v>95</v>
      </c>
      <c r="J78" s="11">
        <v>1478</v>
      </c>
    </row>
    <row r="79" spans="1:10">
      <c r="A79" s="6">
        <v>44371</v>
      </c>
      <c r="B79" s="7"/>
      <c r="C79" s="26">
        <v>1347</v>
      </c>
      <c r="D79" s="27"/>
      <c r="E79" s="14">
        <v>450</v>
      </c>
      <c r="F79" s="9"/>
      <c r="G79" s="28"/>
      <c r="H79" s="27"/>
      <c r="I79" s="10" t="s">
        <v>96</v>
      </c>
      <c r="J79" s="11">
        <v>766</v>
      </c>
    </row>
    <row r="80" spans="1:10">
      <c r="A80" s="6">
        <v>44371</v>
      </c>
      <c r="B80" s="7"/>
      <c r="C80" s="26">
        <v>1334</v>
      </c>
      <c r="D80" s="27"/>
      <c r="E80" s="8">
        <v>2400</v>
      </c>
      <c r="F80" s="9"/>
      <c r="G80" s="28"/>
      <c r="H80" s="27"/>
      <c r="I80" s="10" t="s">
        <v>97</v>
      </c>
      <c r="J80" s="11">
        <v>1323</v>
      </c>
    </row>
    <row r="81" spans="1:10">
      <c r="A81" s="6">
        <v>44371</v>
      </c>
      <c r="B81" s="7"/>
      <c r="C81" s="26">
        <v>1324</v>
      </c>
      <c r="D81" s="27"/>
      <c r="E81" s="14">
        <v>150</v>
      </c>
      <c r="F81" s="9"/>
      <c r="G81" s="28"/>
      <c r="H81" s="27"/>
      <c r="I81" s="10" t="s">
        <v>98</v>
      </c>
      <c r="J81" s="11">
        <v>1612</v>
      </c>
    </row>
    <row r="82" spans="1:10">
      <c r="A82" s="6">
        <v>44371</v>
      </c>
      <c r="B82" s="7"/>
      <c r="C82" s="26">
        <v>1320</v>
      </c>
      <c r="D82" s="27"/>
      <c r="E82" s="14">
        <v>50</v>
      </c>
      <c r="F82" s="9"/>
      <c r="G82" s="28"/>
      <c r="H82" s="27"/>
      <c r="I82" s="12" t="s">
        <v>99</v>
      </c>
      <c r="J82" s="11">
        <v>749</v>
      </c>
    </row>
    <row r="83" spans="1:10">
      <c r="A83" s="6">
        <v>44371</v>
      </c>
      <c r="B83" s="7"/>
      <c r="C83" s="26">
        <v>1318</v>
      </c>
      <c r="D83" s="27"/>
      <c r="E83" s="8">
        <v>1584.03</v>
      </c>
      <c r="F83" s="9"/>
      <c r="G83" s="28"/>
      <c r="H83" s="27"/>
      <c r="I83" s="12" t="s">
        <v>100</v>
      </c>
      <c r="J83" s="11">
        <v>1474</v>
      </c>
    </row>
    <row r="84" spans="1:10">
      <c r="A84" s="6">
        <v>44371</v>
      </c>
      <c r="B84" s="7"/>
      <c r="C84" s="26">
        <v>1282</v>
      </c>
      <c r="D84" s="27"/>
      <c r="E84" s="14">
        <v>600</v>
      </c>
      <c r="F84" s="9"/>
      <c r="G84" s="28"/>
      <c r="H84" s="27"/>
      <c r="I84" s="10" t="s">
        <v>101</v>
      </c>
      <c r="J84" s="11">
        <v>1508</v>
      </c>
    </row>
    <row r="85" spans="1:10">
      <c r="A85" s="6">
        <v>44371</v>
      </c>
      <c r="B85" s="7"/>
      <c r="C85" s="26">
        <v>1278</v>
      </c>
      <c r="D85" s="27"/>
      <c r="E85" s="14">
        <v>850</v>
      </c>
      <c r="F85" s="9"/>
      <c r="G85" s="28"/>
      <c r="H85" s="27"/>
      <c r="I85" s="10" t="s">
        <v>102</v>
      </c>
      <c r="J85" s="11">
        <v>1483</v>
      </c>
    </row>
    <row r="86" spans="1:10">
      <c r="A86" s="6">
        <v>44371</v>
      </c>
      <c r="B86" s="7"/>
      <c r="C86" s="26">
        <v>1277</v>
      </c>
      <c r="D86" s="27"/>
      <c r="E86" s="14">
        <v>300</v>
      </c>
      <c r="F86" s="9"/>
      <c r="G86" s="28"/>
      <c r="H86" s="27"/>
      <c r="I86" s="10" t="s">
        <v>103</v>
      </c>
      <c r="J86" s="11">
        <v>96</v>
      </c>
    </row>
    <row r="87" spans="1:10">
      <c r="A87" s="6">
        <v>44371</v>
      </c>
      <c r="B87" s="7"/>
      <c r="C87" s="26">
        <v>1274</v>
      </c>
      <c r="D87" s="27"/>
      <c r="E87" s="14">
        <v>820</v>
      </c>
      <c r="F87" s="9"/>
      <c r="G87" s="28"/>
      <c r="H87" s="27"/>
      <c r="I87" s="12" t="s">
        <v>104</v>
      </c>
      <c r="J87" s="11">
        <v>1273</v>
      </c>
    </row>
    <row r="88" spans="1:10">
      <c r="A88" s="6">
        <v>44371</v>
      </c>
      <c r="B88" s="7"/>
      <c r="C88" s="26">
        <v>1273</v>
      </c>
      <c r="D88" s="27"/>
      <c r="E88" s="8">
        <v>1704.98</v>
      </c>
      <c r="F88" s="9"/>
      <c r="G88" s="28"/>
      <c r="H88" s="27"/>
      <c r="I88" s="12" t="s">
        <v>105</v>
      </c>
      <c r="J88" s="11">
        <v>157</v>
      </c>
    </row>
    <row r="89" spans="1:10">
      <c r="A89" s="6">
        <v>44371</v>
      </c>
      <c r="B89" s="7"/>
      <c r="C89" s="26">
        <v>1256</v>
      </c>
      <c r="D89" s="27"/>
      <c r="E89" s="14">
        <v>100</v>
      </c>
      <c r="F89" s="9"/>
      <c r="G89" s="28"/>
      <c r="H89" s="27"/>
      <c r="I89" s="10" t="s">
        <v>106</v>
      </c>
      <c r="J89" s="11">
        <v>1611</v>
      </c>
    </row>
    <row r="90" spans="1:10">
      <c r="A90" s="6">
        <v>44371</v>
      </c>
      <c r="B90" s="7"/>
      <c r="C90" s="26">
        <v>1220</v>
      </c>
      <c r="D90" s="27"/>
      <c r="E90" s="14">
        <v>210</v>
      </c>
      <c r="F90" s="9"/>
      <c r="G90" s="28"/>
      <c r="H90" s="27"/>
      <c r="I90" s="10" t="s">
        <v>107</v>
      </c>
      <c r="J90" s="11">
        <v>320</v>
      </c>
    </row>
    <row r="91" spans="1:10">
      <c r="A91" s="6">
        <v>44371</v>
      </c>
      <c r="B91" s="7"/>
      <c r="C91" s="26">
        <v>1193</v>
      </c>
      <c r="D91" s="27"/>
      <c r="E91" s="14">
        <v>490</v>
      </c>
      <c r="F91" s="9"/>
      <c r="G91" s="28"/>
      <c r="H91" s="27"/>
      <c r="I91" s="12" t="s">
        <v>108</v>
      </c>
      <c r="J91" s="11">
        <v>29</v>
      </c>
    </row>
    <row r="92" spans="1:10">
      <c r="A92" s="6">
        <v>44371</v>
      </c>
      <c r="B92" s="7"/>
      <c r="C92" s="26">
        <v>1191</v>
      </c>
      <c r="D92" s="27"/>
      <c r="E92" s="8">
        <v>1350</v>
      </c>
      <c r="F92" s="9"/>
      <c r="G92" s="28"/>
      <c r="H92" s="27"/>
      <c r="I92" s="12" t="s">
        <v>109</v>
      </c>
      <c r="J92" s="11">
        <v>1662</v>
      </c>
    </row>
    <row r="93" spans="1:10">
      <c r="A93" s="6">
        <v>44371</v>
      </c>
      <c r="B93" s="7"/>
      <c r="C93" s="26">
        <v>1184</v>
      </c>
      <c r="D93" s="27"/>
      <c r="E93" s="8">
        <v>3775.93</v>
      </c>
      <c r="F93" s="9"/>
      <c r="G93" s="28"/>
      <c r="H93" s="27"/>
      <c r="I93" s="10" t="s">
        <v>110</v>
      </c>
      <c r="J93" s="11">
        <v>722</v>
      </c>
    </row>
    <row r="94" spans="1:10">
      <c r="A94" s="6">
        <v>44371</v>
      </c>
      <c r="B94" s="7"/>
      <c r="C94" s="26">
        <v>1169</v>
      </c>
      <c r="D94" s="27"/>
      <c r="E94" s="8">
        <v>3470</v>
      </c>
      <c r="F94" s="9"/>
      <c r="G94" s="28"/>
      <c r="H94" s="27"/>
      <c r="I94" s="10" t="s">
        <v>111</v>
      </c>
      <c r="J94" s="11">
        <v>750</v>
      </c>
    </row>
    <row r="95" spans="1:10">
      <c r="A95" s="6">
        <v>44371</v>
      </c>
      <c r="B95" s="7"/>
      <c r="C95" s="26">
        <v>1155</v>
      </c>
      <c r="D95" s="27"/>
      <c r="E95" s="14">
        <v>300</v>
      </c>
      <c r="F95" s="9"/>
      <c r="G95" s="28"/>
      <c r="H95" s="27"/>
      <c r="I95" s="12" t="s">
        <v>112</v>
      </c>
      <c r="J95" s="11">
        <v>363</v>
      </c>
    </row>
    <row r="96" spans="1:10">
      <c r="A96" s="6">
        <v>44371</v>
      </c>
      <c r="B96" s="7"/>
      <c r="C96" s="26">
        <v>1143</v>
      </c>
      <c r="D96" s="27"/>
      <c r="E96" s="8">
        <v>3920</v>
      </c>
      <c r="F96" s="9"/>
      <c r="G96" s="28"/>
      <c r="H96" s="27"/>
      <c r="I96" s="10" t="s">
        <v>113</v>
      </c>
      <c r="J96" s="11">
        <v>1529</v>
      </c>
    </row>
    <row r="97" spans="1:10">
      <c r="A97" s="6">
        <v>44371</v>
      </c>
      <c r="B97" s="7"/>
      <c r="C97" s="26">
        <v>1141</v>
      </c>
      <c r="D97" s="27"/>
      <c r="E97" s="14">
        <v>300</v>
      </c>
      <c r="F97" s="9"/>
      <c r="G97" s="28"/>
      <c r="H97" s="27"/>
      <c r="I97" s="10" t="s">
        <v>114</v>
      </c>
      <c r="J97" s="11">
        <v>725</v>
      </c>
    </row>
    <row r="98" spans="1:10">
      <c r="A98" s="6">
        <v>44371</v>
      </c>
      <c r="B98" s="7"/>
      <c r="C98" s="26">
        <v>1132</v>
      </c>
      <c r="D98" s="27"/>
      <c r="E98" s="8">
        <v>20976.35</v>
      </c>
      <c r="F98" s="9"/>
      <c r="G98" s="28"/>
      <c r="H98" s="27"/>
      <c r="I98" s="12" t="s">
        <v>115</v>
      </c>
      <c r="J98" s="11">
        <v>1294</v>
      </c>
    </row>
    <row r="99" spans="1:10">
      <c r="A99" s="6">
        <v>44371</v>
      </c>
      <c r="B99" s="7"/>
      <c r="C99" s="26">
        <v>1084</v>
      </c>
      <c r="D99" s="27"/>
      <c r="E99" s="14">
        <v>150</v>
      </c>
      <c r="F99" s="9"/>
      <c r="G99" s="28"/>
      <c r="H99" s="27"/>
      <c r="I99" s="10" t="s">
        <v>116</v>
      </c>
      <c r="J99" s="11">
        <v>726</v>
      </c>
    </row>
    <row r="100" spans="1:10">
      <c r="A100" s="6">
        <v>44371</v>
      </c>
      <c r="B100" s="7"/>
      <c r="C100" s="26">
        <v>1078</v>
      </c>
      <c r="D100" s="27"/>
      <c r="E100" s="14">
        <v>548.25</v>
      </c>
      <c r="F100" s="9"/>
      <c r="G100" s="28"/>
      <c r="H100" s="27"/>
      <c r="I100" s="10" t="s">
        <v>117</v>
      </c>
      <c r="J100" s="11">
        <v>1719</v>
      </c>
    </row>
    <row r="101" spans="1:10">
      <c r="A101" s="6">
        <v>44371</v>
      </c>
      <c r="B101" s="7"/>
      <c r="C101" s="26">
        <v>1054</v>
      </c>
      <c r="D101" s="27"/>
      <c r="E101" s="14">
        <v>375</v>
      </c>
      <c r="F101" s="9"/>
      <c r="G101" s="28"/>
      <c r="H101" s="27"/>
      <c r="I101" s="10" t="s">
        <v>118</v>
      </c>
      <c r="J101" s="11">
        <v>57</v>
      </c>
    </row>
    <row r="102" spans="1:10">
      <c r="A102" s="6">
        <v>44371</v>
      </c>
      <c r="B102" s="7"/>
      <c r="C102" s="26">
        <v>1042</v>
      </c>
      <c r="D102" s="27"/>
      <c r="E102" s="14">
        <v>60</v>
      </c>
      <c r="F102" s="9"/>
      <c r="G102" s="28"/>
      <c r="H102" s="27"/>
      <c r="I102" s="10" t="s">
        <v>119</v>
      </c>
      <c r="J102" s="11">
        <v>1489</v>
      </c>
    </row>
    <row r="103" spans="1:10">
      <c r="A103" s="6">
        <v>44371</v>
      </c>
      <c r="B103" s="7"/>
      <c r="C103" s="26">
        <v>1023</v>
      </c>
      <c r="D103" s="27"/>
      <c r="E103" s="8">
        <v>3485.03</v>
      </c>
      <c r="F103" s="9"/>
      <c r="G103" s="28"/>
      <c r="H103" s="27"/>
      <c r="I103" s="12" t="s">
        <v>120</v>
      </c>
      <c r="J103" s="11">
        <v>66</v>
      </c>
    </row>
    <row r="104" spans="1:10">
      <c r="A104" s="6">
        <v>44371</v>
      </c>
      <c r="B104" s="7"/>
      <c r="C104" s="26">
        <v>824</v>
      </c>
      <c r="D104" s="27"/>
      <c r="E104" s="8">
        <v>17275.22</v>
      </c>
      <c r="F104" s="9"/>
      <c r="G104" s="28"/>
      <c r="H104" s="27"/>
      <c r="I104" s="10" t="s">
        <v>121</v>
      </c>
      <c r="J104" s="11">
        <v>1798</v>
      </c>
    </row>
    <row r="105" spans="1:10">
      <c r="A105" s="6">
        <v>44371</v>
      </c>
      <c r="B105" s="7"/>
      <c r="C105" s="26">
        <v>821</v>
      </c>
      <c r="D105" s="27"/>
      <c r="E105" s="14">
        <v>170</v>
      </c>
      <c r="F105" s="9"/>
      <c r="G105" s="28"/>
      <c r="H105" s="27"/>
      <c r="I105" s="10" t="s">
        <v>122</v>
      </c>
      <c r="J105" s="11">
        <v>1937</v>
      </c>
    </row>
    <row r="106" spans="1:10">
      <c r="A106" s="6">
        <v>44371</v>
      </c>
      <c r="B106" s="7"/>
      <c r="C106" s="26">
        <v>767</v>
      </c>
      <c r="D106" s="27"/>
      <c r="E106" s="14">
        <v>860</v>
      </c>
      <c r="F106" s="9"/>
      <c r="G106" s="28"/>
      <c r="H106" s="27"/>
      <c r="I106" s="10" t="s">
        <v>123</v>
      </c>
      <c r="J106" s="11">
        <v>1587</v>
      </c>
    </row>
    <row r="107" spans="1:10">
      <c r="A107" s="6">
        <v>44371</v>
      </c>
      <c r="B107" s="7"/>
      <c r="C107" s="26">
        <v>761</v>
      </c>
      <c r="D107" s="27"/>
      <c r="E107" s="8">
        <v>4609.09</v>
      </c>
      <c r="F107" s="9"/>
      <c r="G107" s="28"/>
      <c r="H107" s="27"/>
      <c r="I107" s="10" t="s">
        <v>124</v>
      </c>
      <c r="J107" s="11">
        <v>1608</v>
      </c>
    </row>
    <row r="108" spans="1:10">
      <c r="A108" s="6">
        <v>44371</v>
      </c>
      <c r="B108" s="7"/>
      <c r="C108" s="26">
        <v>748</v>
      </c>
      <c r="D108" s="27"/>
      <c r="E108" s="14">
        <v>100</v>
      </c>
      <c r="F108" s="9"/>
      <c r="G108" s="28"/>
      <c r="H108" s="27"/>
      <c r="I108" s="10" t="s">
        <v>125</v>
      </c>
      <c r="J108" s="11">
        <v>1779</v>
      </c>
    </row>
    <row r="109" spans="1:10">
      <c r="A109" s="6">
        <v>44371</v>
      </c>
      <c r="B109" s="7"/>
      <c r="C109" s="26">
        <v>745</v>
      </c>
      <c r="D109" s="27"/>
      <c r="E109" s="14">
        <v>30</v>
      </c>
      <c r="F109" s="9"/>
      <c r="G109" s="28"/>
      <c r="H109" s="27"/>
      <c r="I109" s="10" t="s">
        <v>126</v>
      </c>
      <c r="J109" s="11">
        <v>538</v>
      </c>
    </row>
    <row r="110" spans="1:10">
      <c r="A110" s="6">
        <v>44371</v>
      </c>
      <c r="B110" s="7"/>
      <c r="C110" s="26">
        <v>737</v>
      </c>
      <c r="D110" s="27"/>
      <c r="E110" s="14">
        <v>250</v>
      </c>
      <c r="F110" s="9"/>
      <c r="G110" s="28"/>
      <c r="H110" s="27"/>
      <c r="I110" s="10" t="s">
        <v>127</v>
      </c>
      <c r="J110" s="10" t="s">
        <v>128</v>
      </c>
    </row>
    <row r="111" spans="1:10">
      <c r="A111" s="6">
        <v>44371</v>
      </c>
      <c r="B111" s="7"/>
      <c r="C111" s="26">
        <v>733</v>
      </c>
      <c r="D111" s="27"/>
      <c r="E111" s="14">
        <v>583.24</v>
      </c>
      <c r="F111" s="9"/>
      <c r="G111" s="28"/>
      <c r="H111" s="27"/>
      <c r="I111" s="10" t="s">
        <v>129</v>
      </c>
      <c r="J111" s="11">
        <v>1783</v>
      </c>
    </row>
    <row r="112" spans="1:10">
      <c r="A112" s="6">
        <v>44371</v>
      </c>
      <c r="B112" s="7"/>
      <c r="C112" s="26">
        <v>726</v>
      </c>
      <c r="D112" s="27"/>
      <c r="E112" s="14">
        <v>200</v>
      </c>
      <c r="F112" s="9"/>
      <c r="G112" s="28"/>
      <c r="H112" s="27"/>
      <c r="I112" s="10" t="s">
        <v>130</v>
      </c>
      <c r="J112" s="11">
        <v>1013</v>
      </c>
    </row>
    <row r="113" spans="1:10">
      <c r="A113" s="6">
        <v>44371</v>
      </c>
      <c r="B113" s="7"/>
      <c r="C113" s="26">
        <v>722</v>
      </c>
      <c r="D113" s="27"/>
      <c r="E113" s="8">
        <v>3700</v>
      </c>
      <c r="F113" s="9"/>
      <c r="G113" s="28"/>
      <c r="H113" s="27"/>
      <c r="I113" s="12" t="s">
        <v>131</v>
      </c>
      <c r="J113" s="11">
        <v>710</v>
      </c>
    </row>
    <row r="114" spans="1:10">
      <c r="A114" s="6">
        <v>44371</v>
      </c>
      <c r="B114" s="7"/>
      <c r="C114" s="26">
        <v>712</v>
      </c>
      <c r="D114" s="27"/>
      <c r="E114" s="14">
        <v>47.32</v>
      </c>
      <c r="F114" s="9"/>
      <c r="G114" s="28"/>
      <c r="H114" s="27"/>
      <c r="I114" s="10" t="s">
        <v>132</v>
      </c>
      <c r="J114" s="11">
        <v>1468</v>
      </c>
    </row>
    <row r="115" spans="1:10">
      <c r="A115" s="6">
        <v>44371</v>
      </c>
      <c r="B115" s="7"/>
      <c r="C115" s="26">
        <v>710</v>
      </c>
      <c r="D115" s="27"/>
      <c r="E115" s="14">
        <v>2.0099999999999998</v>
      </c>
      <c r="F115" s="9"/>
      <c r="G115" s="28"/>
      <c r="H115" s="27"/>
      <c r="I115" s="10" t="s">
        <v>133</v>
      </c>
      <c r="J115" s="11">
        <v>1387</v>
      </c>
    </row>
    <row r="116" spans="1:10">
      <c r="A116" s="6">
        <v>44371</v>
      </c>
      <c r="B116" s="7"/>
      <c r="C116" s="26">
        <v>707</v>
      </c>
      <c r="D116" s="27"/>
      <c r="E116" s="8">
        <v>185307.69</v>
      </c>
      <c r="F116" s="9"/>
      <c r="G116" s="28"/>
      <c r="H116" s="27"/>
      <c r="I116" s="12" t="s">
        <v>134</v>
      </c>
      <c r="J116" s="11">
        <v>754</v>
      </c>
    </row>
    <row r="117" spans="1:10">
      <c r="A117" s="6">
        <v>44371</v>
      </c>
      <c r="B117" s="7"/>
      <c r="C117" s="26">
        <v>702</v>
      </c>
      <c r="D117" s="27"/>
      <c r="E117" s="14">
        <v>300</v>
      </c>
      <c r="F117" s="9"/>
      <c r="G117" s="28"/>
      <c r="H117" s="27"/>
      <c r="I117" s="10" t="s">
        <v>135</v>
      </c>
      <c r="J117" s="11">
        <v>1320</v>
      </c>
    </row>
    <row r="118" spans="1:10">
      <c r="A118" s="6">
        <v>44371</v>
      </c>
      <c r="B118" s="7"/>
      <c r="C118" s="26">
        <v>677</v>
      </c>
      <c r="D118" s="27"/>
      <c r="E118" s="8">
        <v>2739</v>
      </c>
      <c r="F118" s="9"/>
      <c r="G118" s="28"/>
      <c r="H118" s="27"/>
      <c r="I118" s="10" t="s">
        <v>136</v>
      </c>
      <c r="J118" s="11">
        <v>131</v>
      </c>
    </row>
    <row r="119" spans="1:10">
      <c r="A119" s="6">
        <v>44371</v>
      </c>
      <c r="B119" s="7"/>
      <c r="C119" s="26">
        <v>666</v>
      </c>
      <c r="D119" s="27"/>
      <c r="E119" s="14">
        <v>70</v>
      </c>
      <c r="F119" s="9"/>
      <c r="G119" s="28"/>
      <c r="H119" s="27"/>
      <c r="I119" s="10" t="s">
        <v>137</v>
      </c>
      <c r="J119" s="10" t="s">
        <v>128</v>
      </c>
    </row>
    <row r="120" spans="1:10">
      <c r="A120" s="6">
        <v>44371</v>
      </c>
      <c r="B120" s="7"/>
      <c r="C120" s="26">
        <v>661</v>
      </c>
      <c r="D120" s="27"/>
      <c r="E120" s="14">
        <v>730</v>
      </c>
      <c r="F120" s="9"/>
      <c r="G120" s="28"/>
      <c r="H120" s="27"/>
      <c r="I120" s="10" t="s">
        <v>138</v>
      </c>
      <c r="J120" s="11">
        <v>1973</v>
      </c>
    </row>
    <row r="121" spans="1:10">
      <c r="A121" s="6">
        <v>44371</v>
      </c>
      <c r="B121" s="7"/>
      <c r="C121" s="26">
        <v>653</v>
      </c>
      <c r="D121" s="27"/>
      <c r="E121" s="14">
        <v>945</v>
      </c>
      <c r="F121" s="9"/>
      <c r="G121" s="28"/>
      <c r="H121" s="27"/>
      <c r="I121" s="12" t="s">
        <v>139</v>
      </c>
      <c r="J121" s="11">
        <v>132</v>
      </c>
    </row>
    <row r="122" spans="1:10">
      <c r="A122" s="6">
        <v>44371</v>
      </c>
      <c r="B122" s="7"/>
      <c r="C122" s="26">
        <v>630</v>
      </c>
      <c r="D122" s="27"/>
      <c r="E122" s="14">
        <v>50</v>
      </c>
      <c r="F122" s="9"/>
      <c r="G122" s="28"/>
      <c r="H122" s="27"/>
      <c r="I122" s="12" t="s">
        <v>140</v>
      </c>
      <c r="J122" s="11">
        <v>1873</v>
      </c>
    </row>
    <row r="123" spans="1:10">
      <c r="A123" s="6">
        <v>44371</v>
      </c>
      <c r="B123" s="7"/>
      <c r="C123" s="26">
        <v>628</v>
      </c>
      <c r="D123" s="27"/>
      <c r="E123" s="14">
        <v>300</v>
      </c>
      <c r="F123" s="9"/>
      <c r="G123" s="28"/>
      <c r="H123" s="27"/>
      <c r="I123" s="12" t="s">
        <v>141</v>
      </c>
      <c r="J123" s="11">
        <v>1347</v>
      </c>
    </row>
    <row r="124" spans="1:10">
      <c r="A124" s="6">
        <v>44371</v>
      </c>
      <c r="B124" s="7"/>
      <c r="C124" s="26">
        <v>620</v>
      </c>
      <c r="D124" s="27"/>
      <c r="E124" s="14">
        <v>380</v>
      </c>
      <c r="F124" s="9"/>
      <c r="G124" s="28"/>
      <c r="H124" s="27"/>
      <c r="I124" s="10" t="s">
        <v>142</v>
      </c>
      <c r="J124" s="11">
        <v>1055</v>
      </c>
    </row>
    <row r="125" spans="1:10">
      <c r="A125" s="6">
        <v>44371</v>
      </c>
      <c r="B125" s="7"/>
      <c r="C125" s="26">
        <v>587</v>
      </c>
      <c r="D125" s="27"/>
      <c r="E125" s="8">
        <v>2500</v>
      </c>
      <c r="F125" s="9"/>
      <c r="G125" s="28"/>
      <c r="H125" s="27"/>
      <c r="I125" s="10" t="s">
        <v>143</v>
      </c>
      <c r="J125" s="11">
        <v>1411</v>
      </c>
    </row>
    <row r="126" spans="1:10">
      <c r="A126" s="6">
        <v>44371</v>
      </c>
      <c r="B126" s="7"/>
      <c r="C126" s="26">
        <v>586</v>
      </c>
      <c r="D126" s="27"/>
      <c r="E126" s="14">
        <v>159.57</v>
      </c>
      <c r="F126" s="9"/>
      <c r="G126" s="28"/>
      <c r="H126" s="27"/>
      <c r="I126" s="10" t="s">
        <v>144</v>
      </c>
      <c r="J126" s="11">
        <v>822</v>
      </c>
    </row>
    <row r="127" spans="1:10">
      <c r="A127" s="6">
        <v>44371</v>
      </c>
      <c r="B127" s="7"/>
      <c r="C127" s="26">
        <v>568</v>
      </c>
      <c r="D127" s="27"/>
      <c r="E127" s="14">
        <v>50</v>
      </c>
      <c r="F127" s="9"/>
      <c r="G127" s="28"/>
      <c r="H127" s="27"/>
      <c r="I127" s="12" t="s">
        <v>145</v>
      </c>
      <c r="J127" s="11">
        <v>292</v>
      </c>
    </row>
    <row r="128" spans="1:10">
      <c r="A128" s="6">
        <v>44371</v>
      </c>
      <c r="B128" s="7"/>
      <c r="C128" s="26">
        <v>549</v>
      </c>
      <c r="D128" s="27"/>
      <c r="E128" s="14">
        <v>300</v>
      </c>
      <c r="F128" s="9"/>
      <c r="G128" s="28"/>
      <c r="H128" s="27"/>
      <c r="I128" s="12" t="s">
        <v>146</v>
      </c>
      <c r="J128" s="11">
        <v>218</v>
      </c>
    </row>
    <row r="129" spans="1:10">
      <c r="A129" s="6">
        <v>44371</v>
      </c>
      <c r="B129" s="7"/>
      <c r="C129" s="26">
        <v>545</v>
      </c>
      <c r="D129" s="27"/>
      <c r="E129" s="14">
        <v>225</v>
      </c>
      <c r="F129" s="9"/>
      <c r="G129" s="28"/>
      <c r="H129" s="27"/>
      <c r="I129" s="12" t="s">
        <v>147</v>
      </c>
      <c r="J129" s="11">
        <v>1467</v>
      </c>
    </row>
    <row r="130" spans="1:10">
      <c r="A130" s="6">
        <v>44371</v>
      </c>
      <c r="B130" s="7"/>
      <c r="C130" s="26">
        <v>538</v>
      </c>
      <c r="D130" s="27"/>
      <c r="E130" s="8">
        <v>1250</v>
      </c>
      <c r="F130" s="9"/>
      <c r="G130" s="28"/>
      <c r="H130" s="27"/>
      <c r="I130" s="12" t="s">
        <v>148</v>
      </c>
      <c r="J130" s="11">
        <v>1373</v>
      </c>
    </row>
    <row r="131" spans="1:10">
      <c r="A131" s="6">
        <v>44371</v>
      </c>
      <c r="B131" s="7"/>
      <c r="C131" s="26">
        <v>512</v>
      </c>
      <c r="D131" s="27"/>
      <c r="E131" s="14">
        <v>54</v>
      </c>
      <c r="F131" s="9"/>
      <c r="G131" s="28"/>
      <c r="H131" s="27"/>
      <c r="I131" s="10" t="s">
        <v>149</v>
      </c>
      <c r="J131" s="11">
        <v>48</v>
      </c>
    </row>
    <row r="132" spans="1:10">
      <c r="A132" s="6">
        <v>44371</v>
      </c>
      <c r="B132" s="7"/>
      <c r="C132" s="26">
        <v>504</v>
      </c>
      <c r="D132" s="27"/>
      <c r="E132" s="14">
        <v>400</v>
      </c>
      <c r="F132" s="9"/>
      <c r="G132" s="28"/>
      <c r="H132" s="27"/>
      <c r="I132" s="12" t="s">
        <v>150</v>
      </c>
      <c r="J132" s="11">
        <v>1717</v>
      </c>
    </row>
    <row r="133" spans="1:10">
      <c r="A133" s="6">
        <v>44371</v>
      </c>
      <c r="B133" s="7"/>
      <c r="C133" s="26">
        <v>494</v>
      </c>
      <c r="D133" s="27"/>
      <c r="E133" s="14">
        <v>900</v>
      </c>
      <c r="F133" s="9"/>
      <c r="G133" s="28"/>
      <c r="H133" s="27"/>
      <c r="I133" s="12" t="s">
        <v>151</v>
      </c>
      <c r="J133" s="11">
        <v>1786</v>
      </c>
    </row>
    <row r="134" spans="1:10">
      <c r="A134" s="6">
        <v>44371</v>
      </c>
      <c r="B134" s="7"/>
      <c r="C134" s="26">
        <v>492</v>
      </c>
      <c r="D134" s="27"/>
      <c r="E134" s="8">
        <v>2550</v>
      </c>
      <c r="F134" s="9"/>
      <c r="G134" s="28"/>
      <c r="H134" s="27"/>
      <c r="I134" s="12" t="s">
        <v>152</v>
      </c>
      <c r="J134" s="11">
        <v>1412</v>
      </c>
    </row>
    <row r="135" spans="1:10">
      <c r="A135" s="6">
        <v>44371</v>
      </c>
      <c r="B135" s="7"/>
      <c r="C135" s="26">
        <v>443</v>
      </c>
      <c r="D135" s="27"/>
      <c r="E135" s="14">
        <v>210</v>
      </c>
      <c r="F135" s="9"/>
      <c r="G135" s="28"/>
      <c r="H135" s="27"/>
      <c r="I135" s="10" t="s">
        <v>154</v>
      </c>
      <c r="J135" s="11">
        <v>136</v>
      </c>
    </row>
    <row r="136" spans="1:10">
      <c r="A136" s="6">
        <v>44371</v>
      </c>
      <c r="B136" s="7"/>
      <c r="C136" s="26">
        <v>437</v>
      </c>
      <c r="D136" s="27"/>
      <c r="E136" s="14">
        <v>32.840000000000003</v>
      </c>
      <c r="F136" s="9"/>
      <c r="G136" s="28"/>
      <c r="H136" s="27"/>
      <c r="I136" s="12" t="s">
        <v>155</v>
      </c>
      <c r="J136" s="11">
        <v>1741</v>
      </c>
    </row>
    <row r="137" spans="1:10">
      <c r="A137" s="6">
        <v>44371</v>
      </c>
      <c r="B137" s="7"/>
      <c r="C137" s="26">
        <v>415</v>
      </c>
      <c r="D137" s="27"/>
      <c r="E137" s="14">
        <v>390</v>
      </c>
      <c r="F137" s="9"/>
      <c r="G137" s="28"/>
      <c r="H137" s="27"/>
      <c r="I137" s="12" t="s">
        <v>156</v>
      </c>
      <c r="J137" s="11">
        <v>137</v>
      </c>
    </row>
    <row r="138" spans="1:10">
      <c r="A138" s="6">
        <v>44371</v>
      </c>
      <c r="B138" s="7"/>
      <c r="C138" s="26">
        <v>414</v>
      </c>
      <c r="D138" s="27"/>
      <c r="E138" s="14">
        <v>480</v>
      </c>
      <c r="F138" s="9"/>
      <c r="G138" s="28"/>
      <c r="H138" s="27"/>
      <c r="I138" s="12" t="s">
        <v>157</v>
      </c>
      <c r="J138" s="11">
        <v>1960</v>
      </c>
    </row>
    <row r="139" spans="1:10">
      <c r="A139" s="6">
        <v>44371</v>
      </c>
      <c r="B139" s="7"/>
      <c r="C139" s="26">
        <v>407</v>
      </c>
      <c r="D139" s="27"/>
      <c r="E139" s="14">
        <v>565</v>
      </c>
      <c r="F139" s="9"/>
      <c r="G139" s="28"/>
      <c r="H139" s="27"/>
      <c r="I139" s="12" t="s">
        <v>158</v>
      </c>
      <c r="J139" s="11">
        <v>1944</v>
      </c>
    </row>
    <row r="140" spans="1:10">
      <c r="A140" s="6">
        <v>44371</v>
      </c>
      <c r="B140" s="7"/>
      <c r="C140" s="26">
        <v>405</v>
      </c>
      <c r="D140" s="27"/>
      <c r="E140" s="14">
        <v>750</v>
      </c>
      <c r="F140" s="9"/>
      <c r="G140" s="28"/>
      <c r="H140" s="27"/>
      <c r="I140" s="10" t="s">
        <v>159</v>
      </c>
      <c r="J140" s="11">
        <v>1594</v>
      </c>
    </row>
    <row r="141" spans="1:10">
      <c r="A141" s="6">
        <v>44371</v>
      </c>
      <c r="B141" s="7"/>
      <c r="C141" s="26">
        <v>401</v>
      </c>
      <c r="D141" s="27"/>
      <c r="E141" s="14">
        <v>25</v>
      </c>
      <c r="F141" s="9"/>
      <c r="G141" s="28"/>
      <c r="H141" s="27"/>
      <c r="I141" s="10" t="s">
        <v>160</v>
      </c>
      <c r="J141" s="11">
        <v>1599</v>
      </c>
    </row>
    <row r="142" spans="1:10">
      <c r="A142" s="6">
        <v>44371</v>
      </c>
      <c r="B142" s="7"/>
      <c r="C142" s="26">
        <v>363</v>
      </c>
      <c r="D142" s="27"/>
      <c r="E142" s="14">
        <v>200</v>
      </c>
      <c r="F142" s="9"/>
      <c r="G142" s="28"/>
      <c r="H142" s="27"/>
      <c r="I142" s="12" t="s">
        <v>161</v>
      </c>
      <c r="J142" s="11">
        <v>1785</v>
      </c>
    </row>
    <row r="143" spans="1:10">
      <c r="A143" s="6">
        <v>44371</v>
      </c>
      <c r="B143" s="7"/>
      <c r="C143" s="26">
        <v>362</v>
      </c>
      <c r="D143" s="27"/>
      <c r="E143" s="8">
        <v>2220</v>
      </c>
      <c r="F143" s="9"/>
      <c r="G143" s="28"/>
      <c r="H143" s="27"/>
      <c r="I143" s="10" t="s">
        <v>162</v>
      </c>
      <c r="J143" s="11">
        <v>362</v>
      </c>
    </row>
    <row r="144" spans="1:10">
      <c r="A144" s="6">
        <v>44371</v>
      </c>
      <c r="B144" s="7"/>
      <c r="C144" s="26">
        <v>353</v>
      </c>
      <c r="D144" s="27"/>
      <c r="E144" s="8">
        <v>1829.8</v>
      </c>
      <c r="F144" s="9"/>
      <c r="G144" s="28"/>
      <c r="H144" s="27"/>
      <c r="I144" s="10" t="s">
        <v>163</v>
      </c>
      <c r="J144" s="11">
        <v>93</v>
      </c>
    </row>
    <row r="145" spans="1:10">
      <c r="A145" s="6">
        <v>44371</v>
      </c>
      <c r="B145" s="7"/>
      <c r="C145" s="26">
        <v>352</v>
      </c>
      <c r="D145" s="27"/>
      <c r="E145" s="14">
        <v>100</v>
      </c>
      <c r="F145" s="9"/>
      <c r="G145" s="28"/>
      <c r="H145" s="27"/>
      <c r="I145" s="10" t="s">
        <v>164</v>
      </c>
      <c r="J145" s="11">
        <v>660</v>
      </c>
    </row>
    <row r="146" spans="1:10">
      <c r="A146" s="6">
        <v>44371</v>
      </c>
      <c r="B146" s="7"/>
      <c r="C146" s="26">
        <v>347</v>
      </c>
      <c r="D146" s="27"/>
      <c r="E146" s="8">
        <v>1060</v>
      </c>
      <c r="F146" s="9"/>
      <c r="G146" s="28"/>
      <c r="H146" s="27"/>
      <c r="I146" s="10" t="s">
        <v>165</v>
      </c>
      <c r="J146" s="10" t="s">
        <v>128</v>
      </c>
    </row>
    <row r="147" spans="1:10">
      <c r="A147" s="6">
        <v>44371</v>
      </c>
      <c r="B147" s="7"/>
      <c r="C147" s="26">
        <v>344</v>
      </c>
      <c r="D147" s="27"/>
      <c r="E147" s="14">
        <v>400</v>
      </c>
      <c r="F147" s="9"/>
      <c r="G147" s="28"/>
      <c r="H147" s="27"/>
      <c r="I147" s="12" t="s">
        <v>166</v>
      </c>
      <c r="J147" s="11">
        <v>142</v>
      </c>
    </row>
    <row r="148" spans="1:10">
      <c r="A148" s="6">
        <v>44371</v>
      </c>
      <c r="B148" s="7"/>
      <c r="C148" s="26">
        <v>338</v>
      </c>
      <c r="D148" s="27"/>
      <c r="E148" s="14">
        <v>100.01</v>
      </c>
      <c r="F148" s="9"/>
      <c r="G148" s="28"/>
      <c r="H148" s="27"/>
      <c r="I148" s="12" t="s">
        <v>167</v>
      </c>
      <c r="J148" s="11">
        <v>145</v>
      </c>
    </row>
    <row r="149" spans="1:10">
      <c r="A149" s="6">
        <v>44371</v>
      </c>
      <c r="B149" s="7"/>
      <c r="C149" s="26">
        <v>328</v>
      </c>
      <c r="D149" s="27"/>
      <c r="E149" s="14">
        <v>755.05</v>
      </c>
      <c r="F149" s="9"/>
      <c r="G149" s="28"/>
      <c r="H149" s="27"/>
      <c r="I149" s="12" t="s">
        <v>168</v>
      </c>
      <c r="J149" s="11">
        <v>1866</v>
      </c>
    </row>
    <row r="150" spans="1:10">
      <c r="A150" s="6">
        <v>44371</v>
      </c>
      <c r="B150" s="7"/>
      <c r="C150" s="26">
        <v>295</v>
      </c>
      <c r="D150" s="27"/>
      <c r="E150" s="8">
        <v>2400</v>
      </c>
      <c r="F150" s="9"/>
      <c r="G150" s="28"/>
      <c r="H150" s="27"/>
      <c r="I150" s="12" t="s">
        <v>169</v>
      </c>
      <c r="J150" s="11">
        <v>1575</v>
      </c>
    </row>
    <row r="151" spans="1:10">
      <c r="A151" s="6">
        <v>44371</v>
      </c>
      <c r="B151" s="7"/>
      <c r="C151" s="26">
        <v>292</v>
      </c>
      <c r="D151" s="27"/>
      <c r="E151" s="14">
        <v>300</v>
      </c>
      <c r="F151" s="9"/>
      <c r="G151" s="28"/>
      <c r="H151" s="27"/>
      <c r="I151" s="10" t="s">
        <v>170</v>
      </c>
      <c r="J151" s="11">
        <v>614</v>
      </c>
    </row>
    <row r="152" spans="1:10">
      <c r="A152" s="6">
        <v>44371</v>
      </c>
      <c r="B152" s="7"/>
      <c r="C152" s="26">
        <v>291</v>
      </c>
      <c r="D152" s="27"/>
      <c r="E152" s="8">
        <v>3890</v>
      </c>
      <c r="F152" s="9"/>
      <c r="G152" s="28"/>
      <c r="H152" s="27"/>
      <c r="I152" s="10" t="s">
        <v>171</v>
      </c>
      <c r="J152" s="11">
        <v>1124</v>
      </c>
    </row>
    <row r="153" spans="1:10">
      <c r="A153" s="6">
        <v>44371</v>
      </c>
      <c r="B153" s="7"/>
      <c r="C153" s="26">
        <v>271</v>
      </c>
      <c r="D153" s="27"/>
      <c r="E153" s="14">
        <v>800</v>
      </c>
      <c r="F153" s="9"/>
      <c r="G153" s="28"/>
      <c r="H153" s="27"/>
      <c r="I153" s="12" t="s">
        <v>172</v>
      </c>
      <c r="J153" s="11">
        <v>1875</v>
      </c>
    </row>
    <row r="154" spans="1:10">
      <c r="A154" s="6">
        <v>44371</v>
      </c>
      <c r="B154" s="7"/>
      <c r="C154" s="26">
        <v>269</v>
      </c>
      <c r="D154" s="27"/>
      <c r="E154" s="14">
        <v>600</v>
      </c>
      <c r="F154" s="9"/>
      <c r="G154" s="28"/>
      <c r="H154" s="27"/>
      <c r="I154" s="10" t="s">
        <v>173</v>
      </c>
      <c r="J154" s="11">
        <v>1396</v>
      </c>
    </row>
    <row r="155" spans="1:10">
      <c r="A155" s="6">
        <v>44371</v>
      </c>
      <c r="B155" s="7"/>
      <c r="C155" s="26">
        <v>244</v>
      </c>
      <c r="D155" s="27"/>
      <c r="E155" s="14">
        <v>61.47</v>
      </c>
      <c r="F155" s="9"/>
      <c r="G155" s="28"/>
      <c r="H155" s="27"/>
      <c r="I155" s="12" t="s">
        <v>174</v>
      </c>
      <c r="J155" s="11">
        <v>1143</v>
      </c>
    </row>
    <row r="156" spans="1:10">
      <c r="A156" s="6">
        <v>44371</v>
      </c>
      <c r="B156" s="7"/>
      <c r="C156" s="26">
        <v>232</v>
      </c>
      <c r="D156" s="27"/>
      <c r="E156" s="14">
        <v>440.14</v>
      </c>
      <c r="F156" s="9"/>
      <c r="G156" s="28"/>
      <c r="H156" s="27"/>
      <c r="I156" s="10" t="s">
        <v>175</v>
      </c>
      <c r="J156" s="11">
        <v>21</v>
      </c>
    </row>
    <row r="157" spans="1:10">
      <c r="A157" s="6">
        <v>44371</v>
      </c>
      <c r="B157" s="7"/>
      <c r="C157" s="26">
        <v>222</v>
      </c>
      <c r="D157" s="27"/>
      <c r="E157" s="14">
        <v>100</v>
      </c>
      <c r="F157" s="9"/>
      <c r="G157" s="28"/>
      <c r="H157" s="27"/>
      <c r="I157" s="10" t="s">
        <v>176</v>
      </c>
      <c r="J157" s="11">
        <v>1568</v>
      </c>
    </row>
    <row r="158" spans="1:10">
      <c r="A158" s="6">
        <v>44371</v>
      </c>
      <c r="B158" s="7"/>
      <c r="C158" s="26">
        <v>218</v>
      </c>
      <c r="D158" s="27"/>
      <c r="E158" s="14">
        <v>263</v>
      </c>
      <c r="F158" s="9"/>
      <c r="G158" s="28"/>
      <c r="H158" s="27"/>
      <c r="I158" s="12" t="s">
        <v>177</v>
      </c>
      <c r="J158" s="11">
        <v>1542</v>
      </c>
    </row>
    <row r="159" spans="1:10">
      <c r="A159" s="6">
        <v>44371</v>
      </c>
      <c r="B159" s="7"/>
      <c r="C159" s="26">
        <v>209</v>
      </c>
      <c r="D159" s="27"/>
      <c r="E159" s="8">
        <v>1192.08</v>
      </c>
      <c r="F159" s="9"/>
      <c r="G159" s="28"/>
      <c r="H159" s="27"/>
      <c r="I159" s="12" t="s">
        <v>178</v>
      </c>
      <c r="J159" s="11">
        <v>1939</v>
      </c>
    </row>
    <row r="160" spans="1:10">
      <c r="A160" s="6">
        <v>44371</v>
      </c>
      <c r="B160" s="7"/>
      <c r="C160" s="26">
        <v>196</v>
      </c>
      <c r="D160" s="27"/>
      <c r="E160" s="8">
        <v>1400</v>
      </c>
      <c r="F160" s="9"/>
      <c r="G160" s="28"/>
      <c r="H160" s="27"/>
      <c r="I160" s="10" t="s">
        <v>179</v>
      </c>
      <c r="J160" s="11">
        <v>380</v>
      </c>
    </row>
    <row r="161" spans="1:10">
      <c r="A161" s="6">
        <v>44371</v>
      </c>
      <c r="B161" s="7"/>
      <c r="C161" s="26">
        <v>178</v>
      </c>
      <c r="D161" s="27"/>
      <c r="E161" s="8">
        <v>2374.7600000000002</v>
      </c>
      <c r="F161" s="9"/>
      <c r="G161" s="28"/>
      <c r="H161" s="27"/>
      <c r="I161" s="12" t="s">
        <v>180</v>
      </c>
      <c r="J161" s="11">
        <v>159</v>
      </c>
    </row>
    <row r="162" spans="1:10">
      <c r="A162" s="6">
        <v>44371</v>
      </c>
      <c r="B162" s="7"/>
      <c r="C162" s="26">
        <v>170</v>
      </c>
      <c r="D162" s="27"/>
      <c r="E162" s="14">
        <v>225</v>
      </c>
      <c r="F162" s="9"/>
      <c r="G162" s="28"/>
      <c r="H162" s="27"/>
      <c r="I162" s="12" t="s">
        <v>181</v>
      </c>
      <c r="J162" s="11">
        <v>1797</v>
      </c>
    </row>
    <row r="163" spans="1:10">
      <c r="A163" s="6">
        <v>44371</v>
      </c>
      <c r="B163" s="7"/>
      <c r="C163" s="26">
        <v>164</v>
      </c>
      <c r="D163" s="27"/>
      <c r="E163" s="14">
        <v>750</v>
      </c>
      <c r="F163" s="9"/>
      <c r="G163" s="28"/>
      <c r="H163" s="27"/>
      <c r="I163" s="10" t="s">
        <v>182</v>
      </c>
      <c r="J163" s="11">
        <v>222</v>
      </c>
    </row>
    <row r="164" spans="1:10">
      <c r="A164" s="6">
        <v>44371</v>
      </c>
      <c r="B164" s="7"/>
      <c r="C164" s="26">
        <v>163</v>
      </c>
      <c r="D164" s="27"/>
      <c r="E164" s="14">
        <v>94.93</v>
      </c>
      <c r="F164" s="9"/>
      <c r="G164" s="28"/>
      <c r="H164" s="27"/>
      <c r="I164" s="10" t="s">
        <v>183</v>
      </c>
      <c r="J164" s="11">
        <v>1079</v>
      </c>
    </row>
    <row r="165" spans="1:10">
      <c r="A165" s="6">
        <v>44371</v>
      </c>
      <c r="B165" s="7"/>
      <c r="C165" s="26">
        <v>159</v>
      </c>
      <c r="D165" s="27"/>
      <c r="E165" s="14">
        <v>950</v>
      </c>
      <c r="F165" s="9"/>
      <c r="G165" s="28"/>
      <c r="H165" s="27"/>
      <c r="I165" s="10" t="s">
        <v>184</v>
      </c>
      <c r="J165" s="11">
        <v>575</v>
      </c>
    </row>
    <row r="166" spans="1:10">
      <c r="A166" s="6">
        <v>44371</v>
      </c>
      <c r="B166" s="7"/>
      <c r="C166" s="26">
        <v>154</v>
      </c>
      <c r="D166" s="27"/>
      <c r="E166" s="14">
        <v>326.14999999999998</v>
      </c>
      <c r="F166" s="9"/>
      <c r="G166" s="28"/>
      <c r="H166" s="27"/>
      <c r="I166" s="10" t="s">
        <v>185</v>
      </c>
      <c r="J166" s="11">
        <v>163</v>
      </c>
    </row>
    <row r="167" spans="1:10">
      <c r="A167" s="6">
        <v>44371</v>
      </c>
      <c r="B167" s="7"/>
      <c r="C167" s="26">
        <v>148</v>
      </c>
      <c r="D167" s="27"/>
      <c r="E167" s="8">
        <v>1970</v>
      </c>
      <c r="F167" s="9"/>
      <c r="G167" s="28"/>
      <c r="H167" s="27"/>
      <c r="I167" s="12" t="s">
        <v>186</v>
      </c>
      <c r="J167" s="11">
        <v>1940</v>
      </c>
    </row>
    <row r="168" spans="1:10">
      <c r="A168" s="6">
        <v>44371</v>
      </c>
      <c r="B168" s="7"/>
      <c r="C168" s="26">
        <v>142</v>
      </c>
      <c r="D168" s="27"/>
      <c r="E168" s="14">
        <v>250</v>
      </c>
      <c r="F168" s="9"/>
      <c r="G168" s="28"/>
      <c r="H168" s="27"/>
      <c r="I168" s="12" t="s">
        <v>187</v>
      </c>
      <c r="J168" s="11">
        <v>164</v>
      </c>
    </row>
    <row r="169" spans="1:10">
      <c r="A169" s="6">
        <v>44371</v>
      </c>
      <c r="B169" s="7"/>
      <c r="C169" s="26">
        <v>136</v>
      </c>
      <c r="D169" s="27"/>
      <c r="E169" s="14">
        <v>220</v>
      </c>
      <c r="F169" s="9"/>
      <c r="G169" s="28"/>
      <c r="H169" s="27"/>
      <c r="I169" s="12" t="s">
        <v>188</v>
      </c>
      <c r="J169" s="11">
        <v>1574</v>
      </c>
    </row>
    <row r="170" spans="1:10">
      <c r="A170" s="6">
        <v>44371</v>
      </c>
      <c r="B170" s="7"/>
      <c r="C170" s="26">
        <v>128</v>
      </c>
      <c r="D170" s="27"/>
      <c r="E170" s="14">
        <v>50</v>
      </c>
      <c r="F170" s="9"/>
      <c r="G170" s="28"/>
      <c r="H170" s="27"/>
      <c r="I170" s="12" t="s">
        <v>189</v>
      </c>
      <c r="J170" s="11">
        <v>759</v>
      </c>
    </row>
    <row r="171" spans="1:10">
      <c r="A171" s="6">
        <v>44371</v>
      </c>
      <c r="B171" s="7"/>
      <c r="C171" s="26">
        <v>98</v>
      </c>
      <c r="D171" s="27"/>
      <c r="E171" s="8">
        <v>2822</v>
      </c>
      <c r="F171" s="9"/>
      <c r="G171" s="28"/>
      <c r="H171" s="27"/>
      <c r="I171" s="10" t="s">
        <v>190</v>
      </c>
      <c r="J171" s="11">
        <v>6</v>
      </c>
    </row>
    <row r="172" spans="1:10">
      <c r="A172" s="6">
        <v>44371</v>
      </c>
      <c r="B172" s="7"/>
      <c r="C172" s="26">
        <v>96</v>
      </c>
      <c r="D172" s="27"/>
      <c r="E172" s="14">
        <v>133</v>
      </c>
      <c r="F172" s="9"/>
      <c r="G172" s="28"/>
      <c r="H172" s="27"/>
      <c r="I172" s="10" t="s">
        <v>191</v>
      </c>
      <c r="J172" s="11">
        <v>344</v>
      </c>
    </row>
    <row r="173" spans="1:10">
      <c r="A173" s="6">
        <v>44371</v>
      </c>
      <c r="B173" s="7"/>
      <c r="C173" s="26">
        <v>90</v>
      </c>
      <c r="D173" s="27"/>
      <c r="E173" s="14">
        <v>80</v>
      </c>
      <c r="F173" s="9"/>
      <c r="G173" s="28"/>
      <c r="H173" s="27"/>
      <c r="I173" s="12" t="s">
        <v>192</v>
      </c>
      <c r="J173" s="11">
        <v>1579</v>
      </c>
    </row>
    <row r="174" spans="1:10">
      <c r="A174" s="6">
        <v>44371</v>
      </c>
      <c r="B174" s="7"/>
      <c r="C174" s="26">
        <v>84</v>
      </c>
      <c r="D174" s="27"/>
      <c r="E174" s="8">
        <v>3250</v>
      </c>
      <c r="F174" s="9"/>
      <c r="G174" s="28"/>
      <c r="H174" s="27"/>
      <c r="I174" s="10" t="s">
        <v>193</v>
      </c>
      <c r="J174" s="11">
        <v>677</v>
      </c>
    </row>
    <row r="175" spans="1:10">
      <c r="A175" s="6">
        <v>44371</v>
      </c>
      <c r="B175" s="7"/>
      <c r="C175" s="26">
        <v>74</v>
      </c>
      <c r="D175" s="27"/>
      <c r="E175" s="8">
        <v>3981.02</v>
      </c>
      <c r="F175" s="9"/>
      <c r="G175" s="28"/>
      <c r="H175" s="27"/>
      <c r="I175" s="10" t="s">
        <v>194</v>
      </c>
      <c r="J175" s="11">
        <v>784</v>
      </c>
    </row>
    <row r="176" spans="1:10">
      <c r="A176" s="6">
        <v>44371</v>
      </c>
      <c r="B176" s="7"/>
      <c r="C176" s="26">
        <v>66</v>
      </c>
      <c r="D176" s="27"/>
      <c r="E176" s="8">
        <v>1717.15</v>
      </c>
      <c r="F176" s="9"/>
      <c r="G176" s="28"/>
      <c r="H176" s="27"/>
      <c r="I176" s="12" t="s">
        <v>195</v>
      </c>
      <c r="J176" s="11">
        <v>761</v>
      </c>
    </row>
    <row r="177" spans="1:10">
      <c r="A177" s="6">
        <v>44371</v>
      </c>
      <c r="B177" s="7"/>
      <c r="C177" s="26">
        <v>63</v>
      </c>
      <c r="D177" s="27"/>
      <c r="E177" s="14">
        <v>30</v>
      </c>
      <c r="F177" s="9"/>
      <c r="G177" s="28"/>
      <c r="H177" s="27"/>
      <c r="I177" s="10" t="s">
        <v>196</v>
      </c>
      <c r="J177" s="11">
        <v>197</v>
      </c>
    </row>
    <row r="178" spans="1:10">
      <c r="A178" s="6">
        <v>44371</v>
      </c>
      <c r="B178" s="7"/>
      <c r="C178" s="26">
        <v>57</v>
      </c>
      <c r="D178" s="27"/>
      <c r="E178" s="14">
        <v>50</v>
      </c>
      <c r="F178" s="9"/>
      <c r="G178" s="28"/>
      <c r="H178" s="27"/>
      <c r="I178" s="10" t="s">
        <v>197</v>
      </c>
      <c r="J178" s="11">
        <v>1850</v>
      </c>
    </row>
    <row r="179" spans="1:10">
      <c r="A179" s="6">
        <v>44371</v>
      </c>
      <c r="B179" s="7"/>
      <c r="C179" s="26">
        <v>48</v>
      </c>
      <c r="D179" s="27"/>
      <c r="E179" s="14">
        <v>200</v>
      </c>
      <c r="F179" s="9"/>
      <c r="G179" s="28"/>
      <c r="H179" s="27"/>
      <c r="I179" s="12" t="s">
        <v>198</v>
      </c>
      <c r="J179" s="11">
        <v>588</v>
      </c>
    </row>
    <row r="180" spans="1:10">
      <c r="A180" s="6">
        <v>44371</v>
      </c>
      <c r="B180" s="7"/>
      <c r="C180" s="26">
        <v>29</v>
      </c>
      <c r="D180" s="27"/>
      <c r="E180" s="8">
        <v>1500</v>
      </c>
      <c r="F180" s="9"/>
      <c r="G180" s="28"/>
      <c r="H180" s="27"/>
      <c r="I180" s="12" t="s">
        <v>199</v>
      </c>
      <c r="J180" s="11">
        <v>1949</v>
      </c>
    </row>
    <row r="181" spans="1:10">
      <c r="A181" s="6">
        <v>44371</v>
      </c>
      <c r="B181" s="7"/>
      <c r="C181" s="26">
        <v>26</v>
      </c>
      <c r="D181" s="27"/>
      <c r="E181" s="14">
        <v>50</v>
      </c>
      <c r="F181" s="9"/>
      <c r="G181" s="28"/>
      <c r="H181" s="27"/>
      <c r="I181" s="10" t="s">
        <v>200</v>
      </c>
      <c r="J181" s="11">
        <v>762</v>
      </c>
    </row>
    <row r="182" spans="1:10">
      <c r="A182" s="6">
        <v>44371</v>
      </c>
      <c r="B182" s="7"/>
      <c r="C182" s="26">
        <v>25</v>
      </c>
      <c r="D182" s="27"/>
      <c r="E182" s="14">
        <v>500</v>
      </c>
      <c r="F182" s="9"/>
      <c r="G182" s="28"/>
      <c r="H182" s="27"/>
      <c r="I182" s="12" t="s">
        <v>201</v>
      </c>
      <c r="J182" s="11">
        <v>1801</v>
      </c>
    </row>
    <row r="183" spans="1:10">
      <c r="A183" s="6">
        <v>44371</v>
      </c>
      <c r="B183" s="7"/>
      <c r="C183" s="26">
        <v>22</v>
      </c>
      <c r="D183" s="27"/>
      <c r="E183" s="8">
        <v>10915</v>
      </c>
      <c r="F183" s="9"/>
      <c r="G183" s="28"/>
      <c r="H183" s="27"/>
      <c r="I183" s="10" t="s">
        <v>202</v>
      </c>
      <c r="J183" s="11">
        <v>1899</v>
      </c>
    </row>
    <row r="184" spans="1:10">
      <c r="A184" s="6">
        <v>44371</v>
      </c>
      <c r="B184" s="7"/>
      <c r="C184" s="26">
        <v>6</v>
      </c>
      <c r="D184" s="27"/>
      <c r="E184" s="14">
        <v>350</v>
      </c>
      <c r="F184" s="9"/>
      <c r="G184" s="28"/>
      <c r="H184" s="27"/>
      <c r="I184" s="10" t="s">
        <v>203</v>
      </c>
      <c r="J184" s="11">
        <v>72</v>
      </c>
    </row>
    <row r="185" spans="1:10">
      <c r="A185" s="6">
        <v>44371</v>
      </c>
      <c r="B185" s="7"/>
      <c r="C185" s="26">
        <v>1997</v>
      </c>
      <c r="D185" s="27"/>
      <c r="E185" s="14">
        <v>150</v>
      </c>
      <c r="F185" s="9"/>
      <c r="G185" s="28"/>
      <c r="H185" s="27"/>
      <c r="I185" s="12" t="s">
        <v>204</v>
      </c>
      <c r="J185" s="11">
        <v>53</v>
      </c>
    </row>
    <row r="186" spans="1:10">
      <c r="A186" s="6">
        <v>44371</v>
      </c>
      <c r="B186" s="7"/>
      <c r="C186" s="26">
        <v>1995</v>
      </c>
      <c r="D186" s="27"/>
      <c r="E186" s="14">
        <v>300</v>
      </c>
      <c r="F186" s="9"/>
      <c r="G186" s="28"/>
      <c r="H186" s="27"/>
      <c r="I186" s="10" t="s">
        <v>205</v>
      </c>
      <c r="J186" s="11">
        <v>765</v>
      </c>
    </row>
    <row r="187" spans="1:10">
      <c r="A187" s="6">
        <v>44371</v>
      </c>
      <c r="B187" s="7"/>
      <c r="C187" s="26">
        <v>1994</v>
      </c>
      <c r="D187" s="27"/>
      <c r="E187" s="14">
        <v>255</v>
      </c>
      <c r="F187" s="9"/>
      <c r="G187" s="28"/>
      <c r="H187" s="27"/>
      <c r="I187" s="10" t="s">
        <v>206</v>
      </c>
      <c r="J187" s="11">
        <v>1492</v>
      </c>
    </row>
    <row r="188" spans="1:10">
      <c r="A188" s="6">
        <v>44371</v>
      </c>
      <c r="B188" s="7"/>
      <c r="C188" s="26">
        <v>1993</v>
      </c>
      <c r="D188" s="27"/>
      <c r="E188" s="14">
        <v>150</v>
      </c>
      <c r="F188" s="9"/>
      <c r="G188" s="28"/>
      <c r="H188" s="27"/>
      <c r="I188" s="10" t="s">
        <v>207</v>
      </c>
      <c r="J188" s="11">
        <v>1817</v>
      </c>
    </row>
    <row r="189" spans="1:10">
      <c r="A189" s="6">
        <v>44371</v>
      </c>
      <c r="B189" s="7"/>
      <c r="C189" s="26">
        <v>1992</v>
      </c>
      <c r="D189" s="27"/>
      <c r="E189" s="14">
        <v>200</v>
      </c>
      <c r="F189" s="9"/>
      <c r="G189" s="28"/>
      <c r="H189" s="27"/>
      <c r="I189" s="12" t="s">
        <v>208</v>
      </c>
      <c r="J189" s="11">
        <v>1759</v>
      </c>
    </row>
    <row r="190" spans="1:10">
      <c r="A190" s="6">
        <v>44371</v>
      </c>
      <c r="B190" s="7"/>
      <c r="C190" s="26">
        <v>1990</v>
      </c>
      <c r="D190" s="27"/>
      <c r="E190" s="14">
        <v>85</v>
      </c>
      <c r="F190" s="9"/>
      <c r="G190" s="28"/>
      <c r="H190" s="27"/>
      <c r="I190" s="10" t="s">
        <v>209</v>
      </c>
      <c r="J190" s="11">
        <v>568</v>
      </c>
    </row>
    <row r="191" spans="1:10">
      <c r="A191" s="6">
        <v>44371</v>
      </c>
      <c r="B191" s="7"/>
      <c r="C191" s="26">
        <v>1989</v>
      </c>
      <c r="D191" s="27"/>
      <c r="E191" s="14">
        <v>71.55</v>
      </c>
      <c r="F191" s="9"/>
      <c r="G191" s="28"/>
      <c r="H191" s="27"/>
      <c r="I191" s="10" t="s">
        <v>210</v>
      </c>
      <c r="J191" s="11">
        <v>52</v>
      </c>
    </row>
    <row r="192" spans="1:10">
      <c r="A192" s="6">
        <v>44371</v>
      </c>
      <c r="B192" s="7"/>
      <c r="C192" s="26">
        <v>1988</v>
      </c>
      <c r="D192" s="27"/>
      <c r="E192" s="14">
        <v>300</v>
      </c>
      <c r="F192" s="9"/>
      <c r="G192" s="28"/>
      <c r="H192" s="27"/>
      <c r="I192" s="12" t="s">
        <v>211</v>
      </c>
      <c r="J192" s="11">
        <v>1278</v>
      </c>
    </row>
    <row r="193" spans="1:10">
      <c r="A193" s="6">
        <v>44371</v>
      </c>
      <c r="B193" s="7"/>
      <c r="C193" s="26">
        <v>1986</v>
      </c>
      <c r="D193" s="27"/>
      <c r="E193" s="14">
        <v>125.78</v>
      </c>
      <c r="F193" s="9"/>
      <c r="G193" s="28"/>
      <c r="H193" s="27"/>
      <c r="I193" s="10" t="s">
        <v>212</v>
      </c>
      <c r="J193" s="11">
        <v>418</v>
      </c>
    </row>
    <row r="194" spans="1:10">
      <c r="A194" s="6">
        <v>44371</v>
      </c>
      <c r="B194" s="7"/>
      <c r="C194" s="26">
        <v>1985</v>
      </c>
      <c r="D194" s="27"/>
      <c r="E194" s="14">
        <v>20</v>
      </c>
      <c r="F194" s="9"/>
      <c r="G194" s="28"/>
      <c r="H194" s="27"/>
      <c r="I194" s="10" t="s">
        <v>213</v>
      </c>
      <c r="J194" s="11">
        <v>1253</v>
      </c>
    </row>
    <row r="195" spans="1:10">
      <c r="A195" s="6">
        <v>44371</v>
      </c>
      <c r="B195" s="7"/>
      <c r="C195" s="26">
        <v>1984</v>
      </c>
      <c r="D195" s="27"/>
      <c r="E195" s="14">
        <v>73.95</v>
      </c>
      <c r="F195" s="9"/>
      <c r="G195" s="28"/>
      <c r="H195" s="27"/>
      <c r="I195" s="12" t="s">
        <v>214</v>
      </c>
      <c r="J195" s="11">
        <v>1592</v>
      </c>
    </row>
    <row r="196" spans="1:10">
      <c r="A196" s="6">
        <v>44371</v>
      </c>
      <c r="B196" s="7"/>
      <c r="C196" s="26">
        <v>1974</v>
      </c>
      <c r="D196" s="27"/>
      <c r="E196" s="14">
        <v>570</v>
      </c>
      <c r="F196" s="9"/>
      <c r="G196" s="28"/>
      <c r="H196" s="27"/>
      <c r="I196" s="12" t="s">
        <v>215</v>
      </c>
      <c r="J196" s="11">
        <v>1125</v>
      </c>
    </row>
    <row r="197" spans="1:10">
      <c r="A197" s="6">
        <v>44371</v>
      </c>
      <c r="B197" s="7"/>
      <c r="C197" s="26">
        <v>1972</v>
      </c>
      <c r="D197" s="27"/>
      <c r="E197" s="14">
        <v>254</v>
      </c>
      <c r="F197" s="9"/>
      <c r="G197" s="28"/>
      <c r="H197" s="27"/>
      <c r="I197" s="10" t="s">
        <v>216</v>
      </c>
      <c r="J197" s="11">
        <v>1439</v>
      </c>
    </row>
    <row r="198" spans="1:10">
      <c r="A198" s="6">
        <v>44371</v>
      </c>
      <c r="B198" s="7"/>
      <c r="C198" s="26">
        <v>1962</v>
      </c>
      <c r="D198" s="27"/>
      <c r="E198" s="14">
        <v>364.75</v>
      </c>
      <c r="F198" s="9"/>
      <c r="G198" s="28"/>
      <c r="H198" s="27"/>
      <c r="I198" s="12" t="s">
        <v>217</v>
      </c>
      <c r="J198" s="11">
        <v>443</v>
      </c>
    </row>
    <row r="199" spans="1:10">
      <c r="A199" s="6">
        <v>44371</v>
      </c>
      <c r="B199" s="7"/>
      <c r="C199" s="26">
        <v>1960</v>
      </c>
      <c r="D199" s="27"/>
      <c r="E199" s="14">
        <v>181.11</v>
      </c>
      <c r="F199" s="9"/>
      <c r="G199" s="28"/>
      <c r="H199" s="27"/>
      <c r="I199" s="10" t="s">
        <v>218</v>
      </c>
      <c r="J199" s="11">
        <v>1888</v>
      </c>
    </row>
    <row r="200" spans="1:10">
      <c r="A200" s="6">
        <v>44371</v>
      </c>
      <c r="B200" s="7"/>
      <c r="C200" s="26">
        <v>1948</v>
      </c>
      <c r="D200" s="27"/>
      <c r="E200" s="14">
        <v>833</v>
      </c>
      <c r="F200" s="9"/>
      <c r="G200" s="28"/>
      <c r="H200" s="27"/>
      <c r="I200" s="10" t="s">
        <v>219</v>
      </c>
      <c r="J200" s="11">
        <v>899</v>
      </c>
    </row>
    <row r="201" spans="1:10">
      <c r="A201" s="6">
        <v>44371</v>
      </c>
      <c r="B201" s="7"/>
      <c r="C201" s="26">
        <v>1944</v>
      </c>
      <c r="D201" s="27"/>
      <c r="E201" s="14">
        <v>200</v>
      </c>
      <c r="F201" s="9"/>
      <c r="G201" s="28"/>
      <c r="H201" s="27"/>
      <c r="I201" s="10" t="s">
        <v>220</v>
      </c>
      <c r="J201" s="11">
        <v>1334</v>
      </c>
    </row>
    <row r="202" spans="1:10">
      <c r="A202" s="6">
        <v>44371</v>
      </c>
      <c r="B202" s="7"/>
      <c r="C202" s="26">
        <v>1940</v>
      </c>
      <c r="D202" s="27"/>
      <c r="E202" s="14">
        <v>513.08000000000004</v>
      </c>
      <c r="F202" s="9"/>
      <c r="G202" s="28"/>
      <c r="H202" s="27"/>
      <c r="I202" s="10" t="s">
        <v>221</v>
      </c>
      <c r="J202" s="11">
        <v>1150</v>
      </c>
    </row>
    <row r="203" spans="1:10">
      <c r="A203" s="6">
        <v>44371</v>
      </c>
      <c r="B203" s="7"/>
      <c r="C203" s="26">
        <v>1938</v>
      </c>
      <c r="D203" s="27"/>
      <c r="E203" s="14">
        <v>253</v>
      </c>
      <c r="F203" s="9"/>
      <c r="G203" s="28"/>
      <c r="H203" s="27"/>
      <c r="I203" s="10" t="s">
        <v>222</v>
      </c>
      <c r="J203" s="11">
        <v>1251</v>
      </c>
    </row>
    <row r="204" spans="1:10">
      <c r="A204" s="6">
        <v>44371</v>
      </c>
      <c r="B204" s="7"/>
      <c r="C204" s="26">
        <v>1934</v>
      </c>
      <c r="D204" s="27"/>
      <c r="E204" s="8">
        <v>2149</v>
      </c>
      <c r="F204" s="9"/>
      <c r="G204" s="28"/>
      <c r="H204" s="27"/>
      <c r="I204" s="10" t="s">
        <v>223</v>
      </c>
      <c r="J204" s="11">
        <v>232</v>
      </c>
    </row>
    <row r="205" spans="1:10">
      <c r="A205" s="6">
        <v>44371</v>
      </c>
      <c r="B205" s="7"/>
      <c r="C205" s="26">
        <v>1926</v>
      </c>
      <c r="D205" s="27"/>
      <c r="E205" s="14">
        <v>720.83</v>
      </c>
      <c r="F205" s="9"/>
      <c r="G205" s="28"/>
      <c r="H205" s="27"/>
      <c r="I205" s="10" t="s">
        <v>224</v>
      </c>
      <c r="J205" s="11">
        <v>287</v>
      </c>
    </row>
    <row r="206" spans="1:10">
      <c r="A206" s="6">
        <v>44371</v>
      </c>
      <c r="B206" s="7"/>
      <c r="C206" s="26">
        <v>1908</v>
      </c>
      <c r="D206" s="27"/>
      <c r="E206" s="14">
        <v>337</v>
      </c>
      <c r="F206" s="9"/>
      <c r="G206" s="28"/>
      <c r="H206" s="27"/>
      <c r="I206" s="10" t="s">
        <v>225</v>
      </c>
      <c r="J206" s="11">
        <v>407</v>
      </c>
    </row>
    <row r="207" spans="1:10">
      <c r="A207" s="6">
        <v>44371</v>
      </c>
      <c r="B207" s="7"/>
      <c r="C207" s="26">
        <v>1905</v>
      </c>
      <c r="D207" s="27"/>
      <c r="E207" s="14">
        <v>112.12</v>
      </c>
      <c r="F207" s="9"/>
      <c r="G207" s="28"/>
      <c r="H207" s="27"/>
      <c r="I207" s="10" t="s">
        <v>226</v>
      </c>
      <c r="J207" s="11">
        <v>84</v>
      </c>
    </row>
    <row r="208" spans="1:10">
      <c r="A208" s="6">
        <v>44371</v>
      </c>
      <c r="B208" s="7"/>
      <c r="C208" s="26">
        <v>1886</v>
      </c>
      <c r="D208" s="27"/>
      <c r="E208" s="14">
        <v>100</v>
      </c>
      <c r="F208" s="9"/>
      <c r="G208" s="28"/>
      <c r="H208" s="27"/>
      <c r="I208" s="10" t="s">
        <v>227</v>
      </c>
      <c r="J208" s="11">
        <v>1459</v>
      </c>
    </row>
    <row r="209" spans="1:10">
      <c r="A209" s="6">
        <v>44371</v>
      </c>
      <c r="B209" s="7"/>
      <c r="C209" s="26">
        <v>1883</v>
      </c>
      <c r="D209" s="27"/>
      <c r="E209" s="14">
        <v>368</v>
      </c>
      <c r="F209" s="9"/>
      <c r="G209" s="28"/>
      <c r="H209" s="27"/>
      <c r="I209" s="10" t="s">
        <v>228</v>
      </c>
      <c r="J209" s="11">
        <v>1432</v>
      </c>
    </row>
    <row r="210" spans="1:10">
      <c r="A210" s="6">
        <v>44371</v>
      </c>
      <c r="B210" s="7"/>
      <c r="C210" s="26">
        <v>1882</v>
      </c>
      <c r="D210" s="27"/>
      <c r="E210" s="14">
        <v>786</v>
      </c>
      <c r="F210" s="9"/>
      <c r="G210" s="28"/>
      <c r="H210" s="27"/>
      <c r="I210" s="10" t="s">
        <v>229</v>
      </c>
      <c r="J210" s="11">
        <v>217</v>
      </c>
    </row>
    <row r="211" spans="1:10">
      <c r="A211" s="6">
        <v>44371</v>
      </c>
      <c r="B211" s="7"/>
      <c r="C211" s="26">
        <v>1881</v>
      </c>
      <c r="D211" s="27"/>
      <c r="E211" s="14">
        <v>196</v>
      </c>
      <c r="F211" s="9"/>
      <c r="G211" s="28"/>
      <c r="H211" s="27"/>
      <c r="I211" s="10" t="s">
        <v>230</v>
      </c>
      <c r="J211" s="11">
        <v>630</v>
      </c>
    </row>
    <row r="212" spans="1:10">
      <c r="A212" s="6">
        <v>44371</v>
      </c>
      <c r="B212" s="7"/>
      <c r="C212" s="26">
        <v>1878</v>
      </c>
      <c r="D212" s="27"/>
      <c r="E212" s="14">
        <v>118</v>
      </c>
      <c r="F212" s="9"/>
      <c r="G212" s="28"/>
      <c r="H212" s="27"/>
      <c r="I212" s="10" t="s">
        <v>231</v>
      </c>
      <c r="J212" s="11">
        <v>264</v>
      </c>
    </row>
    <row r="213" spans="1:10">
      <c r="A213" s="6">
        <v>44371</v>
      </c>
      <c r="B213" s="7"/>
      <c r="C213" s="26">
        <v>1875</v>
      </c>
      <c r="D213" s="27"/>
      <c r="E213" s="14">
        <v>356</v>
      </c>
      <c r="F213" s="9"/>
      <c r="G213" s="28"/>
      <c r="H213" s="27"/>
      <c r="I213" s="10" t="s">
        <v>232</v>
      </c>
      <c r="J213" s="11">
        <v>1184</v>
      </c>
    </row>
    <row r="214" spans="1:10">
      <c r="A214" s="6">
        <v>44371</v>
      </c>
      <c r="B214" s="7"/>
      <c r="C214" s="26">
        <v>1873</v>
      </c>
      <c r="D214" s="27"/>
      <c r="E214" s="14">
        <v>954</v>
      </c>
      <c r="F214" s="9"/>
      <c r="G214" s="28"/>
      <c r="H214" s="27"/>
      <c r="I214" s="10" t="s">
        <v>233</v>
      </c>
      <c r="J214" s="11">
        <v>1906</v>
      </c>
    </row>
    <row r="215" spans="1:10">
      <c r="A215" s="6">
        <v>44371</v>
      </c>
      <c r="B215" s="7"/>
      <c r="C215" s="26">
        <v>1866</v>
      </c>
      <c r="D215" s="27"/>
      <c r="E215" s="14">
        <v>154</v>
      </c>
      <c r="F215" s="9"/>
      <c r="G215" s="28"/>
      <c r="H215" s="27"/>
      <c r="I215" s="10" t="s">
        <v>234</v>
      </c>
      <c r="J215" s="11">
        <v>1490</v>
      </c>
    </row>
    <row r="216" spans="1:10">
      <c r="A216" s="6">
        <v>44371</v>
      </c>
      <c r="B216" s="7"/>
      <c r="C216" s="26">
        <v>1849</v>
      </c>
      <c r="D216" s="27"/>
      <c r="E216" s="14">
        <v>112</v>
      </c>
      <c r="F216" s="9"/>
      <c r="G216" s="28"/>
      <c r="H216" s="27"/>
      <c r="I216" s="10" t="s">
        <v>235</v>
      </c>
      <c r="J216" s="11">
        <v>1938</v>
      </c>
    </row>
    <row r="217" spans="1:10">
      <c r="A217" s="6">
        <v>44371</v>
      </c>
      <c r="B217" s="7"/>
      <c r="C217" s="26">
        <v>1835</v>
      </c>
      <c r="D217" s="27"/>
      <c r="E217" s="14">
        <v>122</v>
      </c>
      <c r="F217" s="9"/>
      <c r="G217" s="28"/>
      <c r="H217" s="27"/>
      <c r="I217" s="10" t="s">
        <v>236</v>
      </c>
      <c r="J217" s="11">
        <v>504</v>
      </c>
    </row>
    <row r="218" spans="1:10">
      <c r="A218" s="6">
        <v>44371</v>
      </c>
      <c r="B218" s="7"/>
      <c r="C218" s="26">
        <v>1831</v>
      </c>
      <c r="D218" s="27"/>
      <c r="E218" s="14">
        <v>182</v>
      </c>
      <c r="F218" s="9"/>
      <c r="G218" s="28"/>
      <c r="H218" s="27"/>
      <c r="I218" s="10" t="s">
        <v>237</v>
      </c>
      <c r="J218" s="11">
        <v>708</v>
      </c>
    </row>
    <row r="219" spans="1:10">
      <c r="A219" s="6">
        <v>44371</v>
      </c>
      <c r="B219" s="7"/>
      <c r="C219" s="26">
        <v>1830</v>
      </c>
      <c r="D219" s="27"/>
      <c r="E219" s="14">
        <v>553</v>
      </c>
      <c r="F219" s="9"/>
      <c r="G219" s="28"/>
      <c r="H219" s="27"/>
      <c r="I219" s="10" t="s">
        <v>238</v>
      </c>
      <c r="J219" s="11">
        <v>518</v>
      </c>
    </row>
    <row r="220" spans="1:10">
      <c r="A220" s="6">
        <v>44371</v>
      </c>
      <c r="B220" s="7"/>
      <c r="C220" s="26">
        <v>1819</v>
      </c>
      <c r="D220" s="27"/>
      <c r="E220" s="14">
        <v>337.05</v>
      </c>
      <c r="F220" s="9"/>
      <c r="G220" s="28"/>
      <c r="H220" s="27"/>
      <c r="I220" s="10" t="s">
        <v>239</v>
      </c>
      <c r="J220" s="11">
        <v>549</v>
      </c>
    </row>
    <row r="221" spans="1:10">
      <c r="A221" s="6">
        <v>44371</v>
      </c>
      <c r="B221" s="7"/>
      <c r="C221" s="26">
        <v>1817</v>
      </c>
      <c r="D221" s="27"/>
      <c r="E221" s="14">
        <v>561</v>
      </c>
      <c r="F221" s="9"/>
      <c r="G221" s="28"/>
      <c r="H221" s="27"/>
      <c r="I221" s="12" t="s">
        <v>240</v>
      </c>
      <c r="J221" s="11">
        <v>1742</v>
      </c>
    </row>
    <row r="222" spans="1:10">
      <c r="A222" s="6">
        <v>44371</v>
      </c>
      <c r="B222" s="7"/>
      <c r="C222" s="26">
        <v>1801</v>
      </c>
      <c r="D222" s="27"/>
      <c r="E222" s="8">
        <v>1368.83</v>
      </c>
      <c r="F222" s="9"/>
      <c r="G222" s="28"/>
      <c r="H222" s="27"/>
      <c r="I222" s="10" t="s">
        <v>241</v>
      </c>
      <c r="J222" s="11">
        <v>230</v>
      </c>
    </row>
    <row r="223" spans="1:10">
      <c r="A223" s="6">
        <v>44371</v>
      </c>
      <c r="B223" s="7"/>
      <c r="C223" s="26">
        <v>1797</v>
      </c>
      <c r="D223" s="27"/>
      <c r="E223" s="14">
        <v>18.64</v>
      </c>
      <c r="F223" s="9"/>
      <c r="G223" s="28"/>
      <c r="H223" s="27"/>
      <c r="I223" s="10" t="s">
        <v>242</v>
      </c>
      <c r="J223" s="11">
        <v>1834</v>
      </c>
    </row>
    <row r="224" spans="1:10">
      <c r="A224" s="6">
        <v>44371</v>
      </c>
      <c r="B224" s="7"/>
      <c r="C224" s="26">
        <v>1795</v>
      </c>
      <c r="D224" s="27"/>
      <c r="E224" s="14">
        <v>113</v>
      </c>
      <c r="F224" s="9"/>
      <c r="G224" s="28"/>
      <c r="H224" s="27"/>
      <c r="I224" s="10" t="s">
        <v>243</v>
      </c>
      <c r="J224" s="11">
        <v>1897</v>
      </c>
    </row>
    <row r="225" spans="1:10">
      <c r="A225" s="6">
        <v>44371</v>
      </c>
      <c r="B225" s="7"/>
      <c r="C225" s="26">
        <v>1792</v>
      </c>
      <c r="D225" s="27"/>
      <c r="E225" s="14">
        <v>196</v>
      </c>
      <c r="F225" s="9"/>
      <c r="G225" s="28"/>
      <c r="H225" s="27"/>
      <c r="I225" s="10" t="s">
        <v>244</v>
      </c>
      <c r="J225" s="11">
        <v>415</v>
      </c>
    </row>
    <row r="226" spans="1:10">
      <c r="A226" s="6">
        <v>44371</v>
      </c>
      <c r="B226" s="7"/>
      <c r="C226" s="26">
        <v>1786</v>
      </c>
      <c r="D226" s="27"/>
      <c r="E226" s="14">
        <v>35</v>
      </c>
      <c r="F226" s="9"/>
      <c r="G226" s="28"/>
      <c r="H226" s="27"/>
      <c r="I226" s="10" t="s">
        <v>245</v>
      </c>
      <c r="J226" s="11">
        <v>233</v>
      </c>
    </row>
    <row r="227" spans="1:10">
      <c r="A227" s="6">
        <v>44371</v>
      </c>
      <c r="B227" s="7"/>
      <c r="C227" s="26">
        <v>1779</v>
      </c>
      <c r="D227" s="27"/>
      <c r="E227" s="14">
        <v>626</v>
      </c>
      <c r="F227" s="9"/>
      <c r="G227" s="28"/>
      <c r="H227" s="27"/>
      <c r="I227" s="10" t="s">
        <v>246</v>
      </c>
      <c r="J227" s="11">
        <v>1042</v>
      </c>
    </row>
    <row r="228" spans="1:10">
      <c r="A228" s="6">
        <v>44371</v>
      </c>
      <c r="B228" s="7"/>
      <c r="C228" s="26">
        <v>1769</v>
      </c>
      <c r="D228" s="27"/>
      <c r="E228" s="14">
        <v>842</v>
      </c>
      <c r="F228" s="9"/>
      <c r="G228" s="28"/>
      <c r="H228" s="27"/>
      <c r="I228" s="12" t="s">
        <v>247</v>
      </c>
      <c r="J228" s="11">
        <v>1832</v>
      </c>
    </row>
    <row r="229" spans="1:10">
      <c r="A229" s="6">
        <v>44371</v>
      </c>
      <c r="B229" s="7"/>
      <c r="C229" s="26">
        <v>1766</v>
      </c>
      <c r="D229" s="27"/>
      <c r="E229" s="14">
        <v>696</v>
      </c>
      <c r="F229" s="9"/>
      <c r="G229" s="28"/>
      <c r="H229" s="27"/>
      <c r="I229" s="10" t="s">
        <v>248</v>
      </c>
      <c r="J229" s="11">
        <v>676</v>
      </c>
    </row>
    <row r="230" spans="1:10">
      <c r="A230" s="6">
        <v>44371</v>
      </c>
      <c r="B230" s="7"/>
      <c r="C230" s="26">
        <v>1759</v>
      </c>
      <c r="D230" s="27"/>
      <c r="E230" s="8">
        <v>1212</v>
      </c>
      <c r="F230" s="9"/>
      <c r="G230" s="28"/>
      <c r="H230" s="27"/>
      <c r="I230" s="12" t="s">
        <v>249</v>
      </c>
      <c r="J230" s="11">
        <v>1063</v>
      </c>
    </row>
    <row r="231" spans="1:10">
      <c r="A231" s="6">
        <v>44371</v>
      </c>
      <c r="B231" s="7"/>
      <c r="C231" s="26">
        <v>1758</v>
      </c>
      <c r="D231" s="27"/>
      <c r="E231" s="14">
        <v>134</v>
      </c>
      <c r="F231" s="9"/>
      <c r="G231" s="28"/>
      <c r="H231" s="27"/>
      <c r="I231" s="10" t="s">
        <v>250</v>
      </c>
      <c r="J231" s="11">
        <v>492</v>
      </c>
    </row>
    <row r="232" spans="1:10">
      <c r="A232" s="6">
        <v>44371</v>
      </c>
      <c r="B232" s="7"/>
      <c r="C232" s="26">
        <v>1754</v>
      </c>
      <c r="D232" s="27"/>
      <c r="E232" s="14">
        <v>550.83000000000004</v>
      </c>
      <c r="F232" s="9"/>
      <c r="G232" s="28"/>
      <c r="H232" s="27"/>
      <c r="I232" s="10" t="s">
        <v>251</v>
      </c>
      <c r="J232" s="11">
        <v>246</v>
      </c>
    </row>
    <row r="233" spans="1:10">
      <c r="A233" s="6">
        <v>44371</v>
      </c>
      <c r="B233" s="7"/>
      <c r="C233" s="26">
        <v>1753</v>
      </c>
      <c r="D233" s="27"/>
      <c r="E233" s="14">
        <v>0.26</v>
      </c>
      <c r="F233" s="9"/>
      <c r="G233" s="28"/>
      <c r="H233" s="27"/>
      <c r="I233" s="10" t="s">
        <v>252</v>
      </c>
      <c r="J233" s="11">
        <v>1495</v>
      </c>
    </row>
    <row r="234" spans="1:10">
      <c r="A234" s="6">
        <v>44371</v>
      </c>
      <c r="B234" s="7"/>
      <c r="C234" s="26">
        <v>1742</v>
      </c>
      <c r="D234" s="27"/>
      <c r="E234" s="14">
        <v>390</v>
      </c>
      <c r="F234" s="9"/>
      <c r="G234" s="28"/>
      <c r="H234" s="27"/>
      <c r="I234" s="10" t="s">
        <v>253</v>
      </c>
      <c r="J234" s="11">
        <v>1659</v>
      </c>
    </row>
    <row r="235" spans="1:10">
      <c r="A235" s="6">
        <v>44371</v>
      </c>
      <c r="B235" s="7"/>
      <c r="C235" s="26">
        <v>1741</v>
      </c>
      <c r="D235" s="27"/>
      <c r="E235" s="14">
        <v>141.47999999999999</v>
      </c>
      <c r="F235" s="9"/>
      <c r="G235" s="28"/>
      <c r="H235" s="27"/>
      <c r="I235" s="10" t="s">
        <v>254</v>
      </c>
      <c r="J235" s="11">
        <v>269</v>
      </c>
    </row>
    <row r="236" spans="1:10">
      <c r="A236" s="6">
        <v>44371</v>
      </c>
      <c r="B236" s="7"/>
      <c r="C236" s="26">
        <v>1716</v>
      </c>
      <c r="D236" s="27"/>
      <c r="E236" s="14">
        <v>300</v>
      </c>
      <c r="F236" s="9"/>
      <c r="G236" s="28"/>
      <c r="H236" s="27"/>
      <c r="I236" s="10" t="s">
        <v>255</v>
      </c>
      <c r="J236" s="11">
        <v>1953</v>
      </c>
    </row>
    <row r="237" spans="1:10">
      <c r="A237" s="6">
        <v>44371</v>
      </c>
      <c r="B237" s="7"/>
      <c r="C237" s="26">
        <v>1703</v>
      </c>
      <c r="D237" s="27"/>
      <c r="E237" s="14">
        <v>200</v>
      </c>
      <c r="F237" s="9"/>
      <c r="G237" s="28"/>
      <c r="H237" s="27"/>
      <c r="I237" s="10" t="s">
        <v>256</v>
      </c>
      <c r="J237" s="11">
        <v>1656</v>
      </c>
    </row>
    <row r="238" spans="1:10">
      <c r="A238" s="6">
        <v>44371</v>
      </c>
      <c r="B238" s="7"/>
      <c r="C238" s="26">
        <v>1697</v>
      </c>
      <c r="D238" s="27"/>
      <c r="E238" s="14">
        <v>505</v>
      </c>
      <c r="F238" s="9"/>
      <c r="G238" s="28"/>
      <c r="H238" s="27"/>
      <c r="I238" s="10" t="s">
        <v>257</v>
      </c>
      <c r="J238" s="11">
        <v>128</v>
      </c>
    </row>
    <row r="239" spans="1:10">
      <c r="A239" s="6">
        <v>44371</v>
      </c>
      <c r="B239" s="7"/>
      <c r="C239" s="26">
        <v>1688</v>
      </c>
      <c r="D239" s="27"/>
      <c r="E239" s="14">
        <v>209</v>
      </c>
      <c r="F239" s="9"/>
      <c r="G239" s="28"/>
      <c r="H239" s="27"/>
      <c r="I239" s="10" t="s">
        <v>258</v>
      </c>
      <c r="J239" s="11">
        <v>639</v>
      </c>
    </row>
    <row r="240" spans="1:10">
      <c r="A240" s="6">
        <v>44371</v>
      </c>
      <c r="B240" s="7"/>
      <c r="C240" s="26">
        <v>1674</v>
      </c>
      <c r="D240" s="27"/>
      <c r="E240" s="14">
        <v>297</v>
      </c>
      <c r="F240" s="9"/>
      <c r="G240" s="28"/>
      <c r="H240" s="27"/>
      <c r="I240" s="10" t="s">
        <v>259</v>
      </c>
      <c r="J240" s="11">
        <v>1328</v>
      </c>
    </row>
    <row r="241" spans="1:10">
      <c r="A241" s="6">
        <v>44371</v>
      </c>
      <c r="B241" s="7"/>
      <c r="C241" s="26">
        <v>1663</v>
      </c>
      <c r="D241" s="27"/>
      <c r="E241" s="14">
        <v>645</v>
      </c>
      <c r="F241" s="9"/>
      <c r="G241" s="28"/>
      <c r="H241" s="27"/>
      <c r="I241" s="10" t="s">
        <v>260</v>
      </c>
      <c r="J241" s="11">
        <v>1827</v>
      </c>
    </row>
    <row r="242" spans="1:10">
      <c r="A242" s="6">
        <v>44371</v>
      </c>
      <c r="B242" s="7"/>
      <c r="C242" s="26">
        <v>1662</v>
      </c>
      <c r="D242" s="27"/>
      <c r="E242" s="14">
        <v>100</v>
      </c>
      <c r="F242" s="9"/>
      <c r="G242" s="28"/>
      <c r="H242" s="27"/>
      <c r="I242" s="10" t="s">
        <v>261</v>
      </c>
      <c r="J242" s="11">
        <v>244</v>
      </c>
    </row>
    <row r="243" spans="1:10">
      <c r="A243" s="6">
        <v>44371</v>
      </c>
      <c r="B243" s="7"/>
      <c r="C243" s="26">
        <v>1655</v>
      </c>
      <c r="D243" s="27"/>
      <c r="E243" s="14">
        <v>622</v>
      </c>
      <c r="F243" s="9"/>
      <c r="G243" s="28"/>
      <c r="H243" s="27"/>
      <c r="I243" s="10" t="s">
        <v>262</v>
      </c>
      <c r="J243" s="11">
        <v>1186</v>
      </c>
    </row>
    <row r="244" spans="1:10">
      <c r="A244" s="6">
        <v>44371</v>
      </c>
      <c r="B244" s="7"/>
      <c r="C244" s="26">
        <v>1653</v>
      </c>
      <c r="D244" s="27"/>
      <c r="E244" s="8">
        <v>1300</v>
      </c>
      <c r="F244" s="9"/>
      <c r="G244" s="28"/>
      <c r="H244" s="27"/>
      <c r="I244" s="10" t="s">
        <v>263</v>
      </c>
      <c r="J244" s="11">
        <v>1220</v>
      </c>
    </row>
    <row r="245" spans="1:10">
      <c r="A245" s="6">
        <v>44371</v>
      </c>
      <c r="B245" s="7"/>
      <c r="C245" s="26">
        <v>1594</v>
      </c>
      <c r="D245" s="27"/>
      <c r="E245" s="14">
        <v>20</v>
      </c>
      <c r="F245" s="9"/>
      <c r="G245" s="28"/>
      <c r="H245" s="27"/>
      <c r="I245" s="12" t="s">
        <v>264</v>
      </c>
      <c r="J245" s="11">
        <v>1437</v>
      </c>
    </row>
    <row r="246" spans="1:10">
      <c r="A246" s="6">
        <v>44371</v>
      </c>
      <c r="B246" s="7"/>
      <c r="C246" s="26">
        <v>1593</v>
      </c>
      <c r="D246" s="27"/>
      <c r="E246" s="14">
        <v>205</v>
      </c>
      <c r="F246" s="9"/>
      <c r="G246" s="28"/>
      <c r="H246" s="27"/>
      <c r="I246" s="12" t="s">
        <v>265</v>
      </c>
      <c r="J246" s="11">
        <v>1882</v>
      </c>
    </row>
    <row r="247" spans="1:10">
      <c r="A247" s="6">
        <v>44371</v>
      </c>
      <c r="B247" s="7"/>
      <c r="C247" s="26">
        <v>1579</v>
      </c>
      <c r="D247" s="27"/>
      <c r="E247" s="8">
        <v>1083</v>
      </c>
      <c r="F247" s="9"/>
      <c r="G247" s="28"/>
      <c r="H247" s="27"/>
      <c r="I247" s="10" t="s">
        <v>266</v>
      </c>
      <c r="J247" s="11">
        <v>1399</v>
      </c>
    </row>
    <row r="248" spans="1:10">
      <c r="A248" s="6">
        <v>44371</v>
      </c>
      <c r="B248" s="7"/>
      <c r="C248" s="26">
        <v>1578</v>
      </c>
      <c r="D248" s="27"/>
      <c r="E248" s="8">
        <v>1074.6500000000001</v>
      </c>
      <c r="F248" s="9"/>
      <c r="G248" s="28"/>
      <c r="H248" s="27"/>
      <c r="I248" s="12" t="s">
        <v>267</v>
      </c>
      <c r="J248" s="11">
        <v>1593</v>
      </c>
    </row>
    <row r="249" spans="1:10">
      <c r="A249" s="6">
        <v>44371</v>
      </c>
      <c r="B249" s="7"/>
      <c r="C249" s="26">
        <v>1574</v>
      </c>
      <c r="D249" s="27"/>
      <c r="E249" s="14">
        <v>337</v>
      </c>
      <c r="F249" s="9"/>
      <c r="G249" s="28"/>
      <c r="H249" s="27"/>
      <c r="I249" s="12" t="s">
        <v>268</v>
      </c>
      <c r="J249" s="11">
        <v>1514</v>
      </c>
    </row>
    <row r="250" spans="1:10">
      <c r="A250" s="6">
        <v>44371</v>
      </c>
      <c r="B250" s="7"/>
      <c r="C250" s="26">
        <v>1568</v>
      </c>
      <c r="D250" s="27"/>
      <c r="E250" s="14">
        <v>738</v>
      </c>
      <c r="F250" s="9"/>
      <c r="G250" s="28"/>
      <c r="H250" s="27"/>
      <c r="I250" s="10" t="s">
        <v>269</v>
      </c>
      <c r="J250" s="11">
        <v>1205</v>
      </c>
    </row>
    <row r="251" spans="1:10">
      <c r="A251" s="6">
        <v>44371</v>
      </c>
      <c r="B251" s="7"/>
      <c r="C251" s="26">
        <v>1543</v>
      </c>
      <c r="D251" s="27"/>
      <c r="E251" s="14">
        <v>758</v>
      </c>
      <c r="F251" s="9"/>
      <c r="G251" s="28"/>
      <c r="H251" s="27"/>
      <c r="I251" s="10" t="s">
        <v>270</v>
      </c>
      <c r="J251" s="11">
        <v>1190</v>
      </c>
    </row>
    <row r="252" spans="1:10">
      <c r="A252" s="6">
        <v>44371</v>
      </c>
      <c r="B252" s="7"/>
      <c r="C252" s="26">
        <v>1542</v>
      </c>
      <c r="D252" s="27"/>
      <c r="E252" s="14">
        <v>93</v>
      </c>
      <c r="F252" s="9"/>
      <c r="G252" s="28"/>
      <c r="H252" s="27"/>
      <c r="I252" s="10" t="s">
        <v>271</v>
      </c>
      <c r="J252" s="11">
        <v>1749</v>
      </c>
    </row>
    <row r="253" spans="1:10">
      <c r="A253" s="6">
        <v>44371</v>
      </c>
      <c r="B253" s="7"/>
      <c r="C253" s="26">
        <v>1541</v>
      </c>
      <c r="D253" s="27"/>
      <c r="E253" s="14">
        <v>890</v>
      </c>
      <c r="F253" s="9"/>
      <c r="G253" s="28"/>
      <c r="H253" s="27"/>
      <c r="I253" s="10" t="s">
        <v>272</v>
      </c>
      <c r="J253" s="11">
        <v>1665</v>
      </c>
    </row>
    <row r="254" spans="1:10">
      <c r="A254" s="6">
        <v>44371</v>
      </c>
      <c r="B254" s="7"/>
      <c r="C254" s="26">
        <v>1538</v>
      </c>
      <c r="D254" s="27"/>
      <c r="E254" s="14">
        <v>5.01</v>
      </c>
      <c r="F254" s="9"/>
      <c r="G254" s="28"/>
      <c r="H254" s="27"/>
      <c r="I254" s="12" t="s">
        <v>273</v>
      </c>
      <c r="J254" s="11">
        <v>624</v>
      </c>
    </row>
    <row r="255" spans="1:10">
      <c r="A255" s="6">
        <v>44371</v>
      </c>
      <c r="B255" s="7"/>
      <c r="C255" s="26">
        <v>1530</v>
      </c>
      <c r="D255" s="27"/>
      <c r="E255" s="14">
        <v>352</v>
      </c>
      <c r="F255" s="9"/>
      <c r="G255" s="28"/>
      <c r="H255" s="27"/>
      <c r="I255" s="12" t="s">
        <v>274</v>
      </c>
      <c r="J255" s="11">
        <v>1849</v>
      </c>
    </row>
    <row r="256" spans="1:10">
      <c r="A256" s="6">
        <v>44371</v>
      </c>
      <c r="B256" s="7"/>
      <c r="C256" s="26">
        <v>1529</v>
      </c>
      <c r="D256" s="27"/>
      <c r="E256" s="14">
        <v>528</v>
      </c>
      <c r="F256" s="9"/>
      <c r="G256" s="28"/>
      <c r="H256" s="27"/>
      <c r="I256" s="12" t="s">
        <v>275</v>
      </c>
      <c r="J256" s="10" t="s">
        <v>72</v>
      </c>
    </row>
    <row r="257" spans="1:10">
      <c r="A257" s="6">
        <v>44371</v>
      </c>
      <c r="B257" s="7"/>
      <c r="C257" s="26">
        <v>1511</v>
      </c>
      <c r="D257" s="27"/>
      <c r="E257" s="14">
        <v>236</v>
      </c>
      <c r="F257" s="9"/>
      <c r="G257" s="28"/>
      <c r="H257" s="27"/>
      <c r="I257" s="12" t="s">
        <v>276</v>
      </c>
      <c r="J257" s="11">
        <v>768</v>
      </c>
    </row>
    <row r="258" spans="1:10">
      <c r="A258" s="6">
        <v>44371</v>
      </c>
      <c r="B258" s="7"/>
      <c r="C258" s="26">
        <v>1492</v>
      </c>
      <c r="D258" s="27"/>
      <c r="E258" s="14">
        <v>42</v>
      </c>
      <c r="F258" s="9"/>
      <c r="G258" s="28"/>
      <c r="H258" s="27"/>
      <c r="I258" s="10" t="s">
        <v>277</v>
      </c>
      <c r="J258" s="11">
        <v>1769</v>
      </c>
    </row>
    <row r="259" spans="1:10">
      <c r="A259" s="6">
        <v>44371</v>
      </c>
      <c r="B259" s="7"/>
      <c r="C259" s="26">
        <v>1490</v>
      </c>
      <c r="D259" s="27"/>
      <c r="E259" s="14">
        <v>154</v>
      </c>
      <c r="F259" s="9"/>
      <c r="G259" s="28"/>
      <c r="H259" s="27"/>
      <c r="I259" s="12" t="s">
        <v>278</v>
      </c>
      <c r="J259" s="11">
        <v>1292</v>
      </c>
    </row>
    <row r="260" spans="1:10">
      <c r="A260" s="6">
        <v>44371</v>
      </c>
      <c r="B260" s="7"/>
      <c r="C260" s="26">
        <v>1486</v>
      </c>
      <c r="D260" s="27"/>
      <c r="E260" s="14">
        <v>331</v>
      </c>
      <c r="F260" s="9"/>
      <c r="G260" s="28"/>
      <c r="H260" s="27"/>
      <c r="I260" s="10" t="s">
        <v>279</v>
      </c>
      <c r="J260" s="11">
        <v>333</v>
      </c>
    </row>
    <row r="261" spans="1:10">
      <c r="A261" s="6">
        <v>44371</v>
      </c>
      <c r="B261" s="7"/>
      <c r="C261" s="26">
        <v>1483</v>
      </c>
      <c r="D261" s="27"/>
      <c r="E261" s="14">
        <v>253</v>
      </c>
      <c r="F261" s="9"/>
      <c r="G261" s="28"/>
      <c r="H261" s="27"/>
      <c r="I261" s="10" t="s">
        <v>280</v>
      </c>
      <c r="J261" s="11">
        <v>649</v>
      </c>
    </row>
    <row r="262" spans="1:10">
      <c r="A262" s="6">
        <v>44371</v>
      </c>
      <c r="B262" s="7"/>
      <c r="C262" s="26">
        <v>1478</v>
      </c>
      <c r="D262" s="27"/>
      <c r="E262" s="14">
        <v>113</v>
      </c>
      <c r="F262" s="9"/>
      <c r="G262" s="28"/>
      <c r="H262" s="27"/>
      <c r="I262" s="12" t="s">
        <v>281</v>
      </c>
      <c r="J262" s="11">
        <v>1877</v>
      </c>
    </row>
    <row r="263" spans="1:10">
      <c r="A263" s="6">
        <v>44371</v>
      </c>
      <c r="B263" s="7"/>
      <c r="C263" s="26">
        <v>1475</v>
      </c>
      <c r="D263" s="27"/>
      <c r="E263" s="8">
        <v>1101</v>
      </c>
      <c r="F263" s="9"/>
      <c r="G263" s="28"/>
      <c r="H263" s="27"/>
      <c r="I263" s="10" t="s">
        <v>282</v>
      </c>
      <c r="J263" s="11">
        <v>1393</v>
      </c>
    </row>
    <row r="264" spans="1:10">
      <c r="A264" s="6">
        <v>44371</v>
      </c>
      <c r="B264" s="7"/>
      <c r="C264" s="26">
        <v>1474</v>
      </c>
      <c r="D264" s="27"/>
      <c r="E264" s="14">
        <v>178.7</v>
      </c>
      <c r="F264" s="9"/>
      <c r="G264" s="28"/>
      <c r="H264" s="27"/>
      <c r="I264" s="12" t="s">
        <v>283</v>
      </c>
      <c r="J264" s="11">
        <v>1845</v>
      </c>
    </row>
    <row r="265" spans="1:10">
      <c r="A265" s="6">
        <v>44371</v>
      </c>
      <c r="B265" s="7"/>
      <c r="C265" s="26">
        <v>1468</v>
      </c>
      <c r="D265" s="27"/>
      <c r="E265" s="8">
        <v>1182</v>
      </c>
      <c r="F265" s="9"/>
      <c r="G265" s="28"/>
      <c r="H265" s="27"/>
      <c r="I265" s="12" t="s">
        <v>284</v>
      </c>
      <c r="J265" s="11">
        <v>19</v>
      </c>
    </row>
    <row r="266" spans="1:10">
      <c r="A266" s="6">
        <v>44371</v>
      </c>
      <c r="B266" s="7"/>
      <c r="C266" s="26">
        <v>1439</v>
      </c>
      <c r="D266" s="27"/>
      <c r="E266" s="14">
        <v>253</v>
      </c>
      <c r="F266" s="9"/>
      <c r="G266" s="28"/>
      <c r="H266" s="27"/>
      <c r="I266" s="10" t="s">
        <v>285</v>
      </c>
      <c r="J266" s="11">
        <v>1802</v>
      </c>
    </row>
    <row r="267" spans="1:10">
      <c r="A267" s="6">
        <v>44371</v>
      </c>
      <c r="B267" s="7"/>
      <c r="C267" s="26">
        <v>1432</v>
      </c>
      <c r="D267" s="27"/>
      <c r="E267" s="14">
        <v>354</v>
      </c>
      <c r="F267" s="9"/>
      <c r="G267" s="28"/>
      <c r="H267" s="27"/>
      <c r="I267" s="10" t="s">
        <v>286</v>
      </c>
      <c r="J267" s="11">
        <v>1838</v>
      </c>
    </row>
    <row r="268" spans="1:10">
      <c r="A268" s="6">
        <v>44371</v>
      </c>
      <c r="B268" s="7"/>
      <c r="C268" s="26">
        <v>1425</v>
      </c>
      <c r="D268" s="27"/>
      <c r="E268" s="14">
        <v>200</v>
      </c>
      <c r="F268" s="9"/>
      <c r="G268" s="28"/>
      <c r="H268" s="27"/>
      <c r="I268" s="12" t="s">
        <v>287</v>
      </c>
      <c r="J268" s="11">
        <v>1746</v>
      </c>
    </row>
    <row r="269" spans="1:10">
      <c r="A269" s="6">
        <v>44371</v>
      </c>
      <c r="B269" s="7"/>
      <c r="C269" s="26">
        <v>1416</v>
      </c>
      <c r="D269" s="27"/>
      <c r="E269" s="14">
        <v>112</v>
      </c>
      <c r="F269" s="9"/>
      <c r="G269" s="28"/>
      <c r="H269" s="27"/>
      <c r="I269" s="12" t="s">
        <v>288</v>
      </c>
      <c r="J269" s="11">
        <v>98</v>
      </c>
    </row>
    <row r="270" spans="1:10">
      <c r="A270" s="6">
        <v>44371</v>
      </c>
      <c r="B270" s="7"/>
      <c r="C270" s="26">
        <v>1412</v>
      </c>
      <c r="D270" s="27"/>
      <c r="E270" s="14">
        <v>567</v>
      </c>
      <c r="F270" s="9"/>
      <c r="G270" s="28"/>
      <c r="H270" s="27"/>
      <c r="I270" s="10" t="s">
        <v>289</v>
      </c>
      <c r="J270" s="10" t="s">
        <v>72</v>
      </c>
    </row>
    <row r="271" spans="1:10">
      <c r="A271" s="6">
        <v>44371</v>
      </c>
      <c r="B271" s="7"/>
      <c r="C271" s="26">
        <v>1410</v>
      </c>
      <c r="D271" s="27"/>
      <c r="E271" s="14">
        <v>936.96</v>
      </c>
      <c r="F271" s="9"/>
      <c r="G271" s="28"/>
      <c r="H271" s="27"/>
      <c r="I271" s="12" t="s">
        <v>290</v>
      </c>
      <c r="J271" s="11">
        <v>587</v>
      </c>
    </row>
    <row r="272" spans="1:10">
      <c r="A272" s="6">
        <v>44371</v>
      </c>
      <c r="B272" s="7"/>
      <c r="C272" s="26">
        <v>1387</v>
      </c>
      <c r="D272" s="27"/>
      <c r="E272" s="14">
        <v>286</v>
      </c>
      <c r="F272" s="9"/>
      <c r="G272" s="28"/>
      <c r="H272" s="27"/>
      <c r="I272" s="10" t="s">
        <v>291</v>
      </c>
      <c r="J272" s="11">
        <v>1762</v>
      </c>
    </row>
    <row r="273" spans="1:10">
      <c r="A273" s="6">
        <v>44371</v>
      </c>
      <c r="B273" s="7"/>
      <c r="C273" s="26">
        <v>1373</v>
      </c>
      <c r="D273" s="27"/>
      <c r="E273" s="14">
        <v>717</v>
      </c>
      <c r="F273" s="9"/>
      <c r="G273" s="28"/>
      <c r="H273" s="27"/>
      <c r="I273" s="10" t="s">
        <v>292</v>
      </c>
      <c r="J273" s="11">
        <v>770</v>
      </c>
    </row>
    <row r="274" spans="1:10">
      <c r="A274" s="6">
        <v>44371</v>
      </c>
      <c r="B274" s="7"/>
      <c r="C274" s="26">
        <v>1369</v>
      </c>
      <c r="D274" s="27"/>
      <c r="E274" s="8">
        <v>1437</v>
      </c>
      <c r="F274" s="9"/>
      <c r="G274" s="28"/>
      <c r="H274" s="27"/>
      <c r="I274" s="10" t="s">
        <v>293</v>
      </c>
      <c r="J274" s="11">
        <v>1860</v>
      </c>
    </row>
    <row r="275" spans="1:10">
      <c r="A275" s="6">
        <v>44371</v>
      </c>
      <c r="B275" s="7"/>
      <c r="C275" s="26">
        <v>1355</v>
      </c>
      <c r="D275" s="27"/>
      <c r="E275" s="14">
        <v>10</v>
      </c>
      <c r="F275" s="9"/>
      <c r="G275" s="28"/>
      <c r="H275" s="27"/>
      <c r="I275" s="10" t="s">
        <v>294</v>
      </c>
      <c r="J275" s="11">
        <v>1836</v>
      </c>
    </row>
    <row r="276" spans="1:10">
      <c r="A276" s="6">
        <v>44371</v>
      </c>
      <c r="B276" s="7"/>
      <c r="C276" s="26">
        <v>1347</v>
      </c>
      <c r="D276" s="27"/>
      <c r="E276" s="14">
        <v>710</v>
      </c>
      <c r="F276" s="9"/>
      <c r="G276" s="28"/>
      <c r="H276" s="27"/>
      <c r="I276" s="12" t="s">
        <v>295</v>
      </c>
      <c r="J276" s="11">
        <v>512</v>
      </c>
    </row>
    <row r="277" spans="1:10">
      <c r="A277" s="6">
        <v>44371</v>
      </c>
      <c r="B277" s="7"/>
      <c r="C277" s="26">
        <v>1324</v>
      </c>
      <c r="D277" s="27"/>
      <c r="E277" s="14">
        <v>911</v>
      </c>
      <c r="F277" s="9"/>
      <c r="G277" s="28"/>
      <c r="H277" s="27"/>
      <c r="I277" s="10" t="s">
        <v>296</v>
      </c>
      <c r="J277" s="11">
        <v>1479</v>
      </c>
    </row>
    <row r="278" spans="1:10">
      <c r="A278" s="6">
        <v>44371</v>
      </c>
      <c r="B278" s="7"/>
      <c r="C278" s="26">
        <v>1320</v>
      </c>
      <c r="D278" s="27"/>
      <c r="E278" s="14">
        <v>453</v>
      </c>
      <c r="F278" s="9"/>
      <c r="G278" s="28"/>
      <c r="H278" s="27"/>
      <c r="I278" s="12" t="s">
        <v>297</v>
      </c>
      <c r="J278" s="11">
        <v>211</v>
      </c>
    </row>
    <row r="279" spans="1:10">
      <c r="A279" s="6">
        <v>44371</v>
      </c>
      <c r="B279" s="7"/>
      <c r="C279" s="26">
        <v>1318</v>
      </c>
      <c r="D279" s="27"/>
      <c r="E279" s="8">
        <v>1849.96</v>
      </c>
      <c r="F279" s="9"/>
      <c r="G279" s="28"/>
      <c r="H279" s="27"/>
      <c r="I279" s="10" t="s">
        <v>298</v>
      </c>
      <c r="J279" s="11">
        <v>1826</v>
      </c>
    </row>
    <row r="280" spans="1:10">
      <c r="A280" s="6">
        <v>44371</v>
      </c>
      <c r="B280" s="7"/>
      <c r="C280" s="26">
        <v>1294</v>
      </c>
      <c r="D280" s="27"/>
      <c r="E280" s="14">
        <v>919</v>
      </c>
      <c r="F280" s="9"/>
      <c r="G280" s="28"/>
      <c r="H280" s="27"/>
      <c r="I280" s="10" t="s">
        <v>299</v>
      </c>
      <c r="J280" s="11">
        <v>1319</v>
      </c>
    </row>
    <row r="281" spans="1:10">
      <c r="A281" s="6">
        <v>44371</v>
      </c>
      <c r="B281" s="7"/>
      <c r="C281" s="26">
        <v>1292</v>
      </c>
      <c r="D281" s="27"/>
      <c r="E281" s="14">
        <v>539</v>
      </c>
      <c r="F281" s="9"/>
      <c r="G281" s="28"/>
      <c r="H281" s="27"/>
      <c r="I281" s="12" t="s">
        <v>300</v>
      </c>
      <c r="J281" s="11">
        <v>1688</v>
      </c>
    </row>
    <row r="282" spans="1:10">
      <c r="A282" s="6">
        <v>44371</v>
      </c>
      <c r="B282" s="7"/>
      <c r="C282" s="26">
        <v>1288</v>
      </c>
      <c r="D282" s="27"/>
      <c r="E282" s="14">
        <v>200</v>
      </c>
      <c r="F282" s="9"/>
      <c r="G282" s="28"/>
      <c r="H282" s="27"/>
      <c r="I282" s="10" t="s">
        <v>301</v>
      </c>
      <c r="J282" s="11">
        <v>1757</v>
      </c>
    </row>
    <row r="283" spans="1:10">
      <c r="A283" s="6">
        <v>44371</v>
      </c>
      <c r="B283" s="7"/>
      <c r="C283" s="26">
        <v>1282</v>
      </c>
      <c r="D283" s="27"/>
      <c r="E283" s="14">
        <v>100</v>
      </c>
      <c r="F283" s="9"/>
      <c r="G283" s="28"/>
      <c r="H283" s="27"/>
      <c r="I283" s="10" t="s">
        <v>302</v>
      </c>
      <c r="J283" s="11">
        <v>1771</v>
      </c>
    </row>
    <row r="284" spans="1:10">
      <c r="A284" s="6">
        <v>44371</v>
      </c>
      <c r="B284" s="7"/>
      <c r="C284" s="26">
        <v>1277</v>
      </c>
      <c r="D284" s="27"/>
      <c r="E284" s="8">
        <v>2463</v>
      </c>
      <c r="F284" s="9"/>
      <c r="G284" s="28"/>
      <c r="H284" s="27"/>
      <c r="I284" s="12" t="s">
        <v>303</v>
      </c>
      <c r="J284" s="10" t="s">
        <v>72</v>
      </c>
    </row>
    <row r="285" spans="1:10">
      <c r="A285" s="6">
        <v>44371</v>
      </c>
      <c r="B285" s="7"/>
      <c r="C285" s="26">
        <v>1274</v>
      </c>
      <c r="D285" s="27"/>
      <c r="E285" s="14">
        <v>200</v>
      </c>
      <c r="F285" s="9"/>
      <c r="G285" s="28"/>
      <c r="H285" s="27"/>
      <c r="I285" s="10" t="s">
        <v>304</v>
      </c>
      <c r="J285" s="11">
        <v>1109</v>
      </c>
    </row>
    <row r="286" spans="1:10">
      <c r="A286" s="6">
        <v>44371</v>
      </c>
      <c r="B286" s="7"/>
      <c r="C286" s="26">
        <v>1273</v>
      </c>
      <c r="D286" s="27"/>
      <c r="E286" s="8">
        <v>1073</v>
      </c>
      <c r="F286" s="9"/>
      <c r="G286" s="28"/>
      <c r="H286" s="27"/>
      <c r="I286" s="12" t="s">
        <v>305</v>
      </c>
      <c r="J286" s="11">
        <v>1716</v>
      </c>
    </row>
    <row r="287" spans="1:10">
      <c r="A287" s="6">
        <v>44371</v>
      </c>
      <c r="B287" s="7"/>
      <c r="C287" s="26">
        <v>1237</v>
      </c>
      <c r="D287" s="27"/>
      <c r="E287" s="14">
        <v>80</v>
      </c>
      <c r="F287" s="9"/>
      <c r="G287" s="28"/>
      <c r="H287" s="27"/>
      <c r="I287" s="12" t="s">
        <v>306</v>
      </c>
      <c r="J287" s="11">
        <v>1169</v>
      </c>
    </row>
    <row r="288" spans="1:10">
      <c r="A288" s="6">
        <v>44371</v>
      </c>
      <c r="B288" s="7"/>
      <c r="C288" s="26">
        <v>1231</v>
      </c>
      <c r="D288" s="27"/>
      <c r="E288" s="8">
        <v>1330</v>
      </c>
      <c r="F288" s="9"/>
      <c r="G288" s="28"/>
      <c r="H288" s="27"/>
      <c r="I288" s="12" t="s">
        <v>307</v>
      </c>
      <c r="J288" s="11">
        <v>1908</v>
      </c>
    </row>
    <row r="289" spans="1:10">
      <c r="A289" s="6">
        <v>44371</v>
      </c>
      <c r="B289" s="7"/>
      <c r="C289" s="26">
        <v>1220</v>
      </c>
      <c r="D289" s="27"/>
      <c r="E289" s="8">
        <v>1544.84</v>
      </c>
      <c r="F289" s="9"/>
      <c r="G289" s="28"/>
      <c r="H289" s="27"/>
      <c r="I289" s="10" t="s">
        <v>308</v>
      </c>
      <c r="J289" s="11">
        <v>75</v>
      </c>
    </row>
    <row r="290" spans="1:10">
      <c r="A290" s="6">
        <v>44371</v>
      </c>
      <c r="B290" s="7"/>
      <c r="C290" s="26">
        <v>1203</v>
      </c>
      <c r="D290" s="27"/>
      <c r="E290" s="14">
        <v>347</v>
      </c>
      <c r="F290" s="9"/>
      <c r="G290" s="28"/>
      <c r="H290" s="27"/>
      <c r="I290" s="12" t="s">
        <v>309</v>
      </c>
      <c r="J290" s="11">
        <v>1941</v>
      </c>
    </row>
    <row r="291" spans="1:10">
      <c r="A291" s="6">
        <v>44371</v>
      </c>
      <c r="B291" s="7"/>
      <c r="C291" s="26">
        <v>1193</v>
      </c>
      <c r="D291" s="27"/>
      <c r="E291" s="14">
        <v>803</v>
      </c>
      <c r="F291" s="9"/>
      <c r="G291" s="28"/>
      <c r="H291" s="27"/>
      <c r="I291" s="10" t="s">
        <v>310</v>
      </c>
      <c r="J291" s="11">
        <v>1891</v>
      </c>
    </row>
    <row r="292" spans="1:10">
      <c r="A292" s="6">
        <v>44371</v>
      </c>
      <c r="B292" s="7"/>
      <c r="C292" s="26">
        <v>1186</v>
      </c>
      <c r="D292" s="27"/>
      <c r="E292" s="14">
        <v>309</v>
      </c>
      <c r="F292" s="9"/>
      <c r="G292" s="28"/>
      <c r="H292" s="27"/>
      <c r="I292" s="12" t="s">
        <v>311</v>
      </c>
      <c r="J292" s="11">
        <v>148</v>
      </c>
    </row>
    <row r="293" spans="1:10">
      <c r="A293" s="6">
        <v>44371</v>
      </c>
      <c r="B293" s="7"/>
      <c r="C293" s="26">
        <v>1184</v>
      </c>
      <c r="D293" s="27"/>
      <c r="E293" s="14">
        <v>999</v>
      </c>
      <c r="F293" s="9"/>
      <c r="G293" s="28"/>
      <c r="H293" s="27"/>
      <c r="I293" s="12" t="s">
        <v>312</v>
      </c>
      <c r="J293" s="11">
        <v>301</v>
      </c>
    </row>
    <row r="294" spans="1:10">
      <c r="A294" s="6">
        <v>44371</v>
      </c>
      <c r="B294" s="7"/>
      <c r="C294" s="26">
        <v>1143</v>
      </c>
      <c r="D294" s="27"/>
      <c r="E294" s="8">
        <v>2614</v>
      </c>
      <c r="F294" s="9"/>
      <c r="G294" s="28"/>
      <c r="H294" s="27"/>
      <c r="I294" s="10" t="s">
        <v>313</v>
      </c>
      <c r="J294" s="11">
        <v>621</v>
      </c>
    </row>
    <row r="295" spans="1:10">
      <c r="A295" s="6">
        <v>44371</v>
      </c>
      <c r="B295" s="7"/>
      <c r="C295" s="26">
        <v>1141</v>
      </c>
      <c r="D295" s="27"/>
      <c r="E295" s="14">
        <v>617</v>
      </c>
      <c r="F295" s="9"/>
      <c r="G295" s="28"/>
      <c r="H295" s="27"/>
      <c r="I295" s="12" t="s">
        <v>314</v>
      </c>
      <c r="J295" s="11">
        <v>1703</v>
      </c>
    </row>
    <row r="296" spans="1:10">
      <c r="A296" s="6">
        <v>44371</v>
      </c>
      <c r="B296" s="7"/>
      <c r="C296" s="26">
        <v>1108</v>
      </c>
      <c r="D296" s="27"/>
      <c r="E296" s="14">
        <v>335.45</v>
      </c>
      <c r="F296" s="9"/>
      <c r="G296" s="28"/>
      <c r="H296" s="27"/>
      <c r="I296" s="10" t="s">
        <v>315</v>
      </c>
      <c r="J296" s="11">
        <v>758</v>
      </c>
    </row>
    <row r="297" spans="1:10">
      <c r="A297" s="6">
        <v>44371</v>
      </c>
      <c r="B297" s="7"/>
      <c r="C297" s="26">
        <v>1103</v>
      </c>
      <c r="D297" s="27"/>
      <c r="E297" s="14">
        <v>973</v>
      </c>
      <c r="F297" s="9"/>
      <c r="G297" s="28"/>
      <c r="H297" s="27"/>
      <c r="I297" s="12" t="s">
        <v>316</v>
      </c>
      <c r="J297" s="11">
        <v>1324</v>
      </c>
    </row>
    <row r="298" spans="1:10">
      <c r="A298" s="6">
        <v>44371</v>
      </c>
      <c r="B298" s="7"/>
      <c r="C298" s="26">
        <v>1054</v>
      </c>
      <c r="D298" s="27"/>
      <c r="E298" s="8">
        <v>1042</v>
      </c>
      <c r="F298" s="9"/>
      <c r="G298" s="28"/>
      <c r="H298" s="27"/>
      <c r="I298" s="12" t="s">
        <v>317</v>
      </c>
      <c r="J298" s="11">
        <v>1881</v>
      </c>
    </row>
    <row r="299" spans="1:10">
      <c r="A299" s="6">
        <v>44371</v>
      </c>
      <c r="B299" s="7"/>
      <c r="C299" s="26">
        <v>1042</v>
      </c>
      <c r="D299" s="27"/>
      <c r="E299" s="8">
        <v>1044</v>
      </c>
      <c r="F299" s="9"/>
      <c r="G299" s="28"/>
      <c r="H299" s="27"/>
      <c r="I299" s="12" t="s">
        <v>318</v>
      </c>
      <c r="J299" s="11">
        <v>1697</v>
      </c>
    </row>
    <row r="300" spans="1:10">
      <c r="A300" s="6">
        <v>44371</v>
      </c>
      <c r="B300" s="7"/>
      <c r="C300" s="26">
        <v>1030</v>
      </c>
      <c r="D300" s="27"/>
      <c r="E300" s="14">
        <v>326</v>
      </c>
      <c r="F300" s="9"/>
      <c r="G300" s="28"/>
      <c r="H300" s="27"/>
      <c r="I300" s="10" t="s">
        <v>319</v>
      </c>
      <c r="J300" s="11">
        <v>1772</v>
      </c>
    </row>
    <row r="301" spans="1:10">
      <c r="A301" s="6">
        <v>44371</v>
      </c>
      <c r="B301" s="7"/>
      <c r="C301" s="26">
        <v>831</v>
      </c>
      <c r="D301" s="27"/>
      <c r="E301" s="14">
        <v>300</v>
      </c>
      <c r="F301" s="9"/>
      <c r="G301" s="28"/>
      <c r="H301" s="27"/>
      <c r="I301" s="10" t="s">
        <v>320</v>
      </c>
      <c r="J301" s="11">
        <v>1753</v>
      </c>
    </row>
    <row r="302" spans="1:10">
      <c r="A302" s="6">
        <v>44371</v>
      </c>
      <c r="B302" s="7"/>
      <c r="C302" s="26">
        <v>821</v>
      </c>
      <c r="D302" s="27"/>
      <c r="E302" s="14">
        <v>168</v>
      </c>
      <c r="F302" s="9"/>
      <c r="G302" s="28"/>
      <c r="H302" s="27"/>
      <c r="I302" s="10" t="s">
        <v>321</v>
      </c>
      <c r="J302" s="11">
        <v>0</v>
      </c>
    </row>
    <row r="303" spans="1:10">
      <c r="A303" s="6">
        <v>44371</v>
      </c>
      <c r="B303" s="7"/>
      <c r="C303" s="26">
        <v>782</v>
      </c>
      <c r="D303" s="27"/>
      <c r="E303" s="14">
        <v>185</v>
      </c>
      <c r="F303" s="9"/>
      <c r="G303" s="28"/>
      <c r="H303" s="27"/>
      <c r="I303" s="12" t="s">
        <v>322</v>
      </c>
      <c r="J303" s="11">
        <v>1663</v>
      </c>
    </row>
    <row r="304" spans="1:10">
      <c r="A304" s="6">
        <v>44371</v>
      </c>
      <c r="B304" s="7"/>
      <c r="C304" s="26">
        <v>767</v>
      </c>
      <c r="D304" s="27"/>
      <c r="E304" s="8">
        <v>1334.66</v>
      </c>
      <c r="F304" s="9"/>
      <c r="G304" s="28"/>
      <c r="H304" s="27"/>
      <c r="I304" s="10" t="s">
        <v>323</v>
      </c>
      <c r="J304" s="11">
        <v>831</v>
      </c>
    </row>
    <row r="305" spans="1:10">
      <c r="A305" s="6">
        <v>44371</v>
      </c>
      <c r="B305" s="7"/>
      <c r="C305" s="26">
        <v>761</v>
      </c>
      <c r="D305" s="27"/>
      <c r="E305" s="14">
        <v>400</v>
      </c>
      <c r="F305" s="9"/>
      <c r="G305" s="28"/>
      <c r="H305" s="27"/>
      <c r="I305" s="10" t="s">
        <v>324</v>
      </c>
      <c r="J305" s="11">
        <v>1830</v>
      </c>
    </row>
    <row r="306" spans="1:10">
      <c r="A306" s="6">
        <v>44371</v>
      </c>
      <c r="B306" s="7"/>
      <c r="C306" s="26">
        <v>759</v>
      </c>
      <c r="D306" s="27"/>
      <c r="E306" s="8">
        <v>1185.83</v>
      </c>
      <c r="F306" s="9"/>
      <c r="G306" s="28"/>
      <c r="H306" s="27"/>
      <c r="I306" s="10" t="s">
        <v>325</v>
      </c>
      <c r="J306" s="11">
        <v>1681</v>
      </c>
    </row>
    <row r="307" spans="1:10">
      <c r="A307" s="6">
        <v>44371</v>
      </c>
      <c r="B307" s="7"/>
      <c r="C307" s="26">
        <v>748</v>
      </c>
      <c r="D307" s="27"/>
      <c r="E307" s="14">
        <v>168</v>
      </c>
      <c r="F307" s="9"/>
      <c r="G307" s="28"/>
      <c r="H307" s="27"/>
      <c r="I307" s="10" t="s">
        <v>326</v>
      </c>
      <c r="J307" s="11">
        <v>1835</v>
      </c>
    </row>
    <row r="308" spans="1:10">
      <c r="A308" s="6">
        <v>44371</v>
      </c>
      <c r="B308" s="7"/>
      <c r="C308" s="26">
        <v>746</v>
      </c>
      <c r="D308" s="27"/>
      <c r="E308" s="14">
        <v>50</v>
      </c>
      <c r="F308" s="9"/>
      <c r="G308" s="28"/>
      <c r="H308" s="27"/>
      <c r="I308" s="10" t="s">
        <v>327</v>
      </c>
      <c r="J308" s="11">
        <v>1702</v>
      </c>
    </row>
    <row r="309" spans="1:10">
      <c r="A309" s="6">
        <v>44371</v>
      </c>
      <c r="B309" s="7"/>
      <c r="C309" s="26">
        <v>741</v>
      </c>
      <c r="D309" s="27"/>
      <c r="E309" s="14">
        <v>100</v>
      </c>
      <c r="F309" s="9"/>
      <c r="G309" s="28"/>
      <c r="H309" s="27"/>
      <c r="I309" s="10" t="s">
        <v>328</v>
      </c>
      <c r="J309" s="11">
        <v>1857</v>
      </c>
    </row>
    <row r="310" spans="1:10">
      <c r="A310" s="6">
        <v>44371</v>
      </c>
      <c r="B310" s="7"/>
      <c r="C310" s="26">
        <v>733</v>
      </c>
      <c r="D310" s="27"/>
      <c r="E310" s="14">
        <v>200</v>
      </c>
      <c r="F310" s="9"/>
      <c r="G310" s="28"/>
      <c r="H310" s="27"/>
      <c r="I310" s="12" t="s">
        <v>329</v>
      </c>
      <c r="J310" s="11">
        <v>1905</v>
      </c>
    </row>
    <row r="311" spans="1:10">
      <c r="A311" s="6">
        <v>44371</v>
      </c>
      <c r="B311" s="7"/>
      <c r="C311" s="26">
        <v>726</v>
      </c>
      <c r="D311" s="27"/>
      <c r="E311" s="14">
        <v>415</v>
      </c>
      <c r="F311" s="9"/>
      <c r="G311" s="28"/>
      <c r="H311" s="27"/>
      <c r="I311" s="10" t="s">
        <v>330</v>
      </c>
      <c r="J311" s="11">
        <v>1748</v>
      </c>
    </row>
    <row r="312" spans="1:10">
      <c r="A312" s="6">
        <v>44371</v>
      </c>
      <c r="B312" s="7"/>
      <c r="C312" s="26">
        <v>722</v>
      </c>
      <c r="D312" s="27"/>
      <c r="E312" s="14">
        <v>211.95</v>
      </c>
      <c r="F312" s="9"/>
      <c r="G312" s="28"/>
      <c r="H312" s="27"/>
      <c r="I312" s="10" t="s">
        <v>331</v>
      </c>
      <c r="J312" s="11">
        <v>493</v>
      </c>
    </row>
    <row r="313" spans="1:10">
      <c r="A313" s="6">
        <v>44371</v>
      </c>
      <c r="B313" s="7"/>
      <c r="C313" s="26">
        <v>710</v>
      </c>
      <c r="D313" s="27"/>
      <c r="E313" s="14">
        <v>171</v>
      </c>
      <c r="F313" s="9"/>
      <c r="G313" s="28"/>
      <c r="H313" s="27"/>
      <c r="I313" s="12" t="s">
        <v>332</v>
      </c>
      <c r="J313" s="11">
        <v>1646</v>
      </c>
    </row>
    <row r="314" spans="1:10">
      <c r="A314" s="6">
        <v>44371</v>
      </c>
      <c r="B314" s="7"/>
      <c r="C314" s="26">
        <v>691</v>
      </c>
      <c r="D314" s="27"/>
      <c r="E314" s="14">
        <v>286</v>
      </c>
      <c r="F314" s="9"/>
      <c r="G314" s="28"/>
      <c r="H314" s="27"/>
      <c r="I314" s="12" t="s">
        <v>333</v>
      </c>
      <c r="J314" s="16">
        <v>1876</v>
      </c>
    </row>
    <row r="315" spans="1:10">
      <c r="A315" s="6">
        <v>44371</v>
      </c>
      <c r="B315" s="7"/>
      <c r="C315" s="26">
        <v>677</v>
      </c>
      <c r="D315" s="27"/>
      <c r="E315" s="14">
        <v>565.5</v>
      </c>
      <c r="F315" s="9"/>
      <c r="G315" s="28"/>
      <c r="H315" s="27"/>
      <c r="I315" s="17" t="s">
        <v>334</v>
      </c>
      <c r="J315" s="18" t="s">
        <v>335</v>
      </c>
    </row>
    <row r="316" spans="1:10">
      <c r="A316" s="6">
        <v>44371</v>
      </c>
      <c r="B316" s="7"/>
      <c r="C316" s="26">
        <v>675</v>
      </c>
      <c r="D316" s="27"/>
      <c r="E316" s="14">
        <v>614</v>
      </c>
      <c r="F316" s="9"/>
      <c r="G316" s="28"/>
      <c r="H316" s="27"/>
      <c r="I316" s="10" t="s">
        <v>336</v>
      </c>
      <c r="J316" s="11">
        <v>1878</v>
      </c>
    </row>
    <row r="317" spans="1:10">
      <c r="A317" s="6">
        <v>44371</v>
      </c>
      <c r="B317" s="7"/>
      <c r="C317" s="26">
        <v>666</v>
      </c>
      <c r="D317" s="27"/>
      <c r="E317" s="14">
        <v>25</v>
      </c>
      <c r="F317" s="9"/>
      <c r="G317" s="28"/>
      <c r="H317" s="27"/>
      <c r="I317" s="10" t="s">
        <v>337</v>
      </c>
      <c r="J317" s="11">
        <v>1674</v>
      </c>
    </row>
    <row r="318" spans="1:10">
      <c r="A318" s="6">
        <v>44371</v>
      </c>
      <c r="B318" s="7"/>
      <c r="C318" s="26">
        <v>661</v>
      </c>
      <c r="D318" s="27"/>
      <c r="E318" s="14">
        <v>437</v>
      </c>
      <c r="F318" s="9"/>
      <c r="G318" s="28"/>
      <c r="H318" s="27"/>
      <c r="I318" s="12" t="s">
        <v>338</v>
      </c>
      <c r="J318" s="11">
        <v>1943</v>
      </c>
    </row>
    <row r="319" spans="1:10">
      <c r="A319" s="6">
        <v>44371</v>
      </c>
      <c r="B319" s="7"/>
      <c r="C319" s="26">
        <v>653</v>
      </c>
      <c r="D319" s="27"/>
      <c r="E319" s="14">
        <v>253</v>
      </c>
      <c r="F319" s="9"/>
      <c r="G319" s="28"/>
      <c r="H319" s="27"/>
      <c r="I319" s="10" t="s">
        <v>339</v>
      </c>
      <c r="J319" s="11">
        <v>1795</v>
      </c>
    </row>
    <row r="320" spans="1:10">
      <c r="A320" s="6">
        <v>44371</v>
      </c>
      <c r="B320" s="7"/>
      <c r="C320" s="26">
        <v>639</v>
      </c>
      <c r="D320" s="27"/>
      <c r="E320" s="14">
        <v>421</v>
      </c>
      <c r="F320" s="9"/>
      <c r="G320" s="28"/>
      <c r="H320" s="27"/>
      <c r="I320" s="10" t="s">
        <v>340</v>
      </c>
      <c r="J320" s="11">
        <v>1879</v>
      </c>
    </row>
    <row r="321" spans="1:10">
      <c r="A321" s="6">
        <v>44371</v>
      </c>
      <c r="B321" s="7"/>
      <c r="C321" s="26">
        <v>628</v>
      </c>
      <c r="D321" s="27"/>
      <c r="E321" s="14">
        <v>449</v>
      </c>
      <c r="F321" s="9"/>
      <c r="G321" s="28"/>
      <c r="H321" s="27"/>
      <c r="I321" s="12" t="s">
        <v>341</v>
      </c>
      <c r="J321" s="11">
        <v>1880</v>
      </c>
    </row>
    <row r="322" spans="1:10">
      <c r="A322" s="6">
        <v>44371</v>
      </c>
      <c r="B322" s="7"/>
      <c r="C322" s="26">
        <v>621</v>
      </c>
      <c r="D322" s="27"/>
      <c r="E322" s="14">
        <v>129</v>
      </c>
      <c r="F322" s="9"/>
      <c r="G322" s="28"/>
      <c r="H322" s="27"/>
      <c r="I322" s="10" t="s">
        <v>342</v>
      </c>
      <c r="J322" s="11">
        <v>1896</v>
      </c>
    </row>
    <row r="323" spans="1:10">
      <c r="A323" s="6">
        <v>44371</v>
      </c>
      <c r="B323" s="7"/>
      <c r="C323" s="26">
        <v>620</v>
      </c>
      <c r="D323" s="27"/>
      <c r="E323" s="14">
        <v>41.87</v>
      </c>
      <c r="F323" s="9"/>
      <c r="G323" s="28"/>
      <c r="H323" s="27"/>
      <c r="I323" s="12" t="s">
        <v>343</v>
      </c>
      <c r="J323" s="11">
        <v>1948</v>
      </c>
    </row>
    <row r="324" spans="1:10">
      <c r="A324" s="6">
        <v>44371</v>
      </c>
      <c r="B324" s="7"/>
      <c r="C324" s="26">
        <v>615</v>
      </c>
      <c r="D324" s="27"/>
      <c r="E324" s="14">
        <v>51.76</v>
      </c>
      <c r="F324" s="9"/>
      <c r="G324" s="28"/>
      <c r="H324" s="27"/>
      <c r="I324" s="12" t="s">
        <v>344</v>
      </c>
      <c r="J324" s="11">
        <v>1950</v>
      </c>
    </row>
    <row r="325" spans="1:10">
      <c r="A325" s="6">
        <v>44371</v>
      </c>
      <c r="B325" s="7"/>
      <c r="C325" s="26">
        <v>614</v>
      </c>
      <c r="D325" s="27"/>
      <c r="E325" s="14">
        <v>290</v>
      </c>
      <c r="F325" s="9"/>
      <c r="G325" s="28"/>
      <c r="H325" s="27"/>
      <c r="I325" s="12" t="s">
        <v>345</v>
      </c>
      <c r="J325" s="11">
        <v>293</v>
      </c>
    </row>
    <row r="326" spans="1:10">
      <c r="A326" s="6">
        <v>44371</v>
      </c>
      <c r="B326" s="7"/>
      <c r="C326" s="26">
        <v>575</v>
      </c>
      <c r="D326" s="27"/>
      <c r="E326" s="14">
        <v>505</v>
      </c>
      <c r="F326" s="9"/>
      <c r="G326" s="28"/>
      <c r="H326" s="27"/>
      <c r="I326" s="12" t="s">
        <v>346</v>
      </c>
      <c r="J326" s="11">
        <v>1822</v>
      </c>
    </row>
    <row r="327" spans="1:10">
      <c r="A327" s="6">
        <v>44371</v>
      </c>
      <c r="B327" s="7"/>
      <c r="C327" s="26">
        <v>568</v>
      </c>
      <c r="D327" s="27"/>
      <c r="E327" s="8">
        <v>2237</v>
      </c>
      <c r="F327" s="9"/>
      <c r="G327" s="28"/>
      <c r="H327" s="27"/>
      <c r="I327" s="10" t="s">
        <v>347</v>
      </c>
      <c r="J327" s="11">
        <v>1491</v>
      </c>
    </row>
    <row r="328" spans="1:10">
      <c r="A328" s="6">
        <v>44371</v>
      </c>
      <c r="B328" s="7"/>
      <c r="C328" s="26">
        <v>549</v>
      </c>
      <c r="D328" s="27"/>
      <c r="E328" s="8">
        <v>1493</v>
      </c>
      <c r="F328" s="9"/>
      <c r="G328" s="28"/>
      <c r="H328" s="27"/>
      <c r="I328" s="10" t="s">
        <v>348</v>
      </c>
      <c r="J328" s="11">
        <v>347</v>
      </c>
    </row>
    <row r="329" spans="1:10">
      <c r="A329" s="6">
        <v>44371</v>
      </c>
      <c r="B329" s="7"/>
      <c r="C329" s="26">
        <v>538</v>
      </c>
      <c r="D329" s="27"/>
      <c r="E329" s="14">
        <v>286.20999999999998</v>
      </c>
      <c r="F329" s="9"/>
      <c r="G329" s="28"/>
      <c r="H329" s="27"/>
      <c r="I329" s="12" t="s">
        <v>349</v>
      </c>
      <c r="J329" s="11">
        <v>1775</v>
      </c>
    </row>
    <row r="330" spans="1:10">
      <c r="A330" s="6">
        <v>44371</v>
      </c>
      <c r="B330" s="7"/>
      <c r="C330" s="26">
        <v>504</v>
      </c>
      <c r="D330" s="27"/>
      <c r="E330" s="14">
        <v>600</v>
      </c>
      <c r="F330" s="9"/>
      <c r="G330" s="28"/>
      <c r="H330" s="27"/>
      <c r="I330" s="10" t="s">
        <v>350</v>
      </c>
      <c r="J330" s="11">
        <v>1672</v>
      </c>
    </row>
    <row r="331" spans="1:10">
      <c r="A331" s="6">
        <v>44371</v>
      </c>
      <c r="B331" s="7"/>
      <c r="C331" s="26">
        <v>495</v>
      </c>
      <c r="D331" s="27"/>
      <c r="E331" s="14">
        <v>75</v>
      </c>
      <c r="F331" s="9"/>
      <c r="G331" s="28"/>
      <c r="H331" s="27"/>
      <c r="I331" s="12" t="s">
        <v>351</v>
      </c>
      <c r="J331" s="11">
        <v>170</v>
      </c>
    </row>
    <row r="332" spans="1:10">
      <c r="A332" s="6">
        <v>44371</v>
      </c>
      <c r="B332" s="7"/>
      <c r="C332" s="26">
        <v>494</v>
      </c>
      <c r="D332" s="27"/>
      <c r="E332" s="14">
        <v>685.25</v>
      </c>
      <c r="F332" s="9"/>
      <c r="G332" s="28"/>
      <c r="H332" s="27"/>
      <c r="I332" s="10" t="s">
        <v>352</v>
      </c>
      <c r="J332" s="11">
        <v>1818</v>
      </c>
    </row>
    <row r="333" spans="1:10">
      <c r="A333" s="6">
        <v>44371</v>
      </c>
      <c r="B333" s="7"/>
      <c r="C333" s="26">
        <v>492</v>
      </c>
      <c r="D333" s="27"/>
      <c r="E333" s="14">
        <v>791</v>
      </c>
      <c r="F333" s="9"/>
      <c r="G333" s="28"/>
      <c r="H333" s="27"/>
      <c r="I333" s="10" t="s">
        <v>354</v>
      </c>
      <c r="J333" s="11">
        <v>1929</v>
      </c>
    </row>
    <row r="334" spans="1:10">
      <c r="A334" s="6">
        <v>44371</v>
      </c>
      <c r="B334" s="7"/>
      <c r="C334" s="26">
        <v>481</v>
      </c>
      <c r="D334" s="27"/>
      <c r="E334" s="14">
        <v>200</v>
      </c>
      <c r="F334" s="9"/>
      <c r="G334" s="28"/>
      <c r="H334" s="27"/>
      <c r="I334" s="12" t="s">
        <v>355</v>
      </c>
      <c r="J334" s="11">
        <v>90</v>
      </c>
    </row>
    <row r="335" spans="1:10">
      <c r="A335" s="6">
        <v>44371</v>
      </c>
      <c r="B335" s="7"/>
      <c r="C335" s="26">
        <v>468</v>
      </c>
      <c r="D335" s="27"/>
      <c r="E335" s="14">
        <v>602.62</v>
      </c>
      <c r="F335" s="9"/>
      <c r="G335" s="28"/>
      <c r="H335" s="27"/>
      <c r="I335" s="12" t="s">
        <v>356</v>
      </c>
      <c r="J335" s="11">
        <v>1487</v>
      </c>
    </row>
    <row r="336" spans="1:10">
      <c r="A336" s="6">
        <v>44371</v>
      </c>
      <c r="B336" s="7"/>
      <c r="C336" s="26">
        <v>452</v>
      </c>
      <c r="D336" s="27"/>
      <c r="E336" s="14">
        <v>830</v>
      </c>
      <c r="F336" s="9"/>
      <c r="G336" s="28"/>
      <c r="H336" s="27"/>
      <c r="I336" s="12" t="s">
        <v>357</v>
      </c>
      <c r="J336" s="11">
        <v>702</v>
      </c>
    </row>
    <row r="337" spans="1:10">
      <c r="A337" s="6">
        <v>44371</v>
      </c>
      <c r="B337" s="7"/>
      <c r="C337" s="26">
        <v>443</v>
      </c>
      <c r="D337" s="27"/>
      <c r="E337" s="14">
        <v>168</v>
      </c>
      <c r="F337" s="9"/>
      <c r="G337" s="28"/>
      <c r="H337" s="27"/>
      <c r="I337" s="10" t="s">
        <v>358</v>
      </c>
      <c r="J337" s="11">
        <v>1766</v>
      </c>
    </row>
    <row r="338" spans="1:10">
      <c r="A338" s="6">
        <v>44371</v>
      </c>
      <c r="B338" s="7"/>
      <c r="C338" s="26">
        <v>437</v>
      </c>
      <c r="D338" s="27"/>
      <c r="E338" s="14">
        <v>196</v>
      </c>
      <c r="F338" s="9"/>
      <c r="G338" s="28"/>
      <c r="H338" s="27"/>
      <c r="I338" s="10" t="s">
        <v>359</v>
      </c>
      <c r="J338" s="10" t="s">
        <v>128</v>
      </c>
    </row>
    <row r="339" spans="1:10">
      <c r="A339" s="6">
        <v>44371</v>
      </c>
      <c r="B339" s="7"/>
      <c r="C339" s="26">
        <v>415</v>
      </c>
      <c r="D339" s="27"/>
      <c r="E339" s="14">
        <v>200</v>
      </c>
      <c r="F339" s="9"/>
      <c r="G339" s="28"/>
      <c r="H339" s="27"/>
      <c r="I339" s="10" t="s">
        <v>360</v>
      </c>
      <c r="J339" s="11">
        <v>661</v>
      </c>
    </row>
    <row r="340" spans="1:10">
      <c r="A340" s="6">
        <v>44371</v>
      </c>
      <c r="B340" s="7"/>
      <c r="C340" s="26">
        <v>407</v>
      </c>
      <c r="D340" s="27"/>
      <c r="E340" s="14">
        <v>402.62</v>
      </c>
      <c r="F340" s="9"/>
      <c r="G340" s="28"/>
      <c r="H340" s="27"/>
      <c r="I340" s="10" t="s">
        <v>361</v>
      </c>
      <c r="J340" s="11">
        <v>1828</v>
      </c>
    </row>
    <row r="341" spans="1:10">
      <c r="A341" s="6">
        <v>44371</v>
      </c>
      <c r="B341" s="7"/>
      <c r="C341" s="26">
        <v>401</v>
      </c>
      <c r="D341" s="27"/>
      <c r="E341" s="14">
        <v>134.05000000000001</v>
      </c>
      <c r="F341" s="9"/>
      <c r="G341" s="28"/>
      <c r="H341" s="27"/>
      <c r="I341" s="10" t="s">
        <v>362</v>
      </c>
      <c r="J341" s="11">
        <v>516</v>
      </c>
    </row>
    <row r="342" spans="1:10">
      <c r="A342" s="6">
        <v>44371</v>
      </c>
      <c r="B342" s="7"/>
      <c r="C342" s="26">
        <v>391</v>
      </c>
      <c r="D342" s="27"/>
      <c r="E342" s="14">
        <v>483.71</v>
      </c>
      <c r="F342" s="9"/>
      <c r="G342" s="28"/>
      <c r="H342" s="27"/>
      <c r="I342" s="12" t="s">
        <v>363</v>
      </c>
      <c r="J342" s="11">
        <v>1951</v>
      </c>
    </row>
    <row r="343" spans="1:10">
      <c r="A343" s="6">
        <v>44371</v>
      </c>
      <c r="B343" s="7"/>
      <c r="C343" s="26">
        <v>386</v>
      </c>
      <c r="D343" s="27"/>
      <c r="E343" s="14">
        <v>482.43</v>
      </c>
      <c r="F343" s="9"/>
      <c r="G343" s="28"/>
      <c r="H343" s="27"/>
      <c r="I343" s="10" t="s">
        <v>364</v>
      </c>
      <c r="J343" s="11">
        <v>707</v>
      </c>
    </row>
    <row r="344" spans="1:10">
      <c r="A344" s="6">
        <v>44371</v>
      </c>
      <c r="B344" s="7"/>
      <c r="C344" s="26">
        <v>363</v>
      </c>
      <c r="D344" s="27"/>
      <c r="E344" s="14">
        <v>733</v>
      </c>
      <c r="F344" s="9"/>
      <c r="G344" s="28"/>
      <c r="H344" s="27"/>
      <c r="I344" s="10" t="s">
        <v>365</v>
      </c>
      <c r="J344" s="11">
        <v>1121</v>
      </c>
    </row>
    <row r="345" spans="1:10">
      <c r="A345" s="6">
        <v>44371</v>
      </c>
      <c r="B345" s="7"/>
      <c r="C345" s="26">
        <v>362</v>
      </c>
      <c r="D345" s="27"/>
      <c r="E345" s="14">
        <v>124.15</v>
      </c>
      <c r="F345" s="9"/>
      <c r="G345" s="28"/>
      <c r="H345" s="27"/>
      <c r="I345" s="12" t="s">
        <v>366</v>
      </c>
      <c r="J345" s="11">
        <v>1859</v>
      </c>
    </row>
    <row r="346" spans="1:10">
      <c r="A346" s="6">
        <v>44371</v>
      </c>
      <c r="B346" s="7"/>
      <c r="C346" s="26">
        <v>357</v>
      </c>
      <c r="D346" s="27"/>
      <c r="E346" s="8">
        <v>1265.83</v>
      </c>
      <c r="F346" s="9"/>
      <c r="G346" s="28"/>
      <c r="H346" s="27"/>
      <c r="I346" s="10" t="s">
        <v>367</v>
      </c>
      <c r="J346" s="11">
        <v>1600</v>
      </c>
    </row>
    <row r="347" spans="1:10">
      <c r="A347" s="6">
        <v>44371</v>
      </c>
      <c r="B347" s="7"/>
      <c r="C347" s="26">
        <v>353</v>
      </c>
      <c r="D347" s="27"/>
      <c r="E347" s="8">
        <v>1401.04</v>
      </c>
      <c r="F347" s="9"/>
      <c r="G347" s="28"/>
      <c r="H347" s="27"/>
      <c r="I347" s="12" t="s">
        <v>368</v>
      </c>
      <c r="J347" s="11">
        <v>1237</v>
      </c>
    </row>
    <row r="348" spans="1:10">
      <c r="A348" s="6">
        <v>44371</v>
      </c>
      <c r="B348" s="7"/>
      <c r="C348" s="26">
        <v>352</v>
      </c>
      <c r="D348" s="27"/>
      <c r="E348" s="14">
        <v>257.04000000000002</v>
      </c>
      <c r="F348" s="9"/>
      <c r="G348" s="28"/>
      <c r="H348" s="27"/>
      <c r="I348" s="12" t="s">
        <v>369</v>
      </c>
      <c r="J348" s="11">
        <v>1391</v>
      </c>
    </row>
    <row r="349" spans="1:10">
      <c r="A349" s="6">
        <v>44371</v>
      </c>
      <c r="B349" s="7"/>
      <c r="C349" s="26">
        <v>346</v>
      </c>
      <c r="D349" s="27"/>
      <c r="E349" s="14">
        <v>337</v>
      </c>
      <c r="F349" s="9"/>
      <c r="G349" s="28"/>
      <c r="H349" s="27"/>
      <c r="I349" s="10" t="s">
        <v>370</v>
      </c>
      <c r="J349" s="11">
        <v>1652</v>
      </c>
    </row>
    <row r="350" spans="1:10">
      <c r="A350" s="6">
        <v>44371</v>
      </c>
      <c r="B350" s="7"/>
      <c r="C350" s="26">
        <v>344</v>
      </c>
      <c r="D350" s="27"/>
      <c r="E350" s="8">
        <v>1493</v>
      </c>
      <c r="F350" s="9"/>
      <c r="G350" s="28"/>
      <c r="H350" s="27"/>
      <c r="I350" s="12" t="s">
        <v>371</v>
      </c>
      <c r="J350" s="11">
        <v>1653</v>
      </c>
    </row>
    <row r="351" spans="1:10">
      <c r="A351" s="6">
        <v>44371</v>
      </c>
      <c r="B351" s="7"/>
      <c r="C351" s="26">
        <v>338</v>
      </c>
      <c r="D351" s="27"/>
      <c r="E351" s="8">
        <v>1244</v>
      </c>
      <c r="F351" s="9"/>
      <c r="G351" s="28"/>
      <c r="H351" s="27"/>
      <c r="I351" s="12" t="s">
        <v>372</v>
      </c>
      <c r="J351" s="11">
        <v>1839</v>
      </c>
    </row>
    <row r="352" spans="1:10">
      <c r="A352" s="6">
        <v>44371</v>
      </c>
      <c r="B352" s="7"/>
      <c r="C352" s="26">
        <v>328</v>
      </c>
      <c r="D352" s="27"/>
      <c r="E352" s="14">
        <v>365.73</v>
      </c>
      <c r="F352" s="9"/>
      <c r="G352" s="28"/>
      <c r="H352" s="27"/>
      <c r="I352" s="10" t="s">
        <v>373</v>
      </c>
      <c r="J352" s="11">
        <v>1424</v>
      </c>
    </row>
    <row r="353" spans="1:10">
      <c r="A353" s="6">
        <v>44371</v>
      </c>
      <c r="B353" s="7"/>
      <c r="C353" s="26">
        <v>320</v>
      </c>
      <c r="D353" s="27"/>
      <c r="E353" s="14">
        <v>561</v>
      </c>
      <c r="F353" s="9"/>
      <c r="G353" s="28"/>
      <c r="H353" s="27"/>
      <c r="I353" s="10" t="s">
        <v>374</v>
      </c>
      <c r="J353" s="11">
        <v>496</v>
      </c>
    </row>
    <row r="354" spans="1:10">
      <c r="A354" s="6">
        <v>44371</v>
      </c>
      <c r="B354" s="7"/>
      <c r="C354" s="26">
        <v>301</v>
      </c>
      <c r="D354" s="27"/>
      <c r="E354" s="14">
        <v>905</v>
      </c>
      <c r="F354" s="9"/>
      <c r="G354" s="28"/>
      <c r="H354" s="27"/>
      <c r="I354" s="10" t="s">
        <v>375</v>
      </c>
      <c r="J354" s="11">
        <v>1945</v>
      </c>
    </row>
    <row r="355" spans="1:10">
      <c r="A355" s="6">
        <v>44371</v>
      </c>
      <c r="B355" s="7"/>
      <c r="C355" s="26">
        <v>295</v>
      </c>
      <c r="D355" s="27"/>
      <c r="E355" s="14">
        <v>450</v>
      </c>
      <c r="F355" s="9"/>
      <c r="G355" s="28"/>
      <c r="H355" s="27"/>
      <c r="I355" s="10" t="s">
        <v>376</v>
      </c>
      <c r="J355" s="11">
        <v>1773</v>
      </c>
    </row>
    <row r="356" spans="1:10">
      <c r="A356" s="6">
        <v>44371</v>
      </c>
      <c r="B356" s="7"/>
      <c r="C356" s="26">
        <v>292</v>
      </c>
      <c r="D356" s="27"/>
      <c r="E356" s="14">
        <v>300</v>
      </c>
      <c r="F356" s="9"/>
      <c r="G356" s="28"/>
      <c r="H356" s="27"/>
      <c r="I356" s="10" t="s">
        <v>378</v>
      </c>
      <c r="J356" s="11">
        <v>1543</v>
      </c>
    </row>
    <row r="357" spans="1:10">
      <c r="A357" s="6">
        <v>44371</v>
      </c>
      <c r="B357" s="7"/>
      <c r="C357" s="26">
        <v>291</v>
      </c>
      <c r="D357" s="27"/>
      <c r="E357" s="14">
        <v>825</v>
      </c>
      <c r="F357" s="9"/>
      <c r="G357" s="28"/>
      <c r="H357" s="27"/>
      <c r="I357" s="10" t="s">
        <v>379</v>
      </c>
      <c r="J357" s="11">
        <v>1496</v>
      </c>
    </row>
    <row r="358" spans="1:10">
      <c r="A358" s="6">
        <v>44371</v>
      </c>
      <c r="B358" s="7"/>
      <c r="C358" s="26">
        <v>287</v>
      </c>
      <c r="D358" s="27"/>
      <c r="E358" s="14">
        <v>28</v>
      </c>
      <c r="F358" s="9"/>
      <c r="G358" s="28"/>
      <c r="H358" s="27"/>
      <c r="I358" s="10" t="s">
        <v>380</v>
      </c>
      <c r="J358" s="11">
        <v>1012</v>
      </c>
    </row>
    <row r="359" spans="1:10">
      <c r="A359" s="6">
        <v>44371</v>
      </c>
      <c r="B359" s="7"/>
      <c r="C359" s="26">
        <v>269</v>
      </c>
      <c r="D359" s="27"/>
      <c r="E359" s="14">
        <v>125</v>
      </c>
      <c r="F359" s="9"/>
      <c r="G359" s="28"/>
      <c r="H359" s="27"/>
      <c r="I359" s="10" t="s">
        <v>381</v>
      </c>
      <c r="J359" s="11">
        <v>721</v>
      </c>
    </row>
    <row r="360" spans="1:10">
      <c r="A360" s="6">
        <v>44371</v>
      </c>
      <c r="B360" s="7"/>
      <c r="C360" s="26">
        <v>244</v>
      </c>
      <c r="D360" s="27"/>
      <c r="E360" s="14">
        <v>84</v>
      </c>
      <c r="F360" s="9"/>
      <c r="G360" s="28"/>
      <c r="H360" s="27"/>
      <c r="I360" s="10" t="s">
        <v>382</v>
      </c>
      <c r="J360" s="11">
        <v>833</v>
      </c>
    </row>
    <row r="361" spans="1:10">
      <c r="A361" s="6">
        <v>44371</v>
      </c>
      <c r="B361" s="7"/>
      <c r="C361" s="26">
        <v>232</v>
      </c>
      <c r="D361" s="27"/>
      <c r="E361" s="14">
        <v>433.12</v>
      </c>
      <c r="F361" s="9"/>
      <c r="G361" s="28"/>
      <c r="H361" s="27"/>
      <c r="I361" s="10" t="s">
        <v>383</v>
      </c>
      <c r="J361" s="11">
        <v>1475</v>
      </c>
    </row>
    <row r="362" spans="1:10">
      <c r="A362" s="6">
        <v>44371</v>
      </c>
      <c r="B362" s="7"/>
      <c r="C362" s="26">
        <v>230</v>
      </c>
      <c r="D362" s="27"/>
      <c r="E362" s="14">
        <v>539</v>
      </c>
      <c r="F362" s="9"/>
      <c r="G362" s="28"/>
      <c r="H362" s="27"/>
      <c r="I362" s="10" t="s">
        <v>384</v>
      </c>
      <c r="J362" s="11">
        <v>437</v>
      </c>
    </row>
    <row r="363" spans="1:10">
      <c r="A363" s="6">
        <v>44371</v>
      </c>
      <c r="B363" s="7"/>
      <c r="C363" s="26">
        <v>222</v>
      </c>
      <c r="D363" s="27"/>
      <c r="E363" s="14">
        <v>100</v>
      </c>
      <c r="F363" s="9"/>
      <c r="G363" s="28"/>
      <c r="H363" s="27"/>
      <c r="I363" s="10" t="s">
        <v>385</v>
      </c>
      <c r="J363" s="11">
        <v>495</v>
      </c>
    </row>
    <row r="364" spans="1:10">
      <c r="A364" s="6">
        <v>44371</v>
      </c>
      <c r="B364" s="7"/>
      <c r="C364" s="26">
        <v>217</v>
      </c>
      <c r="D364" s="27"/>
      <c r="E364" s="14">
        <v>247</v>
      </c>
      <c r="F364" s="9"/>
      <c r="G364" s="28"/>
      <c r="H364" s="27"/>
      <c r="I364" s="10" t="s">
        <v>386</v>
      </c>
      <c r="J364" s="11">
        <v>1274</v>
      </c>
    </row>
    <row r="365" spans="1:10">
      <c r="A365" s="6">
        <v>44371</v>
      </c>
      <c r="B365" s="7"/>
      <c r="C365" s="26">
        <v>209</v>
      </c>
      <c r="D365" s="27"/>
      <c r="E365" s="8">
        <v>2155</v>
      </c>
      <c r="F365" s="9"/>
      <c r="G365" s="28"/>
      <c r="H365" s="27"/>
      <c r="I365" s="10" t="s">
        <v>387</v>
      </c>
      <c r="J365" s="11">
        <v>149</v>
      </c>
    </row>
    <row r="366" spans="1:10">
      <c r="A366" s="6">
        <v>44371</v>
      </c>
      <c r="B366" s="7"/>
      <c r="C366" s="26">
        <v>196</v>
      </c>
      <c r="D366" s="27"/>
      <c r="E366" s="14">
        <v>180</v>
      </c>
      <c r="F366" s="9"/>
      <c r="G366" s="28"/>
      <c r="H366" s="27"/>
      <c r="I366" s="12" t="s">
        <v>388</v>
      </c>
      <c r="J366" s="11">
        <v>1415</v>
      </c>
    </row>
    <row r="367" spans="1:10">
      <c r="A367" s="6">
        <v>44371</v>
      </c>
      <c r="B367" s="7"/>
      <c r="C367" s="26">
        <v>178</v>
      </c>
      <c r="D367" s="27"/>
      <c r="E367" s="14">
        <v>439</v>
      </c>
      <c r="F367" s="9"/>
      <c r="G367" s="28"/>
      <c r="H367" s="27"/>
      <c r="I367" s="10" t="s">
        <v>389</v>
      </c>
      <c r="J367" s="11">
        <v>773</v>
      </c>
    </row>
    <row r="368" spans="1:10">
      <c r="A368" s="6">
        <v>44371</v>
      </c>
      <c r="B368" s="7"/>
      <c r="C368" s="26">
        <v>170</v>
      </c>
      <c r="D368" s="27"/>
      <c r="E368" s="14">
        <v>920.8</v>
      </c>
      <c r="F368" s="9"/>
      <c r="G368" s="28"/>
      <c r="H368" s="27"/>
      <c r="I368" s="12" t="s">
        <v>390</v>
      </c>
      <c r="J368" s="11">
        <v>1974</v>
      </c>
    </row>
    <row r="369" spans="1:10">
      <c r="A369" s="6">
        <v>44371</v>
      </c>
      <c r="B369" s="7"/>
      <c r="C369" s="26">
        <v>164</v>
      </c>
      <c r="D369" s="27"/>
      <c r="E369" s="14">
        <v>224</v>
      </c>
      <c r="F369" s="9"/>
      <c r="G369" s="28"/>
      <c r="H369" s="27"/>
      <c r="I369" s="10" t="s">
        <v>391</v>
      </c>
      <c r="J369" s="11">
        <v>615</v>
      </c>
    </row>
    <row r="370" spans="1:10">
      <c r="A370" s="6">
        <v>44371</v>
      </c>
      <c r="B370" s="7"/>
      <c r="C370" s="26">
        <v>159</v>
      </c>
      <c r="D370" s="27"/>
      <c r="E370" s="14">
        <v>112</v>
      </c>
      <c r="F370" s="9"/>
      <c r="G370" s="28"/>
      <c r="H370" s="27"/>
      <c r="I370" s="10" t="s">
        <v>392</v>
      </c>
      <c r="J370" s="11">
        <v>271</v>
      </c>
    </row>
    <row r="371" spans="1:10">
      <c r="A371" s="6">
        <v>44371</v>
      </c>
      <c r="B371" s="7"/>
      <c r="C371" s="26">
        <v>157</v>
      </c>
      <c r="D371" s="27"/>
      <c r="E371" s="14">
        <v>595</v>
      </c>
      <c r="F371" s="9"/>
      <c r="G371" s="28"/>
      <c r="H371" s="27"/>
      <c r="I371" s="12" t="s">
        <v>393</v>
      </c>
      <c r="J371" s="11">
        <v>733</v>
      </c>
    </row>
    <row r="372" spans="1:10">
      <c r="A372" s="6">
        <v>44371</v>
      </c>
      <c r="B372" s="7"/>
      <c r="C372" s="26">
        <v>148</v>
      </c>
      <c r="D372" s="27"/>
      <c r="E372" s="14">
        <v>714.25</v>
      </c>
      <c r="F372" s="9"/>
      <c r="G372" s="28"/>
      <c r="H372" s="27"/>
      <c r="I372" s="12" t="s">
        <v>394</v>
      </c>
      <c r="J372" s="11">
        <v>386</v>
      </c>
    </row>
    <row r="373" spans="1:10">
      <c r="A373" s="6">
        <v>44371</v>
      </c>
      <c r="B373" s="7"/>
      <c r="C373" s="26">
        <v>145</v>
      </c>
      <c r="D373" s="27"/>
      <c r="E373" s="14">
        <v>696</v>
      </c>
      <c r="F373" s="9"/>
      <c r="G373" s="28"/>
      <c r="H373" s="27"/>
      <c r="I373" s="10" t="s">
        <v>395</v>
      </c>
      <c r="J373" s="11">
        <v>1572</v>
      </c>
    </row>
    <row r="374" spans="1:10">
      <c r="A374" s="6">
        <v>44371</v>
      </c>
      <c r="B374" s="7"/>
      <c r="C374" s="26">
        <v>142</v>
      </c>
      <c r="D374" s="27"/>
      <c r="E374" s="14">
        <v>450</v>
      </c>
      <c r="F374" s="9"/>
      <c r="G374" s="28"/>
      <c r="H374" s="27"/>
      <c r="I374" s="10" t="s">
        <v>396</v>
      </c>
      <c r="J374" s="11">
        <v>1694</v>
      </c>
    </row>
    <row r="375" spans="1:10">
      <c r="A375" s="6">
        <v>44371</v>
      </c>
      <c r="B375" s="7"/>
      <c r="C375" s="26">
        <v>136</v>
      </c>
      <c r="D375" s="27"/>
      <c r="E375" s="14">
        <v>200</v>
      </c>
      <c r="F375" s="9"/>
      <c r="G375" s="28"/>
      <c r="H375" s="27"/>
      <c r="I375" s="10" t="s">
        <v>397</v>
      </c>
      <c r="J375" s="11">
        <v>1829</v>
      </c>
    </row>
    <row r="376" spans="1:10">
      <c r="A376" s="6">
        <v>44371</v>
      </c>
      <c r="B376" s="7"/>
      <c r="C376" s="26">
        <v>132</v>
      </c>
      <c r="D376" s="27"/>
      <c r="E376" s="14">
        <v>365</v>
      </c>
      <c r="F376" s="9"/>
      <c r="G376" s="28"/>
      <c r="H376" s="27"/>
      <c r="I376" s="12" t="s">
        <v>398</v>
      </c>
      <c r="J376" s="11">
        <v>1883</v>
      </c>
    </row>
    <row r="377" spans="1:10">
      <c r="A377" s="6">
        <v>44371</v>
      </c>
      <c r="B377" s="7"/>
      <c r="C377" s="26">
        <v>128</v>
      </c>
      <c r="D377" s="27"/>
      <c r="E377" s="14">
        <v>218</v>
      </c>
      <c r="F377" s="9"/>
      <c r="G377" s="28"/>
      <c r="H377" s="27"/>
      <c r="I377" s="10" t="s">
        <v>399</v>
      </c>
      <c r="J377" s="11">
        <v>1306</v>
      </c>
    </row>
    <row r="378" spans="1:10">
      <c r="A378" s="6">
        <v>44371</v>
      </c>
      <c r="B378" s="7"/>
      <c r="C378" s="26">
        <v>98</v>
      </c>
      <c r="D378" s="27"/>
      <c r="E378" s="14">
        <v>23.17</v>
      </c>
      <c r="F378" s="9"/>
      <c r="G378" s="28"/>
      <c r="H378" s="27"/>
      <c r="I378" s="10" t="s">
        <v>400</v>
      </c>
      <c r="J378" s="11">
        <v>663</v>
      </c>
    </row>
    <row r="379" spans="1:10">
      <c r="A379" s="6">
        <v>44371</v>
      </c>
      <c r="B379" s="7"/>
      <c r="C379" s="26">
        <v>96</v>
      </c>
      <c r="D379" s="27"/>
      <c r="E379" s="14">
        <v>836.65</v>
      </c>
      <c r="F379" s="9"/>
      <c r="G379" s="28"/>
      <c r="H379" s="27"/>
      <c r="I379" s="12" t="s">
        <v>401</v>
      </c>
      <c r="J379" s="11">
        <v>1777</v>
      </c>
    </row>
    <row r="380" spans="1:10">
      <c r="A380" s="6">
        <v>44371</v>
      </c>
      <c r="B380" s="7"/>
      <c r="C380" s="26">
        <v>90</v>
      </c>
      <c r="D380" s="27"/>
      <c r="E380" s="14">
        <v>135</v>
      </c>
      <c r="F380" s="9"/>
      <c r="G380" s="28"/>
      <c r="H380" s="27"/>
      <c r="I380" s="10" t="s">
        <v>402</v>
      </c>
      <c r="J380" s="11">
        <v>776</v>
      </c>
    </row>
    <row r="381" spans="1:10">
      <c r="A381" s="6">
        <v>44371</v>
      </c>
      <c r="B381" s="7"/>
      <c r="C381" s="26">
        <v>84</v>
      </c>
      <c r="D381" s="27"/>
      <c r="E381" s="14">
        <v>652</v>
      </c>
      <c r="F381" s="9"/>
      <c r="G381" s="28"/>
      <c r="H381" s="27"/>
      <c r="I381" s="10" t="s">
        <v>403</v>
      </c>
      <c r="J381" s="11">
        <v>586</v>
      </c>
    </row>
    <row r="382" spans="1:10">
      <c r="A382" s="6">
        <v>44371</v>
      </c>
      <c r="B382" s="7"/>
      <c r="C382" s="26">
        <v>75</v>
      </c>
      <c r="D382" s="27"/>
      <c r="E382" s="8">
        <v>1324</v>
      </c>
      <c r="F382" s="9"/>
      <c r="G382" s="28"/>
      <c r="H382" s="27"/>
      <c r="I382" s="10" t="s">
        <v>404</v>
      </c>
      <c r="J382" s="11">
        <v>1954</v>
      </c>
    </row>
    <row r="383" spans="1:10">
      <c r="A383" s="6">
        <v>44371</v>
      </c>
      <c r="B383" s="7"/>
      <c r="C383" s="26">
        <v>74</v>
      </c>
      <c r="D383" s="27"/>
      <c r="E383" s="14">
        <v>779</v>
      </c>
      <c r="F383" s="9"/>
      <c r="G383" s="28"/>
      <c r="H383" s="27"/>
      <c r="I383" s="10" t="s">
        <v>405</v>
      </c>
      <c r="J383" s="11">
        <v>1141</v>
      </c>
    </row>
    <row r="384" spans="1:10">
      <c r="A384" s="6">
        <v>44371</v>
      </c>
      <c r="B384" s="7"/>
      <c r="C384" s="26">
        <v>72</v>
      </c>
      <c r="D384" s="27"/>
      <c r="E384" s="14">
        <v>449</v>
      </c>
      <c r="F384" s="9"/>
      <c r="G384" s="28"/>
      <c r="H384" s="27"/>
      <c r="I384" s="10" t="s">
        <v>406</v>
      </c>
      <c r="J384" s="11">
        <v>494</v>
      </c>
    </row>
    <row r="385" spans="1:10">
      <c r="A385" s="6">
        <v>44371</v>
      </c>
      <c r="B385" s="7"/>
      <c r="C385" s="26">
        <v>69</v>
      </c>
      <c r="D385" s="27"/>
      <c r="E385" s="14">
        <v>100</v>
      </c>
      <c r="F385" s="9"/>
      <c r="G385" s="28"/>
      <c r="H385" s="27"/>
      <c r="I385" s="10" t="s">
        <v>407</v>
      </c>
      <c r="J385" s="11">
        <v>1816</v>
      </c>
    </row>
    <row r="386" spans="1:10">
      <c r="A386" s="6">
        <v>44371</v>
      </c>
      <c r="B386" s="7"/>
      <c r="C386" s="26">
        <v>66</v>
      </c>
      <c r="D386" s="27"/>
      <c r="E386" s="14">
        <v>360.32</v>
      </c>
      <c r="F386" s="9"/>
      <c r="G386" s="28"/>
      <c r="H386" s="27"/>
      <c r="I386" s="10" t="s">
        <v>408</v>
      </c>
      <c r="J386" s="11">
        <v>1538</v>
      </c>
    </row>
    <row r="387" spans="1:10">
      <c r="A387" s="6">
        <v>44371</v>
      </c>
      <c r="B387" s="7"/>
      <c r="C387" s="26">
        <v>63</v>
      </c>
      <c r="D387" s="27"/>
      <c r="E387" s="14">
        <v>309</v>
      </c>
      <c r="F387" s="9"/>
      <c r="G387" s="28"/>
      <c r="H387" s="27"/>
      <c r="I387" s="10" t="s">
        <v>409</v>
      </c>
      <c r="J387" s="11">
        <v>1231</v>
      </c>
    </row>
    <row r="388" spans="1:10">
      <c r="A388" s="6">
        <v>44371</v>
      </c>
      <c r="B388" s="7"/>
      <c r="C388" s="26">
        <v>62</v>
      </c>
      <c r="D388" s="27"/>
      <c r="E388" s="14">
        <v>684.86</v>
      </c>
      <c r="F388" s="9"/>
      <c r="G388" s="28"/>
      <c r="H388" s="27"/>
      <c r="I388" s="12" t="s">
        <v>410</v>
      </c>
      <c r="J388" s="11">
        <v>1957</v>
      </c>
    </row>
    <row r="389" spans="1:10">
      <c r="A389" s="6">
        <v>44371</v>
      </c>
      <c r="B389" s="7"/>
      <c r="C389" s="26">
        <v>58</v>
      </c>
      <c r="D389" s="27"/>
      <c r="E389" s="14">
        <v>90</v>
      </c>
      <c r="F389" s="9"/>
      <c r="G389" s="28"/>
      <c r="H389" s="27"/>
      <c r="I389" s="10" t="s">
        <v>411</v>
      </c>
      <c r="J389" s="11">
        <v>1961</v>
      </c>
    </row>
    <row r="390" spans="1:10">
      <c r="A390" s="6">
        <v>44371</v>
      </c>
      <c r="B390" s="7"/>
      <c r="C390" s="26">
        <v>57</v>
      </c>
      <c r="D390" s="27"/>
      <c r="E390" s="14">
        <v>75</v>
      </c>
      <c r="F390" s="9"/>
      <c r="G390" s="28"/>
      <c r="H390" s="27"/>
      <c r="I390" s="10" t="s">
        <v>412</v>
      </c>
      <c r="J390" s="11">
        <v>1078</v>
      </c>
    </row>
    <row r="391" spans="1:10">
      <c r="A391" s="6">
        <v>44371</v>
      </c>
      <c r="B391" s="7"/>
      <c r="C391" s="26">
        <v>29</v>
      </c>
      <c r="D391" s="27"/>
      <c r="E391" s="8">
        <v>1016</v>
      </c>
      <c r="F391" s="9"/>
      <c r="G391" s="28"/>
      <c r="H391" s="27"/>
      <c r="I391" s="10" t="s">
        <v>413</v>
      </c>
      <c r="J391" s="11">
        <v>545</v>
      </c>
    </row>
    <row r="392" spans="1:10">
      <c r="A392" s="6">
        <v>44371</v>
      </c>
      <c r="B392" s="7"/>
      <c r="C392" s="26">
        <v>26</v>
      </c>
      <c r="D392" s="27"/>
      <c r="E392" s="14">
        <v>867</v>
      </c>
      <c r="F392" s="9"/>
      <c r="G392" s="28"/>
      <c r="H392" s="27"/>
      <c r="I392" s="10" t="s">
        <v>414</v>
      </c>
      <c r="J392" s="10" t="s">
        <v>415</v>
      </c>
    </row>
    <row r="393" spans="1:10">
      <c r="A393" s="6">
        <v>44371</v>
      </c>
      <c r="B393" s="7"/>
      <c r="C393" s="26">
        <v>25</v>
      </c>
      <c r="D393" s="27"/>
      <c r="E393" s="14">
        <v>530</v>
      </c>
      <c r="F393" s="9"/>
      <c r="G393" s="28"/>
      <c r="H393" s="27"/>
      <c r="I393" s="10" t="s">
        <v>416</v>
      </c>
      <c r="J393" s="11">
        <v>1355</v>
      </c>
    </row>
    <row r="394" spans="1:10">
      <c r="A394" s="6">
        <v>44371</v>
      </c>
      <c r="B394" s="7"/>
      <c r="C394" s="26">
        <v>19</v>
      </c>
      <c r="D394" s="27"/>
      <c r="E394" s="14">
        <v>280</v>
      </c>
      <c r="F394" s="9"/>
      <c r="G394" s="28"/>
      <c r="H394" s="27"/>
      <c r="I394" s="12" t="s">
        <v>417</v>
      </c>
      <c r="J394" s="11">
        <v>1758</v>
      </c>
    </row>
    <row r="395" spans="1:10">
      <c r="A395" s="6">
        <v>44371</v>
      </c>
      <c r="B395" s="7"/>
      <c r="C395" s="26">
        <v>17</v>
      </c>
      <c r="D395" s="27"/>
      <c r="E395" s="14">
        <v>175</v>
      </c>
      <c r="F395" s="9"/>
      <c r="G395" s="28"/>
      <c r="H395" s="27"/>
      <c r="I395" s="12" t="s">
        <v>418</v>
      </c>
      <c r="J395" s="11">
        <v>1819</v>
      </c>
    </row>
    <row r="396" spans="1:10">
      <c r="A396" s="6">
        <v>44371</v>
      </c>
      <c r="B396" s="7"/>
      <c r="C396" s="26">
        <v>6</v>
      </c>
      <c r="D396" s="27"/>
      <c r="E396" s="14">
        <v>767</v>
      </c>
      <c r="F396" s="9"/>
      <c r="G396" s="28"/>
      <c r="H396" s="27"/>
      <c r="I396" s="10" t="s">
        <v>419</v>
      </c>
      <c r="J396" s="11">
        <v>1942</v>
      </c>
    </row>
    <row r="397" spans="1:10" ht="12" customHeight="1">
      <c r="C397" s="19"/>
      <c r="D397" s="19"/>
      <c r="E397" s="20">
        <f>SUM(E2:E396)</f>
        <v>575103.75000000035</v>
      </c>
      <c r="F397" s="5" t="s">
        <v>420</v>
      </c>
      <c r="I397" s="10" t="s">
        <v>421</v>
      </c>
      <c r="J397" s="11">
        <v>1967</v>
      </c>
    </row>
    <row r="398" spans="1:10" ht="15.75" customHeight="1">
      <c r="C398" s="19"/>
      <c r="D398" s="19"/>
      <c r="I398" s="10" t="s">
        <v>422</v>
      </c>
      <c r="J398" s="11">
        <v>1975</v>
      </c>
    </row>
    <row r="399" spans="1:10" ht="15.75" customHeight="1">
      <c r="C399" s="19"/>
      <c r="D399" s="19"/>
      <c r="I399" s="10" t="s">
        <v>423</v>
      </c>
      <c r="J399" s="11">
        <v>1763</v>
      </c>
    </row>
    <row r="400" spans="1:10" ht="15.75" customHeight="1">
      <c r="C400" s="19"/>
      <c r="D400" s="19"/>
      <c r="I400" s="10" t="s">
        <v>424</v>
      </c>
      <c r="J400" s="11">
        <v>782</v>
      </c>
    </row>
    <row r="401" spans="3:10" ht="15.75" customHeight="1">
      <c r="C401" s="19"/>
      <c r="D401" s="19"/>
      <c r="I401" s="10" t="s">
        <v>425</v>
      </c>
      <c r="J401" s="11">
        <v>1425</v>
      </c>
    </row>
    <row r="402" spans="3:10" ht="15.75" customHeight="1">
      <c r="C402" s="19"/>
      <c r="D402" s="19"/>
      <c r="I402" s="10" t="s">
        <v>426</v>
      </c>
      <c r="J402" s="10" t="s">
        <v>128</v>
      </c>
    </row>
    <row r="403" spans="3:10" ht="15.75" customHeight="1">
      <c r="C403" s="19"/>
      <c r="D403" s="19"/>
      <c r="I403" s="10" t="s">
        <v>427</v>
      </c>
      <c r="J403" s="11">
        <v>1239</v>
      </c>
    </row>
    <row r="404" spans="3:10" ht="15.75" customHeight="1">
      <c r="C404" s="19"/>
      <c r="D404" s="19"/>
      <c r="I404" s="10" t="s">
        <v>428</v>
      </c>
      <c r="J404" s="11">
        <v>1000</v>
      </c>
    </row>
    <row r="405" spans="3:10" ht="15.75" customHeight="1">
      <c r="C405" s="19"/>
      <c r="D405" s="19"/>
      <c r="I405" s="12" t="s">
        <v>429</v>
      </c>
      <c r="J405" s="11">
        <v>346</v>
      </c>
    </row>
    <row r="406" spans="3:10" ht="15.75" customHeight="1">
      <c r="C406" s="19"/>
      <c r="D406" s="19"/>
      <c r="I406" s="12" t="s">
        <v>430</v>
      </c>
      <c r="J406" s="11">
        <v>74</v>
      </c>
    </row>
    <row r="407" spans="3:10" ht="15.75" customHeight="1">
      <c r="C407" s="19"/>
      <c r="D407" s="19"/>
      <c r="I407" s="10" t="s">
        <v>431</v>
      </c>
      <c r="J407" s="11">
        <v>348</v>
      </c>
    </row>
    <row r="408" spans="3:10" ht="15.75" customHeight="1">
      <c r="C408" s="19"/>
      <c r="D408" s="19"/>
      <c r="I408" s="10" t="s">
        <v>432</v>
      </c>
      <c r="J408" s="11">
        <v>391</v>
      </c>
    </row>
    <row r="409" spans="3:10" ht="15.75" customHeight="1">
      <c r="C409" s="19"/>
      <c r="D409" s="19"/>
      <c r="I409" s="10" t="s">
        <v>433</v>
      </c>
      <c r="J409" s="11">
        <v>1008</v>
      </c>
    </row>
    <row r="410" spans="3:10" ht="15.75" customHeight="1">
      <c r="C410" s="19"/>
      <c r="D410" s="19"/>
      <c r="I410" s="12" t="s">
        <v>434</v>
      </c>
      <c r="J410" s="11">
        <v>1256</v>
      </c>
    </row>
    <row r="411" spans="3:10" ht="15.75" customHeight="1">
      <c r="C411" s="19"/>
      <c r="D411" s="19"/>
      <c r="I411" s="10" t="s">
        <v>435</v>
      </c>
      <c r="J411" s="11">
        <v>821</v>
      </c>
    </row>
    <row r="412" spans="3:10" ht="15.75" customHeight="1">
      <c r="C412" s="19"/>
      <c r="D412" s="19"/>
      <c r="I412" s="12" t="s">
        <v>436</v>
      </c>
      <c r="J412" s="11">
        <v>352</v>
      </c>
    </row>
    <row r="413" spans="3:10" ht="15.75" customHeight="1">
      <c r="C413" s="19"/>
      <c r="D413" s="19"/>
      <c r="I413" s="10" t="s">
        <v>437</v>
      </c>
      <c r="J413" s="11">
        <v>1754</v>
      </c>
    </row>
    <row r="414" spans="3:10" ht="15.75" customHeight="1">
      <c r="C414" s="19"/>
      <c r="D414" s="19"/>
      <c r="I414" s="10" t="s">
        <v>438</v>
      </c>
      <c r="J414" s="11">
        <v>628</v>
      </c>
    </row>
    <row r="415" spans="3:10" ht="15.75" customHeight="1">
      <c r="C415" s="19"/>
      <c r="D415" s="19"/>
      <c r="I415" s="10" t="s">
        <v>439</v>
      </c>
      <c r="J415" s="11">
        <v>468</v>
      </c>
    </row>
    <row r="416" spans="3:10" ht="15.75" customHeight="1">
      <c r="C416" s="19"/>
      <c r="D416" s="19"/>
      <c r="I416" s="10" t="s">
        <v>440</v>
      </c>
      <c r="J416" s="11">
        <v>1318</v>
      </c>
    </row>
    <row r="417" spans="3:10" ht="15.75" customHeight="1">
      <c r="C417" s="19"/>
      <c r="D417" s="19"/>
      <c r="I417" s="10" t="s">
        <v>441</v>
      </c>
      <c r="J417" s="11">
        <v>653</v>
      </c>
    </row>
    <row r="418" spans="3:10" ht="15.75" customHeight="1">
      <c r="C418" s="19"/>
      <c r="D418" s="19"/>
      <c r="I418" s="10" t="s">
        <v>442</v>
      </c>
      <c r="J418" s="11">
        <v>1091</v>
      </c>
    </row>
    <row r="419" spans="3:10" ht="15.75" customHeight="1">
      <c r="C419" s="19"/>
      <c r="D419" s="19"/>
      <c r="I419" s="10" t="s">
        <v>443</v>
      </c>
      <c r="J419" s="11">
        <v>1044</v>
      </c>
    </row>
    <row r="420" spans="3:10" ht="15.75" customHeight="1">
      <c r="C420" s="19"/>
      <c r="D420" s="19"/>
      <c r="I420" s="10" t="s">
        <v>444</v>
      </c>
      <c r="J420" s="11">
        <v>1470</v>
      </c>
    </row>
    <row r="421" spans="3:10" ht="15.75" customHeight="1">
      <c r="C421" s="19"/>
      <c r="D421" s="19"/>
      <c r="I421" s="10" t="s">
        <v>445</v>
      </c>
      <c r="J421" s="11">
        <v>256</v>
      </c>
    </row>
    <row r="422" spans="3:10" ht="15.75" customHeight="1">
      <c r="C422" s="19"/>
      <c r="D422" s="19"/>
      <c r="I422" s="10" t="s">
        <v>446</v>
      </c>
      <c r="J422" s="11">
        <v>1800</v>
      </c>
    </row>
    <row r="423" spans="3:10" ht="15.75" customHeight="1">
      <c r="C423" s="19"/>
      <c r="D423" s="19"/>
      <c r="I423" s="10" t="s">
        <v>447</v>
      </c>
      <c r="J423" s="11">
        <v>779</v>
      </c>
    </row>
    <row r="424" spans="3:10" ht="15.75" customHeight="1">
      <c r="C424" s="19"/>
      <c r="D424" s="19"/>
      <c r="I424" s="10" t="s">
        <v>448</v>
      </c>
      <c r="J424" s="11">
        <v>353</v>
      </c>
    </row>
    <row r="425" spans="3:10" ht="15.75" customHeight="1">
      <c r="C425" s="19"/>
      <c r="D425" s="19"/>
      <c r="I425" s="10" t="s">
        <v>449</v>
      </c>
      <c r="J425" s="11">
        <v>1157</v>
      </c>
    </row>
    <row r="426" spans="3:10" ht="15.75" customHeight="1">
      <c r="C426" s="19"/>
      <c r="D426" s="19"/>
      <c r="I426" s="12" t="s">
        <v>450</v>
      </c>
      <c r="J426" s="11">
        <v>481</v>
      </c>
    </row>
    <row r="427" spans="3:10" ht="15.75" customHeight="1">
      <c r="C427" s="19"/>
      <c r="D427" s="19"/>
      <c r="I427" s="10" t="s">
        <v>451</v>
      </c>
      <c r="J427" s="11">
        <v>1193</v>
      </c>
    </row>
    <row r="428" spans="3:10" ht="15.75" customHeight="1">
      <c r="C428" s="19"/>
      <c r="D428" s="19"/>
      <c r="I428" s="10" t="s">
        <v>452</v>
      </c>
      <c r="J428" s="11">
        <v>357</v>
      </c>
    </row>
    <row r="429" spans="3:10" ht="15.75" customHeight="1">
      <c r="C429" s="19"/>
      <c r="D429" s="19"/>
      <c r="I429" s="10" t="s">
        <v>453</v>
      </c>
      <c r="J429" s="11">
        <v>1886</v>
      </c>
    </row>
    <row r="430" spans="3:10" ht="15.75" customHeight="1">
      <c r="C430" s="19"/>
      <c r="D430" s="19"/>
      <c r="I430" s="10" t="s">
        <v>454</v>
      </c>
      <c r="J430" s="11">
        <v>209</v>
      </c>
    </row>
    <row r="431" spans="3:10" ht="15.75" customHeight="1">
      <c r="C431" s="19"/>
      <c r="D431" s="19"/>
      <c r="I431" s="10" t="s">
        <v>455</v>
      </c>
      <c r="J431" s="11">
        <v>1578</v>
      </c>
    </row>
    <row r="432" spans="3:10" ht="15.75" customHeight="1">
      <c r="C432" s="19"/>
      <c r="D432" s="19"/>
      <c r="I432" s="10" t="s">
        <v>456</v>
      </c>
      <c r="J432" s="11">
        <v>1792</v>
      </c>
    </row>
    <row r="433" spans="3:10" ht="15.75" customHeight="1">
      <c r="C433" s="19"/>
      <c r="D433" s="19"/>
      <c r="I433" s="10" t="s">
        <v>457</v>
      </c>
      <c r="J433" s="11">
        <v>1084</v>
      </c>
    </row>
    <row r="434" spans="3:10" ht="15.75" customHeight="1">
      <c r="C434" s="19"/>
      <c r="D434" s="19"/>
      <c r="I434" s="10" t="s">
        <v>458</v>
      </c>
      <c r="J434" s="11">
        <v>1416</v>
      </c>
    </row>
    <row r="435" spans="3:10" ht="15.75" customHeight="1">
      <c r="C435" s="19"/>
      <c r="D435" s="19"/>
      <c r="I435" s="10" t="s">
        <v>459</v>
      </c>
      <c r="J435" s="11">
        <v>737</v>
      </c>
    </row>
    <row r="436" spans="3:10" ht="15.75" customHeight="1">
      <c r="C436" s="19"/>
      <c r="D436" s="19"/>
      <c r="I436" s="10" t="s">
        <v>460</v>
      </c>
      <c r="J436" s="11">
        <v>741</v>
      </c>
    </row>
    <row r="437" spans="3:10" ht="15.75" customHeight="1">
      <c r="C437" s="19"/>
      <c r="D437" s="19"/>
      <c r="I437" s="10" t="s">
        <v>461</v>
      </c>
      <c r="J437" s="11">
        <v>359</v>
      </c>
    </row>
    <row r="438" spans="3:10" ht="15.75" customHeight="1">
      <c r="C438" s="19"/>
      <c r="D438" s="19"/>
      <c r="I438" s="17" t="s">
        <v>462</v>
      </c>
      <c r="J438" s="16">
        <v>1191</v>
      </c>
    </row>
    <row r="439" spans="3:10" ht="15.75" customHeight="1">
      <c r="C439" s="19"/>
      <c r="D439" s="19"/>
      <c r="I439" s="17" t="s">
        <v>463</v>
      </c>
      <c r="J439" s="16">
        <v>1774</v>
      </c>
    </row>
    <row r="440" spans="3:10" ht="15.75" customHeight="1">
      <c r="C440" s="19"/>
      <c r="D440" s="19"/>
      <c r="I440" s="17" t="s">
        <v>464</v>
      </c>
      <c r="J440" s="16">
        <v>1530</v>
      </c>
    </row>
    <row r="441" spans="3:10" ht="15.75" customHeight="1">
      <c r="C441" s="19"/>
      <c r="D441" s="19"/>
      <c r="I441" s="15" t="s">
        <v>465</v>
      </c>
      <c r="J441" s="13">
        <v>1444</v>
      </c>
    </row>
    <row r="442" spans="3:10" ht="15.75" customHeight="1">
      <c r="C442" s="19"/>
      <c r="D442" s="19"/>
    </row>
    <row r="443" spans="3:10" ht="15.75" customHeight="1">
      <c r="C443" s="19"/>
      <c r="D443" s="19"/>
    </row>
    <row r="444" spans="3:10" ht="15.75" customHeight="1">
      <c r="C444" s="19"/>
      <c r="D444" s="19"/>
    </row>
    <row r="445" spans="3:10" ht="15.75" customHeight="1">
      <c r="C445" s="19"/>
      <c r="D445" s="19"/>
    </row>
    <row r="446" spans="3:10" ht="15.75" customHeight="1">
      <c r="C446" s="19"/>
      <c r="D446" s="19"/>
    </row>
    <row r="447" spans="3:10" ht="15.75" customHeight="1">
      <c r="C447" s="19"/>
      <c r="D447" s="19"/>
    </row>
    <row r="448" spans="3:10" ht="15.75" customHeight="1">
      <c r="C448" s="19"/>
      <c r="D448" s="19"/>
    </row>
    <row r="449" spans="3:4" ht="15.75" customHeight="1">
      <c r="C449" s="19"/>
      <c r="D449" s="19"/>
    </row>
    <row r="450" spans="3:4" ht="15.75" customHeight="1">
      <c r="C450" s="19"/>
      <c r="D450" s="19"/>
    </row>
    <row r="451" spans="3:4" ht="15.75" customHeight="1">
      <c r="C451" s="19"/>
      <c r="D451" s="19"/>
    </row>
    <row r="452" spans="3:4" ht="15.75" customHeight="1">
      <c r="C452" s="19"/>
      <c r="D452" s="19"/>
    </row>
    <row r="453" spans="3:4" ht="15.75" customHeight="1">
      <c r="C453" s="19"/>
      <c r="D453" s="19"/>
    </row>
    <row r="454" spans="3:4" ht="15.75" customHeight="1">
      <c r="C454" s="19"/>
      <c r="D454" s="19"/>
    </row>
    <row r="455" spans="3:4" ht="15.75" customHeight="1">
      <c r="C455" s="19"/>
      <c r="D455" s="19"/>
    </row>
    <row r="456" spans="3:4" ht="15.75" customHeight="1">
      <c r="C456" s="19"/>
      <c r="D456" s="19"/>
    </row>
    <row r="457" spans="3:4" ht="15.75" customHeight="1">
      <c r="C457" s="19"/>
      <c r="D457" s="19"/>
    </row>
    <row r="458" spans="3:4" ht="15.75" customHeight="1">
      <c r="C458" s="19"/>
      <c r="D458" s="19"/>
    </row>
    <row r="459" spans="3:4" ht="15.75" customHeight="1">
      <c r="C459" s="19"/>
      <c r="D459" s="19"/>
    </row>
    <row r="460" spans="3:4" ht="15.75" customHeight="1">
      <c r="C460" s="19"/>
      <c r="D460" s="19"/>
    </row>
    <row r="461" spans="3:4" ht="15.75" customHeight="1">
      <c r="C461" s="19"/>
      <c r="D461" s="19"/>
    </row>
    <row r="462" spans="3:4" ht="15.75" customHeight="1">
      <c r="C462" s="19"/>
      <c r="D462" s="19"/>
    </row>
    <row r="463" spans="3:4" ht="15.75" customHeight="1">
      <c r="C463" s="19"/>
      <c r="D463" s="19"/>
    </row>
    <row r="464" spans="3:4" ht="15.75" customHeight="1">
      <c r="C464" s="19"/>
      <c r="D464" s="19"/>
    </row>
    <row r="465" spans="3:4" ht="15.75" customHeight="1">
      <c r="C465" s="19"/>
      <c r="D465" s="19"/>
    </row>
    <row r="466" spans="3:4" ht="15.75" customHeight="1">
      <c r="C466" s="19"/>
      <c r="D466" s="19"/>
    </row>
    <row r="467" spans="3:4" ht="15.75" customHeight="1">
      <c r="C467" s="19"/>
      <c r="D467" s="19"/>
    </row>
    <row r="468" spans="3:4" ht="15.75" customHeight="1">
      <c r="C468" s="19"/>
      <c r="D468" s="19"/>
    </row>
    <row r="469" spans="3:4" ht="15.75" customHeight="1">
      <c r="C469" s="19"/>
      <c r="D469" s="19"/>
    </row>
    <row r="470" spans="3:4" ht="15.75" customHeight="1">
      <c r="C470" s="19"/>
      <c r="D470" s="19"/>
    </row>
    <row r="471" spans="3:4" ht="15.75" customHeight="1">
      <c r="C471" s="19"/>
      <c r="D471" s="19"/>
    </row>
    <row r="472" spans="3:4" ht="15.75" customHeight="1">
      <c r="C472" s="19"/>
      <c r="D472" s="19"/>
    </row>
    <row r="473" spans="3:4" ht="15.75" customHeight="1">
      <c r="C473" s="19"/>
      <c r="D473" s="19"/>
    </row>
    <row r="474" spans="3:4" ht="15.75" customHeight="1">
      <c r="C474" s="19"/>
      <c r="D474" s="19"/>
    </row>
    <row r="475" spans="3:4" ht="15.75" customHeight="1">
      <c r="C475" s="19"/>
      <c r="D475" s="19"/>
    </row>
    <row r="476" spans="3:4" ht="15.75" customHeight="1">
      <c r="C476" s="19"/>
      <c r="D476" s="19"/>
    </row>
    <row r="477" spans="3:4" ht="15.75" customHeight="1">
      <c r="C477" s="19"/>
      <c r="D477" s="19"/>
    </row>
    <row r="478" spans="3:4" ht="15.75" customHeight="1">
      <c r="C478" s="19"/>
      <c r="D478" s="19"/>
    </row>
    <row r="479" spans="3:4" ht="15.75" customHeight="1">
      <c r="C479" s="19"/>
      <c r="D479" s="19"/>
    </row>
    <row r="480" spans="3:4" ht="15.75" customHeight="1">
      <c r="C480" s="19"/>
      <c r="D480" s="19"/>
    </row>
    <row r="481" spans="3:4" ht="15.75" customHeight="1">
      <c r="C481" s="19"/>
      <c r="D481" s="19"/>
    </row>
    <row r="482" spans="3:4" ht="15.75" customHeight="1">
      <c r="C482" s="19"/>
      <c r="D482" s="19"/>
    </row>
    <row r="483" spans="3:4" ht="15.75" customHeight="1">
      <c r="C483" s="19"/>
      <c r="D483" s="19"/>
    </row>
    <row r="484" spans="3:4" ht="15.75" customHeight="1">
      <c r="C484" s="19"/>
      <c r="D484" s="19"/>
    </row>
    <row r="485" spans="3:4" ht="15.75" customHeight="1">
      <c r="C485" s="19"/>
      <c r="D485" s="19"/>
    </row>
    <row r="486" spans="3:4" ht="15.75" customHeight="1">
      <c r="C486" s="19"/>
      <c r="D486" s="19"/>
    </row>
    <row r="487" spans="3:4" ht="15.75" customHeight="1">
      <c r="C487" s="19"/>
      <c r="D487" s="19"/>
    </row>
    <row r="488" spans="3:4" ht="15.75" customHeight="1">
      <c r="C488" s="19"/>
      <c r="D488" s="19"/>
    </row>
    <row r="489" spans="3:4" ht="15.75" customHeight="1">
      <c r="C489" s="19"/>
      <c r="D489" s="19"/>
    </row>
    <row r="490" spans="3:4" ht="15.75" customHeight="1">
      <c r="C490" s="19"/>
      <c r="D490" s="19"/>
    </row>
    <row r="491" spans="3:4" ht="15.75" customHeight="1">
      <c r="C491" s="19"/>
      <c r="D491" s="19"/>
    </row>
    <row r="492" spans="3:4" ht="15.75" customHeight="1">
      <c r="C492" s="19"/>
      <c r="D492" s="19"/>
    </row>
    <row r="493" spans="3:4" ht="15.75" customHeight="1">
      <c r="C493" s="19"/>
      <c r="D493" s="19"/>
    </row>
    <row r="494" spans="3:4" ht="15.75" customHeight="1">
      <c r="C494" s="19"/>
      <c r="D494" s="19"/>
    </row>
    <row r="495" spans="3:4" ht="15.75" customHeight="1">
      <c r="C495" s="19"/>
      <c r="D495" s="19"/>
    </row>
    <row r="496" spans="3:4" ht="15.75" customHeight="1">
      <c r="C496" s="19"/>
      <c r="D496" s="19"/>
    </row>
    <row r="497" spans="3:4" ht="15.75" customHeight="1">
      <c r="C497" s="19"/>
      <c r="D497" s="19"/>
    </row>
    <row r="498" spans="3:4" ht="15.75" customHeight="1">
      <c r="C498" s="19"/>
      <c r="D498" s="19"/>
    </row>
    <row r="499" spans="3:4" ht="15.75" customHeight="1">
      <c r="C499" s="19"/>
      <c r="D499" s="19"/>
    </row>
    <row r="500" spans="3:4" ht="15.75" customHeight="1">
      <c r="C500" s="19"/>
      <c r="D500" s="19"/>
    </row>
    <row r="501" spans="3:4" ht="15.75" customHeight="1">
      <c r="C501" s="19"/>
      <c r="D501" s="19"/>
    </row>
    <row r="502" spans="3:4" ht="15.75" customHeight="1">
      <c r="C502" s="19"/>
      <c r="D502" s="19"/>
    </row>
    <row r="503" spans="3:4" ht="15.75" customHeight="1">
      <c r="C503" s="19"/>
      <c r="D503" s="19"/>
    </row>
    <row r="504" spans="3:4" ht="15.75" customHeight="1">
      <c r="C504" s="19"/>
      <c r="D504" s="19"/>
    </row>
    <row r="505" spans="3:4" ht="15.75" customHeight="1">
      <c r="C505" s="19"/>
      <c r="D505" s="19"/>
    </row>
    <row r="506" spans="3:4" ht="15.75" customHeight="1">
      <c r="C506" s="19"/>
      <c r="D506" s="19"/>
    </row>
    <row r="507" spans="3:4" ht="15.75" customHeight="1">
      <c r="C507" s="19"/>
      <c r="D507" s="19"/>
    </row>
    <row r="508" spans="3:4" ht="15.75" customHeight="1">
      <c r="C508" s="19"/>
      <c r="D508" s="19"/>
    </row>
    <row r="509" spans="3:4" ht="15.75" customHeight="1">
      <c r="C509" s="19"/>
      <c r="D509" s="19"/>
    </row>
    <row r="510" spans="3:4" ht="15.75" customHeight="1">
      <c r="C510" s="19"/>
      <c r="D510" s="19"/>
    </row>
    <row r="511" spans="3:4" ht="15.75" customHeight="1">
      <c r="C511" s="19"/>
      <c r="D511" s="19"/>
    </row>
    <row r="512" spans="3:4" ht="15.75" customHeight="1">
      <c r="C512" s="19"/>
      <c r="D512" s="19"/>
    </row>
    <row r="513" spans="3:4" ht="15.75" customHeight="1">
      <c r="C513" s="19"/>
      <c r="D513" s="19"/>
    </row>
    <row r="514" spans="3:4" ht="15.75" customHeight="1">
      <c r="C514" s="19"/>
      <c r="D514" s="19"/>
    </row>
    <row r="515" spans="3:4" ht="15.75" customHeight="1">
      <c r="C515" s="19"/>
      <c r="D515" s="19"/>
    </row>
    <row r="516" spans="3:4" ht="15.75" customHeight="1">
      <c r="C516" s="19"/>
      <c r="D516" s="19"/>
    </row>
    <row r="517" spans="3:4" ht="15.75" customHeight="1">
      <c r="C517" s="19"/>
      <c r="D517" s="19"/>
    </row>
    <row r="518" spans="3:4" ht="15.75" customHeight="1">
      <c r="C518" s="19"/>
      <c r="D518" s="19"/>
    </row>
    <row r="519" spans="3:4" ht="15.75" customHeight="1">
      <c r="C519" s="19"/>
      <c r="D519" s="19"/>
    </row>
    <row r="520" spans="3:4" ht="15.75" customHeight="1">
      <c r="C520" s="19"/>
      <c r="D520" s="19"/>
    </row>
    <row r="521" spans="3:4" ht="15.75" customHeight="1">
      <c r="C521" s="19"/>
      <c r="D521" s="19"/>
    </row>
    <row r="522" spans="3:4" ht="15.75" customHeight="1">
      <c r="C522" s="19"/>
      <c r="D522" s="19"/>
    </row>
    <row r="523" spans="3:4" ht="15.75" customHeight="1">
      <c r="C523" s="19"/>
      <c r="D523" s="19"/>
    </row>
    <row r="524" spans="3:4" ht="15.75" customHeight="1">
      <c r="C524" s="19"/>
      <c r="D524" s="19"/>
    </row>
    <row r="525" spans="3:4" ht="15.75" customHeight="1">
      <c r="C525" s="19"/>
      <c r="D525" s="19"/>
    </row>
    <row r="526" spans="3:4" ht="15.75" customHeight="1">
      <c r="C526" s="19"/>
      <c r="D526" s="19"/>
    </row>
    <row r="527" spans="3:4" ht="15.75" customHeight="1">
      <c r="C527" s="19"/>
      <c r="D527" s="19"/>
    </row>
    <row r="528" spans="3:4" ht="15.75" customHeight="1">
      <c r="C528" s="19"/>
      <c r="D528" s="19"/>
    </row>
    <row r="529" spans="3:4" ht="15.75" customHeight="1">
      <c r="C529" s="19"/>
      <c r="D529" s="19"/>
    </row>
    <row r="530" spans="3:4" ht="15.75" customHeight="1">
      <c r="C530" s="19"/>
      <c r="D530" s="19"/>
    </row>
    <row r="531" spans="3:4" ht="15.75" customHeight="1">
      <c r="C531" s="19"/>
      <c r="D531" s="19"/>
    </row>
    <row r="532" spans="3:4" ht="15.75" customHeight="1">
      <c r="C532" s="19"/>
      <c r="D532" s="19"/>
    </row>
    <row r="533" spans="3:4" ht="15.75" customHeight="1">
      <c r="C533" s="19"/>
      <c r="D533" s="19"/>
    </row>
    <row r="534" spans="3:4" ht="15.75" customHeight="1">
      <c r="C534" s="19"/>
      <c r="D534" s="19"/>
    </row>
    <row r="535" spans="3:4" ht="15.75" customHeight="1">
      <c r="C535" s="19"/>
      <c r="D535" s="19"/>
    </row>
    <row r="536" spans="3:4" ht="15.75" customHeight="1">
      <c r="C536" s="19"/>
      <c r="D536" s="19"/>
    </row>
    <row r="537" spans="3:4" ht="15.75" customHeight="1">
      <c r="C537" s="19"/>
      <c r="D537" s="19"/>
    </row>
    <row r="538" spans="3:4" ht="15.75" customHeight="1">
      <c r="C538" s="19"/>
      <c r="D538" s="19"/>
    </row>
    <row r="539" spans="3:4" ht="15.75" customHeight="1">
      <c r="C539" s="19"/>
      <c r="D539" s="19"/>
    </row>
    <row r="540" spans="3:4" ht="15.75" customHeight="1">
      <c r="C540" s="19"/>
      <c r="D540" s="19"/>
    </row>
    <row r="541" spans="3:4" ht="15.75" customHeight="1">
      <c r="C541" s="19"/>
      <c r="D541" s="19"/>
    </row>
    <row r="542" spans="3:4" ht="15.75" customHeight="1">
      <c r="C542" s="19"/>
      <c r="D542" s="19"/>
    </row>
    <row r="543" spans="3:4" ht="15.75" customHeight="1">
      <c r="C543" s="19"/>
      <c r="D543" s="19"/>
    </row>
    <row r="544" spans="3:4" ht="15.75" customHeight="1">
      <c r="C544" s="19"/>
      <c r="D544" s="19"/>
    </row>
    <row r="545" spans="3:4" ht="15.75" customHeight="1">
      <c r="C545" s="19"/>
      <c r="D545" s="19"/>
    </row>
    <row r="546" spans="3:4" ht="15.75" customHeight="1">
      <c r="C546" s="19"/>
      <c r="D546" s="19"/>
    </row>
    <row r="547" spans="3:4" ht="15.75" customHeight="1">
      <c r="C547" s="19"/>
      <c r="D547" s="19"/>
    </row>
    <row r="548" spans="3:4" ht="15.75" customHeight="1">
      <c r="C548" s="19"/>
      <c r="D548" s="19"/>
    </row>
    <row r="549" spans="3:4" ht="15.75" customHeight="1">
      <c r="C549" s="19"/>
      <c r="D549" s="19"/>
    </row>
    <row r="550" spans="3:4" ht="15.75" customHeight="1">
      <c r="C550" s="19"/>
      <c r="D550" s="19"/>
    </row>
    <row r="551" spans="3:4" ht="15.75" customHeight="1">
      <c r="C551" s="19"/>
      <c r="D551" s="19"/>
    </row>
    <row r="552" spans="3:4" ht="15.75" customHeight="1">
      <c r="C552" s="19"/>
      <c r="D552" s="19"/>
    </row>
    <row r="553" spans="3:4" ht="15.75" customHeight="1">
      <c r="C553" s="19"/>
      <c r="D553" s="19"/>
    </row>
    <row r="554" spans="3:4" ht="15.75" customHeight="1">
      <c r="C554" s="19"/>
      <c r="D554" s="19"/>
    </row>
    <row r="555" spans="3:4" ht="15.75" customHeight="1">
      <c r="C555" s="19"/>
      <c r="D555" s="19"/>
    </row>
    <row r="556" spans="3:4" ht="15.75" customHeight="1">
      <c r="C556" s="19"/>
      <c r="D556" s="19"/>
    </row>
    <row r="557" spans="3:4" ht="15.75" customHeight="1">
      <c r="C557" s="19"/>
      <c r="D557" s="19"/>
    </row>
    <row r="558" spans="3:4" ht="15.75" customHeight="1">
      <c r="C558" s="19"/>
      <c r="D558" s="19"/>
    </row>
    <row r="559" spans="3:4" ht="15.75" customHeight="1">
      <c r="C559" s="19"/>
      <c r="D559" s="19"/>
    </row>
    <row r="560" spans="3:4" ht="15.75" customHeight="1">
      <c r="C560" s="19"/>
      <c r="D560" s="19"/>
    </row>
    <row r="561" spans="3:4" ht="15.75" customHeight="1">
      <c r="C561" s="19"/>
      <c r="D561" s="19"/>
    </row>
    <row r="562" spans="3:4" ht="15.75" customHeight="1">
      <c r="C562" s="19"/>
      <c r="D562" s="19"/>
    </row>
    <row r="563" spans="3:4" ht="15.75" customHeight="1">
      <c r="C563" s="19"/>
      <c r="D563" s="19"/>
    </row>
    <row r="564" spans="3:4" ht="15.75" customHeight="1">
      <c r="C564" s="19"/>
      <c r="D564" s="19"/>
    </row>
    <row r="565" spans="3:4" ht="15.75" customHeight="1">
      <c r="C565" s="19"/>
      <c r="D565" s="19"/>
    </row>
    <row r="566" spans="3:4" ht="15.75" customHeight="1">
      <c r="C566" s="19"/>
      <c r="D566" s="19"/>
    </row>
    <row r="567" spans="3:4" ht="15.75" customHeight="1">
      <c r="C567" s="19"/>
      <c r="D567" s="19"/>
    </row>
    <row r="568" spans="3:4" ht="15.75" customHeight="1">
      <c r="C568" s="19"/>
      <c r="D568" s="19"/>
    </row>
    <row r="569" spans="3:4" ht="15.75" customHeight="1">
      <c r="C569" s="19"/>
      <c r="D569" s="19"/>
    </row>
    <row r="570" spans="3:4" ht="15.75" customHeight="1">
      <c r="C570" s="19"/>
      <c r="D570" s="19"/>
    </row>
    <row r="571" spans="3:4" ht="15.75" customHeight="1">
      <c r="C571" s="19"/>
      <c r="D571" s="19"/>
    </row>
    <row r="572" spans="3:4" ht="15.75" customHeight="1">
      <c r="C572" s="19"/>
      <c r="D572" s="19"/>
    </row>
    <row r="573" spans="3:4" ht="15.75" customHeight="1">
      <c r="C573" s="19"/>
      <c r="D573" s="19"/>
    </row>
    <row r="574" spans="3:4" ht="15.75" customHeight="1">
      <c r="C574" s="19"/>
      <c r="D574" s="19"/>
    </row>
    <row r="575" spans="3:4" ht="15.75" customHeight="1">
      <c r="C575" s="19"/>
      <c r="D575" s="19"/>
    </row>
    <row r="576" spans="3:4" ht="15.75" customHeight="1">
      <c r="C576" s="19"/>
      <c r="D576" s="19"/>
    </row>
    <row r="577" spans="3:4" ht="15.75" customHeight="1">
      <c r="C577" s="19"/>
      <c r="D577" s="19"/>
    </row>
    <row r="578" spans="3:4" ht="15.75" customHeight="1">
      <c r="C578" s="19"/>
      <c r="D578" s="19"/>
    </row>
    <row r="579" spans="3:4" ht="15.75" customHeight="1">
      <c r="C579" s="19"/>
      <c r="D579" s="19"/>
    </row>
    <row r="580" spans="3:4" ht="15.75" customHeight="1">
      <c r="C580" s="19"/>
      <c r="D580" s="19"/>
    </row>
    <row r="581" spans="3:4" ht="15.75" customHeight="1">
      <c r="C581" s="19"/>
      <c r="D581" s="19"/>
    </row>
    <row r="582" spans="3:4" ht="15.75" customHeight="1">
      <c r="C582" s="19"/>
      <c r="D582" s="19"/>
    </row>
    <row r="583" spans="3:4" ht="15.75" customHeight="1">
      <c r="C583" s="19"/>
      <c r="D583" s="19"/>
    </row>
    <row r="584" spans="3:4" ht="15.75" customHeight="1">
      <c r="C584" s="19"/>
      <c r="D584" s="19"/>
    </row>
    <row r="585" spans="3:4" ht="15.75" customHeight="1">
      <c r="C585" s="19"/>
      <c r="D585" s="19"/>
    </row>
    <row r="586" spans="3:4" ht="15.75" customHeight="1">
      <c r="C586" s="19"/>
      <c r="D586" s="19"/>
    </row>
    <row r="587" spans="3:4" ht="15.75" customHeight="1">
      <c r="C587" s="19"/>
      <c r="D587" s="19"/>
    </row>
    <row r="588" spans="3:4" ht="15.75" customHeight="1">
      <c r="C588" s="19"/>
      <c r="D588" s="19"/>
    </row>
    <row r="589" spans="3:4" ht="15.75" customHeight="1">
      <c r="C589" s="19"/>
      <c r="D589" s="19"/>
    </row>
    <row r="590" spans="3:4" ht="15.75" customHeight="1">
      <c r="C590" s="19"/>
      <c r="D590" s="19"/>
    </row>
    <row r="591" spans="3:4" ht="15.75" customHeight="1">
      <c r="C591" s="19"/>
      <c r="D591" s="19"/>
    </row>
    <row r="592" spans="3:4" ht="15.75" customHeight="1">
      <c r="C592" s="19"/>
      <c r="D592" s="19"/>
    </row>
    <row r="593" spans="3:4" ht="15.75" customHeight="1">
      <c r="C593" s="19"/>
      <c r="D593" s="19"/>
    </row>
    <row r="594" spans="3:4" ht="15.75" customHeight="1">
      <c r="C594" s="19"/>
      <c r="D594" s="19"/>
    </row>
    <row r="595" spans="3:4" ht="15.75" customHeight="1">
      <c r="C595" s="19"/>
      <c r="D595" s="19"/>
    </row>
    <row r="596" spans="3:4" ht="15.75" customHeight="1">
      <c r="C596" s="19"/>
      <c r="D596" s="19"/>
    </row>
    <row r="597" spans="3:4" ht="15.75" customHeight="1">
      <c r="C597" s="19"/>
      <c r="D597" s="19"/>
    </row>
    <row r="598" spans="3:4" ht="15.75" customHeight="1">
      <c r="C598" s="19"/>
      <c r="D598" s="19"/>
    </row>
    <row r="599" spans="3:4" ht="15.75" customHeight="1">
      <c r="C599" s="19"/>
      <c r="D599" s="19"/>
    </row>
    <row r="600" spans="3:4" ht="15.75" customHeight="1">
      <c r="C600" s="19"/>
      <c r="D600" s="19"/>
    </row>
    <row r="601" spans="3:4" ht="15.75" customHeight="1">
      <c r="C601" s="19"/>
      <c r="D601" s="19"/>
    </row>
    <row r="602" spans="3:4" ht="15.75" customHeight="1">
      <c r="C602" s="19"/>
      <c r="D602" s="19"/>
    </row>
    <row r="603" spans="3:4" ht="15.75" customHeight="1">
      <c r="C603" s="19"/>
      <c r="D603" s="19"/>
    </row>
    <row r="604" spans="3:4" ht="15.75" customHeight="1">
      <c r="C604" s="19"/>
      <c r="D604" s="19"/>
    </row>
    <row r="605" spans="3:4" ht="15.75" customHeight="1">
      <c r="C605" s="19"/>
      <c r="D605" s="19"/>
    </row>
    <row r="606" spans="3:4" ht="15.75" customHeight="1">
      <c r="C606" s="19"/>
      <c r="D606" s="19"/>
    </row>
    <row r="607" spans="3:4" ht="15.75" customHeight="1">
      <c r="C607" s="19"/>
      <c r="D607" s="19"/>
    </row>
    <row r="608" spans="3:4" ht="15.75" customHeight="1">
      <c r="C608" s="19"/>
      <c r="D608" s="19"/>
    </row>
    <row r="609" spans="3:4" ht="15.75" customHeight="1">
      <c r="C609" s="19"/>
      <c r="D609" s="19"/>
    </row>
    <row r="610" spans="3:4" ht="15.75" customHeight="1">
      <c r="C610" s="19"/>
      <c r="D610" s="19"/>
    </row>
    <row r="611" spans="3:4" ht="15.75" customHeight="1">
      <c r="C611" s="19"/>
      <c r="D611" s="19"/>
    </row>
    <row r="612" spans="3:4" ht="15.75" customHeight="1">
      <c r="C612" s="19"/>
      <c r="D612" s="19"/>
    </row>
    <row r="613" spans="3:4" ht="15.75" customHeight="1">
      <c r="C613" s="19"/>
      <c r="D613" s="19"/>
    </row>
    <row r="614" spans="3:4" ht="15.75" customHeight="1">
      <c r="C614" s="19"/>
      <c r="D614" s="19"/>
    </row>
    <row r="615" spans="3:4" ht="15.75" customHeight="1">
      <c r="C615" s="19"/>
      <c r="D615" s="19"/>
    </row>
    <row r="616" spans="3:4" ht="15.75" customHeight="1">
      <c r="C616" s="19"/>
      <c r="D616" s="19"/>
    </row>
    <row r="617" spans="3:4" ht="15.75" customHeight="1">
      <c r="C617" s="19"/>
      <c r="D617" s="19"/>
    </row>
    <row r="618" spans="3:4" ht="15.75" customHeight="1">
      <c r="C618" s="19"/>
      <c r="D618" s="19"/>
    </row>
    <row r="619" spans="3:4" ht="15.75" customHeight="1">
      <c r="C619" s="19"/>
      <c r="D619" s="19"/>
    </row>
    <row r="620" spans="3:4" ht="15.75" customHeight="1">
      <c r="C620" s="19"/>
      <c r="D620" s="19"/>
    </row>
    <row r="621" spans="3:4" ht="15.75" customHeight="1">
      <c r="C621" s="19"/>
      <c r="D621" s="19"/>
    </row>
    <row r="622" spans="3:4" ht="15.75" customHeight="1">
      <c r="C622" s="19"/>
      <c r="D622" s="19"/>
    </row>
    <row r="623" spans="3:4" ht="15.75" customHeight="1">
      <c r="C623" s="19"/>
      <c r="D623" s="19"/>
    </row>
    <row r="624" spans="3:4" ht="15.75" customHeight="1">
      <c r="C624" s="19"/>
      <c r="D624" s="19"/>
    </row>
    <row r="625" spans="3:4" ht="15.75" customHeight="1">
      <c r="C625" s="19"/>
      <c r="D625" s="19"/>
    </row>
    <row r="626" spans="3:4" ht="15.75" customHeight="1">
      <c r="C626" s="19"/>
      <c r="D626" s="19"/>
    </row>
    <row r="627" spans="3:4" ht="15.75" customHeight="1">
      <c r="C627" s="19"/>
      <c r="D627" s="19"/>
    </row>
    <row r="628" spans="3:4" ht="15.75" customHeight="1">
      <c r="C628" s="19"/>
      <c r="D628" s="19"/>
    </row>
    <row r="629" spans="3:4" ht="15.75" customHeight="1">
      <c r="C629" s="19"/>
      <c r="D629" s="19"/>
    </row>
    <row r="630" spans="3:4" ht="15.75" customHeight="1">
      <c r="C630" s="19"/>
      <c r="D630" s="19"/>
    </row>
    <row r="631" spans="3:4" ht="15.75" customHeight="1">
      <c r="C631" s="19"/>
      <c r="D631" s="19"/>
    </row>
    <row r="632" spans="3:4" ht="15.75" customHeight="1">
      <c r="C632" s="19"/>
      <c r="D632" s="19"/>
    </row>
    <row r="633" spans="3:4" ht="15.75" customHeight="1">
      <c r="C633" s="19"/>
      <c r="D633" s="19"/>
    </row>
    <row r="634" spans="3:4" ht="15.75" customHeight="1">
      <c r="C634" s="19"/>
      <c r="D634" s="19"/>
    </row>
    <row r="635" spans="3:4" ht="15.75" customHeight="1">
      <c r="C635" s="19"/>
      <c r="D635" s="19"/>
    </row>
    <row r="636" spans="3:4" ht="15.75" customHeight="1">
      <c r="C636" s="19"/>
      <c r="D636" s="19"/>
    </row>
    <row r="637" spans="3:4" ht="15.75" customHeight="1">
      <c r="C637" s="19"/>
      <c r="D637" s="19"/>
    </row>
    <row r="638" spans="3:4" ht="15.75" customHeight="1">
      <c r="C638" s="19"/>
      <c r="D638" s="19"/>
    </row>
    <row r="639" spans="3:4" ht="15.75" customHeight="1">
      <c r="C639" s="19"/>
      <c r="D639" s="19"/>
    </row>
    <row r="640" spans="3:4" ht="15.75" customHeight="1">
      <c r="C640" s="19"/>
      <c r="D640" s="19"/>
    </row>
    <row r="641" spans="3:4" ht="15.75" customHeight="1">
      <c r="C641" s="19"/>
      <c r="D641" s="19"/>
    </row>
    <row r="642" spans="3:4" ht="15.75" customHeight="1">
      <c r="C642" s="19"/>
      <c r="D642" s="19"/>
    </row>
    <row r="643" spans="3:4" ht="15.75" customHeight="1">
      <c r="C643" s="19"/>
      <c r="D643" s="19"/>
    </row>
    <row r="644" spans="3:4" ht="15.75" customHeight="1">
      <c r="C644" s="19"/>
      <c r="D644" s="19"/>
    </row>
    <row r="645" spans="3:4" ht="15.75" customHeight="1">
      <c r="C645" s="19"/>
      <c r="D645" s="19"/>
    </row>
    <row r="646" spans="3:4" ht="15.75" customHeight="1">
      <c r="C646" s="19"/>
      <c r="D646" s="19"/>
    </row>
    <row r="647" spans="3:4" ht="15.75" customHeight="1">
      <c r="C647" s="19"/>
      <c r="D647" s="19"/>
    </row>
    <row r="648" spans="3:4" ht="15.75" customHeight="1">
      <c r="C648" s="19"/>
      <c r="D648" s="19"/>
    </row>
    <row r="649" spans="3:4" ht="15.75" customHeight="1">
      <c r="C649" s="19"/>
      <c r="D649" s="19"/>
    </row>
    <row r="650" spans="3:4" ht="15.75" customHeight="1">
      <c r="C650" s="19"/>
      <c r="D650" s="19"/>
    </row>
    <row r="651" spans="3:4" ht="15.75" customHeight="1">
      <c r="C651" s="19"/>
      <c r="D651" s="19"/>
    </row>
    <row r="652" spans="3:4" ht="15.75" customHeight="1">
      <c r="C652" s="19"/>
      <c r="D652" s="19"/>
    </row>
    <row r="653" spans="3:4" ht="15.75" customHeight="1">
      <c r="C653" s="19"/>
      <c r="D653" s="19"/>
    </row>
    <row r="654" spans="3:4" ht="15.75" customHeight="1">
      <c r="C654" s="19"/>
      <c r="D654" s="19"/>
    </row>
    <row r="655" spans="3:4" ht="15.75" customHeight="1">
      <c r="C655" s="19"/>
      <c r="D655" s="19"/>
    </row>
    <row r="656" spans="3:4" ht="15.75" customHeight="1">
      <c r="C656" s="19"/>
      <c r="D656" s="19"/>
    </row>
    <row r="657" spans="3:4" ht="15.75" customHeight="1">
      <c r="C657" s="19"/>
      <c r="D657" s="19"/>
    </row>
    <row r="658" spans="3:4" ht="15.75" customHeight="1">
      <c r="C658" s="19"/>
      <c r="D658" s="19"/>
    </row>
    <row r="659" spans="3:4" ht="15.75" customHeight="1">
      <c r="C659" s="19"/>
      <c r="D659" s="19"/>
    </row>
    <row r="660" spans="3:4" ht="15.75" customHeight="1">
      <c r="C660" s="19"/>
      <c r="D660" s="19"/>
    </row>
    <row r="661" spans="3:4" ht="15.75" customHeight="1">
      <c r="C661" s="19"/>
      <c r="D661" s="19"/>
    </row>
    <row r="662" spans="3:4" ht="15.75" customHeight="1">
      <c r="C662" s="19"/>
      <c r="D662" s="19"/>
    </row>
    <row r="663" spans="3:4" ht="15.75" customHeight="1">
      <c r="C663" s="19"/>
      <c r="D663" s="19"/>
    </row>
    <row r="664" spans="3:4" ht="15.75" customHeight="1">
      <c r="C664" s="19"/>
      <c r="D664" s="19"/>
    </row>
    <row r="665" spans="3:4" ht="15.75" customHeight="1">
      <c r="C665" s="19"/>
      <c r="D665" s="19"/>
    </row>
    <row r="666" spans="3:4" ht="15.75" customHeight="1">
      <c r="C666" s="19"/>
      <c r="D666" s="19"/>
    </row>
    <row r="667" spans="3:4" ht="15.75" customHeight="1">
      <c r="C667" s="19"/>
      <c r="D667" s="19"/>
    </row>
    <row r="668" spans="3:4" ht="15.75" customHeight="1">
      <c r="C668" s="19"/>
      <c r="D668" s="19"/>
    </row>
    <row r="669" spans="3:4" ht="15.75" customHeight="1">
      <c r="C669" s="19"/>
      <c r="D669" s="19"/>
    </row>
    <row r="670" spans="3:4" ht="15.75" customHeight="1">
      <c r="C670" s="19"/>
      <c r="D670" s="19"/>
    </row>
    <row r="671" spans="3:4" ht="15.75" customHeight="1">
      <c r="C671" s="19"/>
      <c r="D671" s="19"/>
    </row>
    <row r="672" spans="3:4" ht="15.75" customHeight="1">
      <c r="C672" s="19"/>
      <c r="D672" s="19"/>
    </row>
    <row r="673" spans="3:4" ht="15.75" customHeight="1">
      <c r="C673" s="19"/>
      <c r="D673" s="19"/>
    </row>
    <row r="674" spans="3:4" ht="15.75" customHeight="1">
      <c r="C674" s="19"/>
      <c r="D674" s="19"/>
    </row>
    <row r="675" spans="3:4" ht="15.75" customHeight="1">
      <c r="C675" s="19"/>
      <c r="D675" s="19"/>
    </row>
    <row r="676" spans="3:4" ht="15.75" customHeight="1">
      <c r="C676" s="19"/>
      <c r="D676" s="19"/>
    </row>
    <row r="677" spans="3:4" ht="15.75" customHeight="1">
      <c r="C677" s="19"/>
      <c r="D677" s="19"/>
    </row>
    <row r="678" spans="3:4" ht="15.75" customHeight="1">
      <c r="C678" s="19"/>
      <c r="D678" s="19"/>
    </row>
    <row r="679" spans="3:4" ht="15.75" customHeight="1">
      <c r="C679" s="19"/>
      <c r="D679" s="19"/>
    </row>
    <row r="680" spans="3:4" ht="15.75" customHeight="1">
      <c r="C680" s="19"/>
      <c r="D680" s="19"/>
    </row>
    <row r="681" spans="3:4" ht="15.75" customHeight="1">
      <c r="C681" s="19"/>
      <c r="D681" s="19"/>
    </row>
    <row r="682" spans="3:4" ht="15.75" customHeight="1">
      <c r="C682" s="19"/>
      <c r="D682" s="19"/>
    </row>
    <row r="683" spans="3:4" ht="15.75" customHeight="1">
      <c r="C683" s="19"/>
      <c r="D683" s="19"/>
    </row>
    <row r="684" spans="3:4" ht="15.75" customHeight="1">
      <c r="C684" s="19"/>
      <c r="D684" s="19"/>
    </row>
    <row r="685" spans="3:4" ht="15.75" customHeight="1">
      <c r="C685" s="19"/>
      <c r="D685" s="19"/>
    </row>
    <row r="686" spans="3:4" ht="15.75" customHeight="1">
      <c r="C686" s="19"/>
      <c r="D686" s="19"/>
    </row>
    <row r="687" spans="3:4" ht="15.75" customHeight="1">
      <c r="C687" s="19"/>
      <c r="D687" s="19"/>
    </row>
    <row r="688" spans="3:4" ht="15.75" customHeight="1">
      <c r="C688" s="19"/>
      <c r="D688" s="19"/>
    </row>
    <row r="689" spans="3:4" ht="15.75" customHeight="1">
      <c r="C689" s="19"/>
      <c r="D689" s="19"/>
    </row>
    <row r="690" spans="3:4" ht="15.75" customHeight="1">
      <c r="C690" s="19"/>
      <c r="D690" s="19"/>
    </row>
    <row r="691" spans="3:4" ht="15.75" customHeight="1">
      <c r="C691" s="19"/>
      <c r="D691" s="19"/>
    </row>
    <row r="692" spans="3:4" ht="15.75" customHeight="1">
      <c r="C692" s="19"/>
      <c r="D692" s="19"/>
    </row>
    <row r="693" spans="3:4" ht="15.75" customHeight="1">
      <c r="C693" s="19"/>
      <c r="D693" s="19"/>
    </row>
    <row r="694" spans="3:4" ht="15.75" customHeight="1">
      <c r="C694" s="19"/>
      <c r="D694" s="19"/>
    </row>
    <row r="695" spans="3:4" ht="15.75" customHeight="1">
      <c r="C695" s="19"/>
      <c r="D695" s="19"/>
    </row>
    <row r="696" spans="3:4" ht="15.75" customHeight="1">
      <c r="C696" s="19"/>
      <c r="D696" s="19"/>
    </row>
    <row r="697" spans="3:4" ht="15.75" customHeight="1">
      <c r="C697" s="19"/>
      <c r="D697" s="19"/>
    </row>
    <row r="698" spans="3:4" ht="15.75" customHeight="1">
      <c r="C698" s="19"/>
      <c r="D698" s="19"/>
    </row>
    <row r="699" spans="3:4" ht="15.75" customHeight="1">
      <c r="C699" s="19"/>
      <c r="D699" s="19"/>
    </row>
    <row r="700" spans="3:4" ht="15.75" customHeight="1">
      <c r="C700" s="19"/>
      <c r="D700" s="19"/>
    </row>
    <row r="701" spans="3:4" ht="15.75" customHeight="1">
      <c r="C701" s="19"/>
      <c r="D701" s="19"/>
    </row>
    <row r="702" spans="3:4" ht="15.75" customHeight="1">
      <c r="C702" s="19"/>
      <c r="D702" s="19"/>
    </row>
    <row r="703" spans="3:4" ht="15.75" customHeight="1">
      <c r="C703" s="19"/>
      <c r="D703" s="19"/>
    </row>
    <row r="704" spans="3:4" ht="15.75" customHeight="1">
      <c r="C704" s="19"/>
      <c r="D704" s="19"/>
    </row>
    <row r="705" spans="3:4" ht="15.75" customHeight="1">
      <c r="C705" s="19"/>
      <c r="D705" s="19"/>
    </row>
    <row r="706" spans="3:4" ht="15.75" customHeight="1">
      <c r="C706" s="19"/>
      <c r="D706" s="19"/>
    </row>
    <row r="707" spans="3:4" ht="15.75" customHeight="1">
      <c r="C707" s="19"/>
      <c r="D707" s="19"/>
    </row>
    <row r="708" spans="3:4" ht="15.75" customHeight="1">
      <c r="C708" s="19"/>
      <c r="D708" s="19"/>
    </row>
    <row r="709" spans="3:4" ht="15.75" customHeight="1">
      <c r="C709" s="19"/>
      <c r="D709" s="19"/>
    </row>
    <row r="710" spans="3:4" ht="15.75" customHeight="1">
      <c r="C710" s="19"/>
      <c r="D710" s="19"/>
    </row>
    <row r="711" spans="3:4" ht="15.75" customHeight="1">
      <c r="C711" s="19"/>
      <c r="D711" s="19"/>
    </row>
    <row r="712" spans="3:4" ht="15.75" customHeight="1">
      <c r="C712" s="19"/>
      <c r="D712" s="19"/>
    </row>
    <row r="713" spans="3:4" ht="15.75" customHeight="1">
      <c r="C713" s="19"/>
      <c r="D713" s="19"/>
    </row>
    <row r="714" spans="3:4" ht="15.75" customHeight="1">
      <c r="C714" s="19"/>
      <c r="D714" s="19"/>
    </row>
    <row r="715" spans="3:4" ht="15.75" customHeight="1">
      <c r="C715" s="19"/>
      <c r="D715" s="19"/>
    </row>
    <row r="716" spans="3:4" ht="15.75" customHeight="1">
      <c r="C716" s="19"/>
      <c r="D716" s="19"/>
    </row>
    <row r="717" spans="3:4" ht="15.75" customHeight="1">
      <c r="C717" s="19"/>
      <c r="D717" s="19"/>
    </row>
    <row r="718" spans="3:4" ht="15.75" customHeight="1">
      <c r="C718" s="19"/>
      <c r="D718" s="19"/>
    </row>
    <row r="719" spans="3:4" ht="15.75" customHeight="1">
      <c r="C719" s="19"/>
      <c r="D719" s="19"/>
    </row>
    <row r="720" spans="3:4" ht="15.75" customHeight="1">
      <c r="C720" s="19"/>
      <c r="D720" s="19"/>
    </row>
    <row r="721" spans="3:4" ht="15.75" customHeight="1">
      <c r="C721" s="19"/>
      <c r="D721" s="19"/>
    </row>
    <row r="722" spans="3:4" ht="15.75" customHeight="1">
      <c r="C722" s="19"/>
      <c r="D722" s="19"/>
    </row>
    <row r="723" spans="3:4" ht="15.75" customHeight="1">
      <c r="C723" s="19"/>
      <c r="D723" s="19"/>
    </row>
    <row r="724" spans="3:4" ht="15.75" customHeight="1">
      <c r="C724" s="19"/>
      <c r="D724" s="19"/>
    </row>
    <row r="725" spans="3:4" ht="15.75" customHeight="1">
      <c r="C725" s="19"/>
      <c r="D725" s="19"/>
    </row>
    <row r="726" spans="3:4" ht="15.75" customHeight="1">
      <c r="C726" s="19"/>
      <c r="D726" s="19"/>
    </row>
    <row r="727" spans="3:4" ht="15.75" customHeight="1">
      <c r="C727" s="19"/>
      <c r="D727" s="19"/>
    </row>
    <row r="728" spans="3:4" ht="15.75" customHeight="1">
      <c r="C728" s="19"/>
      <c r="D728" s="19"/>
    </row>
    <row r="729" spans="3:4" ht="15.75" customHeight="1">
      <c r="C729" s="19"/>
      <c r="D729" s="19"/>
    </row>
    <row r="730" spans="3:4" ht="15.75" customHeight="1">
      <c r="C730" s="19"/>
      <c r="D730" s="19"/>
    </row>
    <row r="731" spans="3:4" ht="15.75" customHeight="1">
      <c r="C731" s="19"/>
      <c r="D731" s="19"/>
    </row>
    <row r="732" spans="3:4" ht="15.75" customHeight="1">
      <c r="C732" s="19"/>
      <c r="D732" s="19"/>
    </row>
    <row r="733" spans="3:4" ht="15.75" customHeight="1">
      <c r="C733" s="19"/>
      <c r="D733" s="19"/>
    </row>
    <row r="734" spans="3:4" ht="15.75" customHeight="1">
      <c r="C734" s="19"/>
      <c r="D734" s="19"/>
    </row>
    <row r="735" spans="3:4" ht="15.75" customHeight="1">
      <c r="C735" s="19"/>
      <c r="D735" s="19"/>
    </row>
    <row r="736" spans="3:4" ht="15.75" customHeight="1">
      <c r="C736" s="19"/>
      <c r="D736" s="19"/>
    </row>
    <row r="737" spans="3:4" ht="15.75" customHeight="1">
      <c r="C737" s="19"/>
      <c r="D737" s="19"/>
    </row>
    <row r="738" spans="3:4" ht="15.75" customHeight="1">
      <c r="C738" s="19"/>
      <c r="D738" s="19"/>
    </row>
    <row r="739" spans="3:4" ht="15.75" customHeight="1">
      <c r="C739" s="19"/>
      <c r="D739" s="19"/>
    </row>
    <row r="740" spans="3:4" ht="15.75" customHeight="1">
      <c r="C740" s="19"/>
      <c r="D740" s="19"/>
    </row>
    <row r="741" spans="3:4" ht="15.75" customHeight="1">
      <c r="C741" s="19"/>
      <c r="D741" s="19"/>
    </row>
    <row r="742" spans="3:4" ht="15.75" customHeight="1">
      <c r="C742" s="19"/>
      <c r="D742" s="19"/>
    </row>
    <row r="743" spans="3:4" ht="15.75" customHeight="1">
      <c r="C743" s="19"/>
      <c r="D743" s="19"/>
    </row>
    <row r="744" spans="3:4" ht="15.75" customHeight="1">
      <c r="C744" s="19"/>
      <c r="D744" s="19"/>
    </row>
    <row r="745" spans="3:4" ht="15.75" customHeight="1">
      <c r="C745" s="19"/>
      <c r="D745" s="19"/>
    </row>
    <row r="746" spans="3:4" ht="15.75" customHeight="1">
      <c r="C746" s="19"/>
      <c r="D746" s="19"/>
    </row>
    <row r="747" spans="3:4" ht="15.75" customHeight="1">
      <c r="C747" s="19"/>
      <c r="D747" s="19"/>
    </row>
    <row r="748" spans="3:4" ht="15.75" customHeight="1">
      <c r="C748" s="19"/>
      <c r="D748" s="19"/>
    </row>
    <row r="749" spans="3:4" ht="15.75" customHeight="1">
      <c r="C749" s="19"/>
      <c r="D749" s="19"/>
    </row>
    <row r="750" spans="3:4" ht="15.75" customHeight="1">
      <c r="C750" s="19"/>
      <c r="D750" s="19"/>
    </row>
    <row r="751" spans="3:4" ht="15.75" customHeight="1">
      <c r="C751" s="19"/>
      <c r="D751" s="19"/>
    </row>
    <row r="752" spans="3:4" ht="15.75" customHeight="1">
      <c r="C752" s="19"/>
      <c r="D752" s="19"/>
    </row>
    <row r="753" spans="3:4" ht="15.75" customHeight="1">
      <c r="C753" s="19"/>
      <c r="D753" s="19"/>
    </row>
    <row r="754" spans="3:4" ht="15.75" customHeight="1">
      <c r="C754" s="19"/>
      <c r="D754" s="19"/>
    </row>
    <row r="755" spans="3:4" ht="15.75" customHeight="1">
      <c r="C755" s="19"/>
      <c r="D755" s="19"/>
    </row>
    <row r="756" spans="3:4" ht="15.75" customHeight="1">
      <c r="C756" s="19"/>
      <c r="D756" s="19"/>
    </row>
    <row r="757" spans="3:4" ht="15.75" customHeight="1">
      <c r="C757" s="19"/>
      <c r="D757" s="19"/>
    </row>
    <row r="758" spans="3:4" ht="15.75" customHeight="1">
      <c r="C758" s="19"/>
      <c r="D758" s="19"/>
    </row>
    <row r="759" spans="3:4" ht="15.75" customHeight="1">
      <c r="C759" s="19"/>
      <c r="D759" s="19"/>
    </row>
    <row r="760" spans="3:4" ht="15.75" customHeight="1">
      <c r="C760" s="19"/>
      <c r="D760" s="19"/>
    </row>
    <row r="761" spans="3:4" ht="15.75" customHeight="1">
      <c r="C761" s="19"/>
      <c r="D761" s="19"/>
    </row>
    <row r="762" spans="3:4" ht="15.75" customHeight="1">
      <c r="C762" s="19"/>
      <c r="D762" s="19"/>
    </row>
    <row r="763" spans="3:4" ht="15.75" customHeight="1">
      <c r="C763" s="19"/>
      <c r="D763" s="19"/>
    </row>
    <row r="764" spans="3:4" ht="15.75" customHeight="1">
      <c r="C764" s="19"/>
      <c r="D764" s="19"/>
    </row>
    <row r="765" spans="3:4" ht="15.75" customHeight="1">
      <c r="C765" s="19"/>
      <c r="D765" s="19"/>
    </row>
    <row r="766" spans="3:4" ht="15.75" customHeight="1">
      <c r="C766" s="19"/>
      <c r="D766" s="19"/>
    </row>
    <row r="767" spans="3:4" ht="15.75" customHeight="1">
      <c r="C767" s="19"/>
      <c r="D767" s="19"/>
    </row>
    <row r="768" spans="3:4" ht="15.75" customHeight="1">
      <c r="C768" s="19"/>
      <c r="D768" s="19"/>
    </row>
    <row r="769" spans="3:4" ht="15.75" customHeight="1">
      <c r="C769" s="19"/>
      <c r="D769" s="19"/>
    </row>
    <row r="770" spans="3:4" ht="15.75" customHeight="1">
      <c r="C770" s="19"/>
      <c r="D770" s="19"/>
    </row>
    <row r="771" spans="3:4" ht="15.75" customHeight="1">
      <c r="C771" s="19"/>
      <c r="D771" s="19"/>
    </row>
    <row r="772" spans="3:4" ht="15.75" customHeight="1">
      <c r="C772" s="19"/>
      <c r="D772" s="19"/>
    </row>
    <row r="773" spans="3:4" ht="15.75" customHeight="1">
      <c r="C773" s="19"/>
      <c r="D773" s="19"/>
    </row>
    <row r="774" spans="3:4" ht="15.75" customHeight="1">
      <c r="C774" s="19"/>
      <c r="D774" s="19"/>
    </row>
    <row r="775" spans="3:4" ht="15.75" customHeight="1">
      <c r="C775" s="19"/>
      <c r="D775" s="19"/>
    </row>
    <row r="776" spans="3:4" ht="15.75" customHeight="1">
      <c r="C776" s="19"/>
      <c r="D776" s="19"/>
    </row>
    <row r="777" spans="3:4" ht="15.75" customHeight="1">
      <c r="C777" s="19"/>
      <c r="D777" s="19"/>
    </row>
    <row r="778" spans="3:4" ht="15.75" customHeight="1">
      <c r="C778" s="19"/>
      <c r="D778" s="19"/>
    </row>
    <row r="779" spans="3:4" ht="15.75" customHeight="1">
      <c r="C779" s="19"/>
      <c r="D779" s="19"/>
    </row>
    <row r="780" spans="3:4" ht="15.75" customHeight="1">
      <c r="C780" s="19"/>
      <c r="D780" s="19"/>
    </row>
    <row r="781" spans="3:4" ht="15.75" customHeight="1">
      <c r="C781" s="19"/>
      <c r="D781" s="19"/>
    </row>
    <row r="782" spans="3:4" ht="15.75" customHeight="1">
      <c r="C782" s="19"/>
      <c r="D782" s="19"/>
    </row>
    <row r="783" spans="3:4" ht="15.75" customHeight="1">
      <c r="C783" s="19"/>
      <c r="D783" s="19"/>
    </row>
    <row r="784" spans="3:4" ht="15.75" customHeight="1">
      <c r="C784" s="19"/>
      <c r="D784" s="19"/>
    </row>
    <row r="785" spans="3:4" ht="15.75" customHeight="1">
      <c r="C785" s="19"/>
      <c r="D785" s="19"/>
    </row>
    <row r="786" spans="3:4" ht="15.75" customHeight="1">
      <c r="C786" s="19"/>
      <c r="D786" s="19"/>
    </row>
    <row r="787" spans="3:4" ht="15.75" customHeight="1">
      <c r="C787" s="19"/>
      <c r="D787" s="19"/>
    </row>
    <row r="788" spans="3:4" ht="15.75" customHeight="1">
      <c r="C788" s="19"/>
      <c r="D788" s="19"/>
    </row>
    <row r="789" spans="3:4" ht="15.75" customHeight="1">
      <c r="C789" s="19"/>
      <c r="D789" s="19"/>
    </row>
    <row r="790" spans="3:4" ht="15.75" customHeight="1">
      <c r="C790" s="19"/>
      <c r="D790" s="19"/>
    </row>
    <row r="791" spans="3:4" ht="15.75" customHeight="1">
      <c r="C791" s="19"/>
      <c r="D791" s="19"/>
    </row>
    <row r="792" spans="3:4" ht="15.75" customHeight="1">
      <c r="C792" s="19"/>
      <c r="D792" s="19"/>
    </row>
    <row r="793" spans="3:4" ht="15.75" customHeight="1">
      <c r="C793" s="19"/>
      <c r="D793" s="19"/>
    </row>
    <row r="794" spans="3:4" ht="15.75" customHeight="1">
      <c r="C794" s="19"/>
      <c r="D794" s="19"/>
    </row>
    <row r="795" spans="3:4" ht="15.75" customHeight="1">
      <c r="C795" s="19"/>
      <c r="D795" s="19"/>
    </row>
    <row r="796" spans="3:4" ht="15.75" customHeight="1">
      <c r="C796" s="19"/>
      <c r="D796" s="19"/>
    </row>
    <row r="797" spans="3:4" ht="15.75" customHeight="1">
      <c r="C797" s="19"/>
      <c r="D797" s="19"/>
    </row>
    <row r="798" spans="3:4" ht="15.75" customHeight="1">
      <c r="C798" s="19"/>
      <c r="D798" s="19"/>
    </row>
    <row r="799" spans="3:4" ht="15.75" customHeight="1">
      <c r="C799" s="19"/>
      <c r="D799" s="19"/>
    </row>
    <row r="800" spans="3:4" ht="15.75" customHeight="1">
      <c r="C800" s="19"/>
      <c r="D800" s="19"/>
    </row>
    <row r="801" spans="3:4" ht="15.75" customHeight="1">
      <c r="C801" s="19"/>
      <c r="D801" s="19"/>
    </row>
    <row r="802" spans="3:4" ht="15.75" customHeight="1">
      <c r="C802" s="19"/>
      <c r="D802" s="19"/>
    </row>
    <row r="803" spans="3:4" ht="15.75" customHeight="1">
      <c r="C803" s="19"/>
      <c r="D803" s="19"/>
    </row>
    <row r="804" spans="3:4" ht="15.75" customHeight="1">
      <c r="C804" s="19"/>
      <c r="D804" s="19"/>
    </row>
    <row r="805" spans="3:4" ht="15.75" customHeight="1">
      <c r="C805" s="19"/>
      <c r="D805" s="19"/>
    </row>
    <row r="806" spans="3:4" ht="15.75" customHeight="1">
      <c r="C806" s="19"/>
      <c r="D806" s="19"/>
    </row>
    <row r="807" spans="3:4" ht="15.75" customHeight="1">
      <c r="C807" s="19"/>
      <c r="D807" s="19"/>
    </row>
    <row r="808" spans="3:4" ht="15.75" customHeight="1">
      <c r="C808" s="19"/>
      <c r="D808" s="19"/>
    </row>
    <row r="809" spans="3:4" ht="15.75" customHeight="1">
      <c r="C809" s="19"/>
      <c r="D809" s="19"/>
    </row>
    <row r="810" spans="3:4" ht="15.75" customHeight="1">
      <c r="C810" s="19"/>
      <c r="D810" s="19"/>
    </row>
    <row r="811" spans="3:4" ht="15.75" customHeight="1">
      <c r="C811" s="19"/>
      <c r="D811" s="19"/>
    </row>
    <row r="812" spans="3:4" ht="15.75" customHeight="1">
      <c r="C812" s="19"/>
      <c r="D812" s="19"/>
    </row>
    <row r="813" spans="3:4" ht="15.75" customHeight="1">
      <c r="C813" s="19"/>
      <c r="D813" s="19"/>
    </row>
    <row r="814" spans="3:4" ht="15.75" customHeight="1">
      <c r="C814" s="19"/>
      <c r="D814" s="19"/>
    </row>
    <row r="815" spans="3:4" ht="15.75" customHeight="1">
      <c r="C815" s="19"/>
      <c r="D815" s="19"/>
    </row>
    <row r="816" spans="3:4" ht="15.75" customHeight="1">
      <c r="C816" s="19"/>
      <c r="D816" s="19"/>
    </row>
    <row r="817" spans="3:4" ht="15.75" customHeight="1">
      <c r="C817" s="19"/>
      <c r="D817" s="19"/>
    </row>
    <row r="818" spans="3:4" ht="15.75" customHeight="1">
      <c r="C818" s="19"/>
      <c r="D818" s="19"/>
    </row>
    <row r="819" spans="3:4" ht="15.75" customHeight="1">
      <c r="C819" s="19"/>
      <c r="D819" s="19"/>
    </row>
    <row r="820" spans="3:4" ht="15.75" customHeight="1">
      <c r="C820" s="19"/>
      <c r="D820" s="19"/>
    </row>
    <row r="821" spans="3:4" ht="15.75" customHeight="1">
      <c r="C821" s="19"/>
      <c r="D821" s="19"/>
    </row>
    <row r="822" spans="3:4" ht="15.75" customHeight="1">
      <c r="C822" s="19"/>
      <c r="D822" s="19"/>
    </row>
    <row r="823" spans="3:4" ht="15.75" customHeight="1">
      <c r="C823" s="19"/>
      <c r="D823" s="19"/>
    </row>
    <row r="824" spans="3:4" ht="15.75" customHeight="1">
      <c r="C824" s="19"/>
      <c r="D824" s="19"/>
    </row>
    <row r="825" spans="3:4" ht="15.75" customHeight="1">
      <c r="C825" s="19"/>
      <c r="D825" s="19"/>
    </row>
    <row r="826" spans="3:4" ht="15.75" customHeight="1">
      <c r="C826" s="19"/>
      <c r="D826" s="19"/>
    </row>
    <row r="827" spans="3:4" ht="15.75" customHeight="1">
      <c r="C827" s="19"/>
      <c r="D827" s="19"/>
    </row>
    <row r="828" spans="3:4" ht="15.75" customHeight="1">
      <c r="C828" s="19"/>
      <c r="D828" s="19"/>
    </row>
    <row r="829" spans="3:4" ht="15.75" customHeight="1">
      <c r="C829" s="19"/>
      <c r="D829" s="19"/>
    </row>
    <row r="830" spans="3:4" ht="15.75" customHeight="1">
      <c r="C830" s="19"/>
      <c r="D830" s="19"/>
    </row>
    <row r="831" spans="3:4" ht="15.75" customHeight="1">
      <c r="C831" s="19"/>
      <c r="D831" s="19"/>
    </row>
    <row r="832" spans="3:4" ht="15.75" customHeight="1">
      <c r="C832" s="19"/>
      <c r="D832" s="19"/>
    </row>
    <row r="833" spans="3:4" ht="15.75" customHeight="1">
      <c r="C833" s="19"/>
      <c r="D833" s="19"/>
    </row>
    <row r="834" spans="3:4" ht="15.75" customHeight="1">
      <c r="C834" s="19"/>
      <c r="D834" s="19"/>
    </row>
    <row r="835" spans="3:4" ht="15.75" customHeight="1">
      <c r="C835" s="19"/>
      <c r="D835" s="19"/>
    </row>
    <row r="836" spans="3:4" ht="15.75" customHeight="1">
      <c r="C836" s="19"/>
      <c r="D836" s="19"/>
    </row>
    <row r="837" spans="3:4" ht="15.75" customHeight="1">
      <c r="C837" s="19"/>
      <c r="D837" s="19"/>
    </row>
    <row r="838" spans="3:4" ht="15.75" customHeight="1">
      <c r="C838" s="19"/>
      <c r="D838" s="19"/>
    </row>
    <row r="839" spans="3:4" ht="15.75" customHeight="1">
      <c r="C839" s="19"/>
      <c r="D839" s="19"/>
    </row>
    <row r="840" spans="3:4" ht="15.75" customHeight="1">
      <c r="C840" s="19"/>
      <c r="D840" s="19"/>
    </row>
    <row r="841" spans="3:4" ht="15.75" customHeight="1">
      <c r="C841" s="19"/>
      <c r="D841" s="19"/>
    </row>
    <row r="842" spans="3:4" ht="15.75" customHeight="1">
      <c r="C842" s="19"/>
      <c r="D842" s="19"/>
    </row>
    <row r="843" spans="3:4" ht="15.75" customHeight="1">
      <c r="C843" s="19"/>
      <c r="D843" s="19"/>
    </row>
    <row r="844" spans="3:4" ht="15.75" customHeight="1">
      <c r="C844" s="19"/>
      <c r="D844" s="19"/>
    </row>
    <row r="845" spans="3:4" ht="15.75" customHeight="1">
      <c r="C845" s="19"/>
      <c r="D845" s="19"/>
    </row>
    <row r="846" spans="3:4" ht="15.75" customHeight="1">
      <c r="C846" s="19"/>
      <c r="D846" s="19"/>
    </row>
    <row r="847" spans="3:4" ht="15.75" customHeight="1">
      <c r="C847" s="19"/>
      <c r="D847" s="19"/>
    </row>
    <row r="848" spans="3:4" ht="15.75" customHeight="1">
      <c r="C848" s="19"/>
      <c r="D848" s="19"/>
    </row>
    <row r="849" spans="3:4" ht="15.75" customHeight="1">
      <c r="C849" s="19"/>
      <c r="D849" s="19"/>
    </row>
    <row r="850" spans="3:4" ht="15.75" customHeight="1">
      <c r="C850" s="19"/>
      <c r="D850" s="19"/>
    </row>
    <row r="851" spans="3:4" ht="15.75" customHeight="1">
      <c r="C851" s="19"/>
      <c r="D851" s="19"/>
    </row>
    <row r="852" spans="3:4" ht="15.75" customHeight="1">
      <c r="C852" s="19"/>
      <c r="D852" s="19"/>
    </row>
    <row r="853" spans="3:4" ht="15.75" customHeight="1">
      <c r="C853" s="19"/>
      <c r="D853" s="19"/>
    </row>
    <row r="854" spans="3:4" ht="15.75" customHeight="1">
      <c r="C854" s="19"/>
      <c r="D854" s="19"/>
    </row>
    <row r="855" spans="3:4" ht="15.75" customHeight="1">
      <c r="C855" s="19"/>
      <c r="D855" s="19"/>
    </row>
    <row r="856" spans="3:4" ht="15.75" customHeight="1">
      <c r="C856" s="19"/>
      <c r="D856" s="19"/>
    </row>
    <row r="857" spans="3:4" ht="15.75" customHeight="1">
      <c r="C857" s="19"/>
      <c r="D857" s="19"/>
    </row>
    <row r="858" spans="3:4" ht="15.75" customHeight="1">
      <c r="C858" s="19"/>
      <c r="D858" s="19"/>
    </row>
    <row r="859" spans="3:4" ht="15.75" customHeight="1">
      <c r="C859" s="19"/>
      <c r="D859" s="19"/>
    </row>
    <row r="860" spans="3:4" ht="15.75" customHeight="1">
      <c r="C860" s="19"/>
      <c r="D860" s="19"/>
    </row>
    <row r="861" spans="3:4" ht="15.75" customHeight="1">
      <c r="C861" s="19"/>
      <c r="D861" s="19"/>
    </row>
    <row r="862" spans="3:4" ht="15.75" customHeight="1">
      <c r="C862" s="19"/>
      <c r="D862" s="19"/>
    </row>
    <row r="863" spans="3:4" ht="15.75" customHeight="1">
      <c r="C863" s="19"/>
      <c r="D863" s="19"/>
    </row>
    <row r="864" spans="3:4" ht="15.75" customHeight="1">
      <c r="C864" s="19"/>
      <c r="D864" s="19"/>
    </row>
    <row r="865" spans="3:4" ht="15.75" customHeight="1">
      <c r="C865" s="19"/>
      <c r="D865" s="19"/>
    </row>
    <row r="866" spans="3:4" ht="15.75" customHeight="1">
      <c r="C866" s="19"/>
      <c r="D866" s="19"/>
    </row>
    <row r="867" spans="3:4" ht="15.75" customHeight="1">
      <c r="C867" s="19"/>
      <c r="D867" s="19"/>
    </row>
    <row r="868" spans="3:4" ht="15.75" customHeight="1">
      <c r="C868" s="19"/>
      <c r="D868" s="19"/>
    </row>
    <row r="869" spans="3:4" ht="15.75" customHeight="1">
      <c r="C869" s="19"/>
      <c r="D869" s="19"/>
    </row>
    <row r="870" spans="3:4" ht="15.75" customHeight="1">
      <c r="C870" s="19"/>
      <c r="D870" s="19"/>
    </row>
    <row r="871" spans="3:4" ht="15.75" customHeight="1">
      <c r="C871" s="19"/>
      <c r="D871" s="19"/>
    </row>
    <row r="872" spans="3:4" ht="15.75" customHeight="1">
      <c r="C872" s="19"/>
      <c r="D872" s="19"/>
    </row>
    <row r="873" spans="3:4" ht="15.75" customHeight="1">
      <c r="C873" s="19"/>
      <c r="D873" s="19"/>
    </row>
    <row r="874" spans="3:4" ht="15.75" customHeight="1">
      <c r="C874" s="19"/>
      <c r="D874" s="19"/>
    </row>
    <row r="875" spans="3:4" ht="15.75" customHeight="1">
      <c r="C875" s="19"/>
      <c r="D875" s="19"/>
    </row>
    <row r="876" spans="3:4" ht="15.75" customHeight="1">
      <c r="C876" s="19"/>
      <c r="D876" s="19"/>
    </row>
    <row r="877" spans="3:4" ht="15.75" customHeight="1">
      <c r="C877" s="19"/>
      <c r="D877" s="19"/>
    </row>
    <row r="878" spans="3:4" ht="15.75" customHeight="1">
      <c r="C878" s="19"/>
      <c r="D878" s="19"/>
    </row>
    <row r="879" spans="3:4" ht="15.75" customHeight="1">
      <c r="C879" s="19"/>
      <c r="D879" s="19"/>
    </row>
    <row r="880" spans="3:4" ht="15.75" customHeight="1">
      <c r="C880" s="19"/>
      <c r="D880" s="19"/>
    </row>
    <row r="881" spans="3:4" ht="15.75" customHeight="1">
      <c r="C881" s="19"/>
      <c r="D881" s="19"/>
    </row>
    <row r="882" spans="3:4" ht="15.75" customHeight="1">
      <c r="C882" s="19"/>
      <c r="D882" s="19"/>
    </row>
    <row r="883" spans="3:4" ht="15.75" customHeight="1">
      <c r="C883" s="19"/>
      <c r="D883" s="19"/>
    </row>
    <row r="884" spans="3:4" ht="15.75" customHeight="1">
      <c r="C884" s="19"/>
      <c r="D884" s="19"/>
    </row>
    <row r="885" spans="3:4" ht="15.75" customHeight="1">
      <c r="C885" s="19"/>
      <c r="D885" s="19"/>
    </row>
    <row r="886" spans="3:4" ht="15.75" customHeight="1">
      <c r="C886" s="19"/>
      <c r="D886" s="19"/>
    </row>
    <row r="887" spans="3:4" ht="15.75" customHeight="1">
      <c r="C887" s="19"/>
      <c r="D887" s="19"/>
    </row>
    <row r="888" spans="3:4" ht="15.75" customHeight="1">
      <c r="C888" s="19"/>
      <c r="D888" s="19"/>
    </row>
    <row r="889" spans="3:4" ht="15.75" customHeight="1">
      <c r="C889" s="19"/>
      <c r="D889" s="19"/>
    </row>
    <row r="890" spans="3:4" ht="15.75" customHeight="1">
      <c r="C890" s="19"/>
      <c r="D890" s="19"/>
    </row>
    <row r="891" spans="3:4" ht="15.75" customHeight="1">
      <c r="C891" s="19"/>
      <c r="D891" s="19"/>
    </row>
    <row r="892" spans="3:4" ht="15.75" customHeight="1">
      <c r="C892" s="19"/>
      <c r="D892" s="19"/>
    </row>
    <row r="893" spans="3:4" ht="15.75" customHeight="1">
      <c r="C893" s="19"/>
      <c r="D893" s="19"/>
    </row>
    <row r="894" spans="3:4" ht="15.75" customHeight="1">
      <c r="C894" s="19"/>
      <c r="D894" s="19"/>
    </row>
    <row r="895" spans="3:4" ht="15.75" customHeight="1">
      <c r="C895" s="19"/>
      <c r="D895" s="19"/>
    </row>
    <row r="896" spans="3:4" ht="15.75" customHeight="1">
      <c r="C896" s="19"/>
      <c r="D896" s="19"/>
    </row>
    <row r="897" spans="3:4" ht="15.75" customHeight="1">
      <c r="C897" s="19"/>
      <c r="D897" s="19"/>
    </row>
    <row r="898" spans="3:4" ht="15.75" customHeight="1">
      <c r="C898" s="19"/>
      <c r="D898" s="19"/>
    </row>
    <row r="899" spans="3:4" ht="15.75" customHeight="1">
      <c r="C899" s="19"/>
      <c r="D899" s="19"/>
    </row>
    <row r="900" spans="3:4" ht="15.75" customHeight="1">
      <c r="C900" s="19"/>
      <c r="D900" s="19"/>
    </row>
    <row r="901" spans="3:4" ht="15.75" customHeight="1">
      <c r="C901" s="19"/>
      <c r="D901" s="19"/>
    </row>
    <row r="902" spans="3:4" ht="15.75" customHeight="1">
      <c r="C902" s="19"/>
      <c r="D902" s="19"/>
    </row>
    <row r="903" spans="3:4" ht="15.75" customHeight="1">
      <c r="C903" s="19"/>
      <c r="D903" s="19"/>
    </row>
    <row r="904" spans="3:4" ht="15.75" customHeight="1">
      <c r="C904" s="19"/>
      <c r="D904" s="19"/>
    </row>
    <row r="905" spans="3:4" ht="15.75" customHeight="1">
      <c r="C905" s="19"/>
      <c r="D905" s="19"/>
    </row>
    <row r="906" spans="3:4" ht="15.75" customHeight="1">
      <c r="C906" s="19"/>
      <c r="D906" s="19"/>
    </row>
    <row r="907" spans="3:4" ht="15.75" customHeight="1">
      <c r="C907" s="19"/>
      <c r="D907" s="19"/>
    </row>
    <row r="908" spans="3:4" ht="15.75" customHeight="1">
      <c r="C908" s="19"/>
      <c r="D908" s="19"/>
    </row>
    <row r="909" spans="3:4" ht="15.75" customHeight="1">
      <c r="C909" s="19"/>
      <c r="D909" s="19"/>
    </row>
    <row r="910" spans="3:4" ht="15.75" customHeight="1">
      <c r="C910" s="19"/>
      <c r="D910" s="19"/>
    </row>
    <row r="911" spans="3:4" ht="15.75" customHeight="1">
      <c r="C911" s="19"/>
      <c r="D911" s="19"/>
    </row>
    <row r="912" spans="3:4" ht="15.75" customHeight="1">
      <c r="C912" s="19"/>
      <c r="D912" s="19"/>
    </row>
    <row r="913" spans="3:4" ht="15.75" customHeight="1">
      <c r="C913" s="19"/>
      <c r="D913" s="19"/>
    </row>
    <row r="914" spans="3:4" ht="15.75" customHeight="1">
      <c r="C914" s="19"/>
      <c r="D914" s="19"/>
    </row>
    <row r="915" spans="3:4" ht="15.75" customHeight="1">
      <c r="C915" s="19"/>
      <c r="D915" s="19"/>
    </row>
    <row r="916" spans="3:4" ht="15.75" customHeight="1">
      <c r="C916" s="19"/>
      <c r="D916" s="19"/>
    </row>
    <row r="917" spans="3:4" ht="15.75" customHeight="1">
      <c r="C917" s="19"/>
      <c r="D917" s="19"/>
    </row>
    <row r="918" spans="3:4" ht="15.75" customHeight="1">
      <c r="C918" s="19"/>
      <c r="D918" s="19"/>
    </row>
    <row r="919" spans="3:4" ht="15.75" customHeight="1">
      <c r="C919" s="19"/>
      <c r="D919" s="19"/>
    </row>
    <row r="920" spans="3:4" ht="15.75" customHeight="1">
      <c r="C920" s="19"/>
      <c r="D920" s="19"/>
    </row>
    <row r="921" spans="3:4" ht="15.75" customHeight="1">
      <c r="C921" s="19"/>
      <c r="D921" s="19"/>
    </row>
    <row r="922" spans="3:4" ht="15.75" customHeight="1">
      <c r="C922" s="19"/>
      <c r="D922" s="19"/>
    </row>
    <row r="923" spans="3:4" ht="15.75" customHeight="1">
      <c r="C923" s="19"/>
      <c r="D923" s="19"/>
    </row>
    <row r="924" spans="3:4" ht="15.75" customHeight="1">
      <c r="C924" s="19"/>
      <c r="D924" s="19"/>
    </row>
    <row r="925" spans="3:4" ht="15.75" customHeight="1">
      <c r="C925" s="19"/>
      <c r="D925" s="19"/>
    </row>
    <row r="926" spans="3:4" ht="15.75" customHeight="1">
      <c r="C926" s="19"/>
      <c r="D926" s="19"/>
    </row>
    <row r="927" spans="3:4" ht="15.75" customHeight="1">
      <c r="C927" s="19"/>
      <c r="D927" s="19"/>
    </row>
    <row r="928" spans="3:4" ht="15.75" customHeight="1">
      <c r="C928" s="19"/>
      <c r="D928" s="19"/>
    </row>
    <row r="929" spans="3:4" ht="15.75" customHeight="1">
      <c r="C929" s="19"/>
      <c r="D929" s="19"/>
    </row>
    <row r="930" spans="3:4" ht="15.75" customHeight="1">
      <c r="C930" s="19"/>
      <c r="D930" s="19"/>
    </row>
    <row r="931" spans="3:4" ht="15.75" customHeight="1">
      <c r="C931" s="19"/>
      <c r="D931" s="19"/>
    </row>
    <row r="932" spans="3:4" ht="15.75" customHeight="1">
      <c r="C932" s="19"/>
      <c r="D932" s="19"/>
    </row>
    <row r="933" spans="3:4" ht="15.75" customHeight="1">
      <c r="C933" s="19"/>
      <c r="D933" s="19"/>
    </row>
    <row r="934" spans="3:4" ht="15.75" customHeight="1">
      <c r="C934" s="19"/>
      <c r="D934" s="19"/>
    </row>
    <row r="935" spans="3:4" ht="15.75" customHeight="1">
      <c r="C935" s="19"/>
      <c r="D935" s="19"/>
    </row>
    <row r="936" spans="3:4" ht="15.75" customHeight="1">
      <c r="C936" s="19"/>
      <c r="D936" s="19"/>
    </row>
    <row r="937" spans="3:4" ht="15.75" customHeight="1">
      <c r="C937" s="19"/>
      <c r="D937" s="19"/>
    </row>
    <row r="938" spans="3:4" ht="15.75" customHeight="1">
      <c r="C938" s="19"/>
      <c r="D938" s="19"/>
    </row>
    <row r="939" spans="3:4" ht="15.75" customHeight="1">
      <c r="C939" s="19"/>
      <c r="D939" s="19"/>
    </row>
    <row r="940" spans="3:4" ht="15.75" customHeight="1">
      <c r="C940" s="19"/>
      <c r="D940" s="19"/>
    </row>
    <row r="941" spans="3:4" ht="15.75" customHeight="1">
      <c r="C941" s="19"/>
      <c r="D941" s="19"/>
    </row>
    <row r="942" spans="3:4" ht="15.75" customHeight="1">
      <c r="C942" s="19"/>
      <c r="D942" s="19"/>
    </row>
    <row r="943" spans="3:4" ht="15.75" customHeight="1">
      <c r="C943" s="19"/>
      <c r="D943" s="19"/>
    </row>
    <row r="944" spans="3:4" ht="15.75" customHeight="1">
      <c r="C944" s="19"/>
      <c r="D944" s="19"/>
    </row>
    <row r="945" spans="3:4" ht="15.75" customHeight="1">
      <c r="C945" s="19"/>
      <c r="D945" s="19"/>
    </row>
    <row r="946" spans="3:4" ht="15.75" customHeight="1">
      <c r="C946" s="19"/>
      <c r="D946" s="19"/>
    </row>
    <row r="947" spans="3:4" ht="15.75" customHeight="1">
      <c r="C947" s="19"/>
      <c r="D947" s="19"/>
    </row>
    <row r="948" spans="3:4" ht="15.75" customHeight="1">
      <c r="C948" s="19"/>
      <c r="D948" s="19"/>
    </row>
    <row r="949" spans="3:4" ht="15.75" customHeight="1">
      <c r="C949" s="19"/>
      <c r="D949" s="19"/>
    </row>
    <row r="950" spans="3:4" ht="15.75" customHeight="1">
      <c r="C950" s="19"/>
      <c r="D950" s="19"/>
    </row>
    <row r="951" spans="3:4" ht="15.75" customHeight="1">
      <c r="C951" s="19"/>
      <c r="D951" s="19"/>
    </row>
    <row r="952" spans="3:4" ht="15.75" customHeight="1">
      <c r="C952" s="19"/>
      <c r="D952" s="19"/>
    </row>
    <row r="953" spans="3:4" ht="15.75" customHeight="1">
      <c r="C953" s="19"/>
      <c r="D953" s="19"/>
    </row>
    <row r="954" spans="3:4" ht="15.75" customHeight="1">
      <c r="C954" s="19"/>
      <c r="D954" s="19"/>
    </row>
    <row r="955" spans="3:4" ht="15.75" customHeight="1">
      <c r="C955" s="19"/>
      <c r="D955" s="19"/>
    </row>
    <row r="956" spans="3:4" ht="15.75" customHeight="1">
      <c r="C956" s="19"/>
      <c r="D956" s="19"/>
    </row>
    <row r="957" spans="3:4" ht="15.75" customHeight="1">
      <c r="C957" s="19"/>
      <c r="D957" s="19"/>
    </row>
    <row r="958" spans="3:4" ht="15.75" customHeight="1">
      <c r="C958" s="19"/>
      <c r="D958" s="19"/>
    </row>
    <row r="959" spans="3:4" ht="15.75" customHeight="1">
      <c r="C959" s="19"/>
      <c r="D959" s="19"/>
    </row>
    <row r="960" spans="3:4" ht="15.75" customHeight="1">
      <c r="C960" s="19"/>
      <c r="D960" s="19"/>
    </row>
    <row r="961" spans="3:4" ht="15.75" customHeight="1">
      <c r="C961" s="19"/>
      <c r="D961" s="19"/>
    </row>
    <row r="962" spans="3:4" ht="15.75" customHeight="1">
      <c r="C962" s="19"/>
      <c r="D962" s="19"/>
    </row>
    <row r="963" spans="3:4" ht="15.75" customHeight="1">
      <c r="C963" s="19"/>
      <c r="D963" s="19"/>
    </row>
    <row r="964" spans="3:4" ht="15.75" customHeight="1">
      <c r="C964" s="19"/>
      <c r="D964" s="19"/>
    </row>
    <row r="965" spans="3:4" ht="15.75" customHeight="1">
      <c r="C965" s="19"/>
      <c r="D965" s="19"/>
    </row>
    <row r="966" spans="3:4" ht="15.75" customHeight="1">
      <c r="C966" s="19"/>
      <c r="D966" s="19"/>
    </row>
    <row r="967" spans="3:4" ht="15.75" customHeight="1">
      <c r="C967" s="19"/>
      <c r="D967" s="19"/>
    </row>
    <row r="968" spans="3:4" ht="15.75" customHeight="1">
      <c r="C968" s="19"/>
      <c r="D968" s="19"/>
    </row>
    <row r="969" spans="3:4" ht="15.75" customHeight="1">
      <c r="C969" s="19"/>
      <c r="D969" s="19"/>
    </row>
  </sheetData>
  <mergeCells count="792">
    <mergeCell ref="C269:D269"/>
    <mergeCell ref="C270:D270"/>
    <mergeCell ref="C271:D271"/>
    <mergeCell ref="G265:H265"/>
    <mergeCell ref="G266:H266"/>
    <mergeCell ref="C267:D267"/>
    <mergeCell ref="G267:H267"/>
    <mergeCell ref="C268:D268"/>
    <mergeCell ref="G268:H268"/>
    <mergeCell ref="G269:H269"/>
    <mergeCell ref="C274:D274"/>
    <mergeCell ref="C275:D275"/>
    <mergeCell ref="C276:D276"/>
    <mergeCell ref="G270:H270"/>
    <mergeCell ref="G271:H271"/>
    <mergeCell ref="C272:D272"/>
    <mergeCell ref="G272:H272"/>
    <mergeCell ref="C273:D273"/>
    <mergeCell ref="G273:H273"/>
    <mergeCell ref="G274:H274"/>
    <mergeCell ref="C279:D279"/>
    <mergeCell ref="C280:D280"/>
    <mergeCell ref="C281:D281"/>
    <mergeCell ref="G275:H275"/>
    <mergeCell ref="G276:H276"/>
    <mergeCell ref="C277:D277"/>
    <mergeCell ref="G277:H277"/>
    <mergeCell ref="C278:D278"/>
    <mergeCell ref="G278:H278"/>
    <mergeCell ref="G279:H279"/>
    <mergeCell ref="C284:D284"/>
    <mergeCell ref="C285:D285"/>
    <mergeCell ref="C286:D286"/>
    <mergeCell ref="G280:H280"/>
    <mergeCell ref="G281:H281"/>
    <mergeCell ref="C282:D282"/>
    <mergeCell ref="G282:H282"/>
    <mergeCell ref="C283:D283"/>
    <mergeCell ref="G283:H283"/>
    <mergeCell ref="G284:H284"/>
    <mergeCell ref="C289:D289"/>
    <mergeCell ref="C290:D290"/>
    <mergeCell ref="C291:D291"/>
    <mergeCell ref="G285:H285"/>
    <mergeCell ref="G286:H286"/>
    <mergeCell ref="C287:D287"/>
    <mergeCell ref="G287:H287"/>
    <mergeCell ref="C288:D288"/>
    <mergeCell ref="G288:H288"/>
    <mergeCell ref="G289:H289"/>
    <mergeCell ref="C294:D294"/>
    <mergeCell ref="C295:D295"/>
    <mergeCell ref="C296:D296"/>
    <mergeCell ref="G290:H290"/>
    <mergeCell ref="G291:H291"/>
    <mergeCell ref="C292:D292"/>
    <mergeCell ref="G292:H292"/>
    <mergeCell ref="C293:D293"/>
    <mergeCell ref="G293:H293"/>
    <mergeCell ref="G294:H294"/>
    <mergeCell ref="C299:D299"/>
    <mergeCell ref="C300:D300"/>
    <mergeCell ref="C301:D301"/>
    <mergeCell ref="G295:H295"/>
    <mergeCell ref="G296:H296"/>
    <mergeCell ref="C297:D297"/>
    <mergeCell ref="G297:H297"/>
    <mergeCell ref="C298:D298"/>
    <mergeCell ref="G298:H298"/>
    <mergeCell ref="G299:H299"/>
    <mergeCell ref="C304:D304"/>
    <mergeCell ref="C305:D305"/>
    <mergeCell ref="C306:D306"/>
    <mergeCell ref="G300:H300"/>
    <mergeCell ref="G301:H301"/>
    <mergeCell ref="C302:D302"/>
    <mergeCell ref="G302:H302"/>
    <mergeCell ref="C303:D303"/>
    <mergeCell ref="G303:H303"/>
    <mergeCell ref="G304:H304"/>
    <mergeCell ref="C309:D309"/>
    <mergeCell ref="C310:D310"/>
    <mergeCell ref="C311:D311"/>
    <mergeCell ref="G305:H305"/>
    <mergeCell ref="G306:H306"/>
    <mergeCell ref="C307:D307"/>
    <mergeCell ref="G307:H307"/>
    <mergeCell ref="C308:D308"/>
    <mergeCell ref="G308:H308"/>
    <mergeCell ref="G309:H309"/>
    <mergeCell ref="C314:D314"/>
    <mergeCell ref="C315:D315"/>
    <mergeCell ref="C316:D316"/>
    <mergeCell ref="G310:H310"/>
    <mergeCell ref="G311:H311"/>
    <mergeCell ref="C312:D312"/>
    <mergeCell ref="G312:H312"/>
    <mergeCell ref="C313:D313"/>
    <mergeCell ref="G313:H313"/>
    <mergeCell ref="G314:H314"/>
    <mergeCell ref="C319:D319"/>
    <mergeCell ref="C320:D320"/>
    <mergeCell ref="C321:D321"/>
    <mergeCell ref="G315:H315"/>
    <mergeCell ref="G316:H316"/>
    <mergeCell ref="C317:D317"/>
    <mergeCell ref="G317:H317"/>
    <mergeCell ref="C318:D318"/>
    <mergeCell ref="G318:H318"/>
    <mergeCell ref="G319:H319"/>
    <mergeCell ref="C324:D324"/>
    <mergeCell ref="C325:D325"/>
    <mergeCell ref="C326:D326"/>
    <mergeCell ref="G320:H320"/>
    <mergeCell ref="G321:H321"/>
    <mergeCell ref="C322:D322"/>
    <mergeCell ref="G322:H322"/>
    <mergeCell ref="C323:D323"/>
    <mergeCell ref="G323:H323"/>
    <mergeCell ref="G324:H324"/>
    <mergeCell ref="C329:D329"/>
    <mergeCell ref="C330:D330"/>
    <mergeCell ref="C331:D331"/>
    <mergeCell ref="G325:H325"/>
    <mergeCell ref="G326:H326"/>
    <mergeCell ref="C327:D327"/>
    <mergeCell ref="G327:H327"/>
    <mergeCell ref="C328:D328"/>
    <mergeCell ref="G328:H328"/>
    <mergeCell ref="G329:H329"/>
    <mergeCell ref="C334:D334"/>
    <mergeCell ref="C335:D335"/>
    <mergeCell ref="C336:D336"/>
    <mergeCell ref="G330:H330"/>
    <mergeCell ref="G331:H331"/>
    <mergeCell ref="C332:D332"/>
    <mergeCell ref="G332:H332"/>
    <mergeCell ref="C333:D333"/>
    <mergeCell ref="G333:H333"/>
    <mergeCell ref="G334:H334"/>
    <mergeCell ref="C374:D374"/>
    <mergeCell ref="C375:D375"/>
    <mergeCell ref="C376:D376"/>
    <mergeCell ref="G370:H370"/>
    <mergeCell ref="G371:H371"/>
    <mergeCell ref="C372:D372"/>
    <mergeCell ref="G372:H372"/>
    <mergeCell ref="C373:D373"/>
    <mergeCell ref="G373:H373"/>
    <mergeCell ref="G374:H374"/>
    <mergeCell ref="C379:D379"/>
    <mergeCell ref="C380:D380"/>
    <mergeCell ref="C381:D381"/>
    <mergeCell ref="G375:H375"/>
    <mergeCell ref="G376:H376"/>
    <mergeCell ref="C377:D377"/>
    <mergeCell ref="G377:H377"/>
    <mergeCell ref="C378:D378"/>
    <mergeCell ref="G378:H378"/>
    <mergeCell ref="G379:H379"/>
    <mergeCell ref="C384:D384"/>
    <mergeCell ref="C385:D385"/>
    <mergeCell ref="C386:D386"/>
    <mergeCell ref="G380:H380"/>
    <mergeCell ref="G381:H381"/>
    <mergeCell ref="C382:D382"/>
    <mergeCell ref="G382:H382"/>
    <mergeCell ref="C383:D383"/>
    <mergeCell ref="G383:H383"/>
    <mergeCell ref="G384:H384"/>
    <mergeCell ref="C389:D389"/>
    <mergeCell ref="C390:D390"/>
    <mergeCell ref="C391:D391"/>
    <mergeCell ref="G385:H385"/>
    <mergeCell ref="G386:H386"/>
    <mergeCell ref="C387:D387"/>
    <mergeCell ref="G387:H387"/>
    <mergeCell ref="C388:D388"/>
    <mergeCell ref="G388:H388"/>
    <mergeCell ref="G389:H389"/>
    <mergeCell ref="C394:D394"/>
    <mergeCell ref="C395:D395"/>
    <mergeCell ref="C396:D396"/>
    <mergeCell ref="G390:H390"/>
    <mergeCell ref="G391:H391"/>
    <mergeCell ref="C392:D392"/>
    <mergeCell ref="G392:H392"/>
    <mergeCell ref="C393:D393"/>
    <mergeCell ref="G393:H393"/>
    <mergeCell ref="G394:H394"/>
    <mergeCell ref="G396:H396"/>
    <mergeCell ref="C1:D1"/>
    <mergeCell ref="G1:H1"/>
    <mergeCell ref="C2:D2"/>
    <mergeCell ref="G2:H2"/>
    <mergeCell ref="C3:D3"/>
    <mergeCell ref="G3:H3"/>
    <mergeCell ref="G4:H4"/>
    <mergeCell ref="C4:D4"/>
    <mergeCell ref="C5:D5"/>
    <mergeCell ref="C6:D6"/>
    <mergeCell ref="C7:D7"/>
    <mergeCell ref="C8:D8"/>
    <mergeCell ref="C9:D9"/>
    <mergeCell ref="C10:D10"/>
    <mergeCell ref="G5:H5"/>
    <mergeCell ref="G6:H6"/>
    <mergeCell ref="G7:H7"/>
    <mergeCell ref="G8:H8"/>
    <mergeCell ref="G9:H9"/>
    <mergeCell ref="G10:H10"/>
    <mergeCell ref="G11:H11"/>
    <mergeCell ref="C11:D11"/>
    <mergeCell ref="C12:D12"/>
    <mergeCell ref="C13:D13"/>
    <mergeCell ref="C14:D14"/>
    <mergeCell ref="C15:D15"/>
    <mergeCell ref="C16:D16"/>
    <mergeCell ref="C17:D17"/>
    <mergeCell ref="G12:H12"/>
    <mergeCell ref="G13:H13"/>
    <mergeCell ref="G14:H14"/>
    <mergeCell ref="G15:H15"/>
    <mergeCell ref="G16:H16"/>
    <mergeCell ref="G17:H17"/>
    <mergeCell ref="G18:H18"/>
    <mergeCell ref="C18:D18"/>
    <mergeCell ref="C19:D19"/>
    <mergeCell ref="C20:D20"/>
    <mergeCell ref="C21:D21"/>
    <mergeCell ref="C22:D22"/>
    <mergeCell ref="C23:D23"/>
    <mergeCell ref="C24:D24"/>
    <mergeCell ref="G395:H395"/>
    <mergeCell ref="C339:D339"/>
    <mergeCell ref="C340:D340"/>
    <mergeCell ref="C341:D341"/>
    <mergeCell ref="G335:H335"/>
    <mergeCell ref="G336:H336"/>
    <mergeCell ref="C337:D337"/>
    <mergeCell ref="G337:H337"/>
    <mergeCell ref="C338:D338"/>
    <mergeCell ref="G338:H338"/>
    <mergeCell ref="G339:H339"/>
    <mergeCell ref="C344:D344"/>
    <mergeCell ref="C345:D345"/>
    <mergeCell ref="C346:D346"/>
    <mergeCell ref="G340:H340"/>
    <mergeCell ref="G341:H341"/>
    <mergeCell ref="C342:D342"/>
    <mergeCell ref="G342:H342"/>
    <mergeCell ref="C343:D343"/>
    <mergeCell ref="G343:H343"/>
    <mergeCell ref="G344:H344"/>
    <mergeCell ref="C349:D349"/>
    <mergeCell ref="C350:D350"/>
    <mergeCell ref="C351:D351"/>
    <mergeCell ref="G345:H345"/>
    <mergeCell ref="G346:H346"/>
    <mergeCell ref="C347:D347"/>
    <mergeCell ref="G347:H347"/>
    <mergeCell ref="C348:D348"/>
    <mergeCell ref="G348:H348"/>
    <mergeCell ref="G349:H349"/>
    <mergeCell ref="G359:H359"/>
    <mergeCell ref="C354:D354"/>
    <mergeCell ref="C355:D355"/>
    <mergeCell ref="C356:D356"/>
    <mergeCell ref="G350:H350"/>
    <mergeCell ref="G351:H351"/>
    <mergeCell ref="C352:D352"/>
    <mergeCell ref="G352:H352"/>
    <mergeCell ref="C353:D353"/>
    <mergeCell ref="G353:H353"/>
    <mergeCell ref="G354:H354"/>
    <mergeCell ref="C371:D371"/>
    <mergeCell ref="G365:H365"/>
    <mergeCell ref="G366:H366"/>
    <mergeCell ref="C367:D367"/>
    <mergeCell ref="G367:H367"/>
    <mergeCell ref="C368:D368"/>
    <mergeCell ref="G368:H368"/>
    <mergeCell ref="G369:H369"/>
    <mergeCell ref="C364:D364"/>
    <mergeCell ref="C365:D365"/>
    <mergeCell ref="C366:D366"/>
    <mergeCell ref="G364:H364"/>
    <mergeCell ref="G19:H19"/>
    <mergeCell ref="G20:H20"/>
    <mergeCell ref="G21:H21"/>
    <mergeCell ref="G22:H22"/>
    <mergeCell ref="G23:H23"/>
    <mergeCell ref="G24:H24"/>
    <mergeCell ref="G25:H25"/>
    <mergeCell ref="C369:D369"/>
    <mergeCell ref="C370:D370"/>
    <mergeCell ref="G360:H360"/>
    <mergeCell ref="G361:H361"/>
    <mergeCell ref="C362:D362"/>
    <mergeCell ref="G362:H362"/>
    <mergeCell ref="C363:D363"/>
    <mergeCell ref="G363:H363"/>
    <mergeCell ref="C359:D359"/>
    <mergeCell ref="C360:D360"/>
    <mergeCell ref="C361:D361"/>
    <mergeCell ref="G355:H355"/>
    <mergeCell ref="G356:H356"/>
    <mergeCell ref="C357:D357"/>
    <mergeCell ref="G357:H357"/>
    <mergeCell ref="C358:D358"/>
    <mergeCell ref="G358:H358"/>
    <mergeCell ref="G29:H29"/>
    <mergeCell ref="G30:H30"/>
    <mergeCell ref="C25:D25"/>
    <mergeCell ref="C26:D26"/>
    <mergeCell ref="C27:D27"/>
    <mergeCell ref="C28:D28"/>
    <mergeCell ref="G28:H28"/>
    <mergeCell ref="C29:D29"/>
    <mergeCell ref="C30:D30"/>
    <mergeCell ref="G26:H26"/>
    <mergeCell ref="G27:H27"/>
    <mergeCell ref="C34:D34"/>
    <mergeCell ref="C35:D35"/>
    <mergeCell ref="C36:D36"/>
    <mergeCell ref="C31:D31"/>
    <mergeCell ref="G31:H31"/>
    <mergeCell ref="C32:D32"/>
    <mergeCell ref="G32:H32"/>
    <mergeCell ref="C33:D33"/>
    <mergeCell ref="G33:H33"/>
    <mergeCell ref="G34:H34"/>
    <mergeCell ref="C39:D39"/>
    <mergeCell ref="C40:D40"/>
    <mergeCell ref="C41:D41"/>
    <mergeCell ref="G35:H35"/>
    <mergeCell ref="G36:H36"/>
    <mergeCell ref="C37:D37"/>
    <mergeCell ref="G37:H37"/>
    <mergeCell ref="C38:D38"/>
    <mergeCell ref="G38:H38"/>
    <mergeCell ref="G39:H39"/>
    <mergeCell ref="C44:D44"/>
    <mergeCell ref="C45:D45"/>
    <mergeCell ref="C46:D46"/>
    <mergeCell ref="G40:H40"/>
    <mergeCell ref="G41:H41"/>
    <mergeCell ref="C42:D42"/>
    <mergeCell ref="G42:H42"/>
    <mergeCell ref="C43:D43"/>
    <mergeCell ref="G43:H43"/>
    <mergeCell ref="G44:H44"/>
    <mergeCell ref="C49:D49"/>
    <mergeCell ref="C50:D50"/>
    <mergeCell ref="C51:D51"/>
    <mergeCell ref="G45:H45"/>
    <mergeCell ref="G46:H46"/>
    <mergeCell ref="C47:D47"/>
    <mergeCell ref="G47:H47"/>
    <mergeCell ref="C48:D48"/>
    <mergeCell ref="G48:H48"/>
    <mergeCell ref="G49:H49"/>
    <mergeCell ref="C54:D54"/>
    <mergeCell ref="C55:D55"/>
    <mergeCell ref="C56:D56"/>
    <mergeCell ref="G50:H50"/>
    <mergeCell ref="G51:H51"/>
    <mergeCell ref="C52:D52"/>
    <mergeCell ref="G52:H52"/>
    <mergeCell ref="C53:D53"/>
    <mergeCell ref="G53:H53"/>
    <mergeCell ref="G54:H54"/>
    <mergeCell ref="C59:D59"/>
    <mergeCell ref="C60:D60"/>
    <mergeCell ref="C61:D61"/>
    <mergeCell ref="G55:H55"/>
    <mergeCell ref="G56:H56"/>
    <mergeCell ref="C57:D57"/>
    <mergeCell ref="G57:H57"/>
    <mergeCell ref="C58:D58"/>
    <mergeCell ref="G58:H58"/>
    <mergeCell ref="G59:H59"/>
    <mergeCell ref="C64:D64"/>
    <mergeCell ref="C65:D65"/>
    <mergeCell ref="C66:D66"/>
    <mergeCell ref="G60:H60"/>
    <mergeCell ref="G61:H61"/>
    <mergeCell ref="C62:D62"/>
    <mergeCell ref="G62:H62"/>
    <mergeCell ref="C63:D63"/>
    <mergeCell ref="G63:H63"/>
    <mergeCell ref="G64:H64"/>
    <mergeCell ref="C69:D69"/>
    <mergeCell ref="C70:D70"/>
    <mergeCell ref="C71:D71"/>
    <mergeCell ref="G65:H65"/>
    <mergeCell ref="G66:H66"/>
    <mergeCell ref="C67:D67"/>
    <mergeCell ref="G67:H67"/>
    <mergeCell ref="C68:D68"/>
    <mergeCell ref="G68:H68"/>
    <mergeCell ref="G69:H69"/>
    <mergeCell ref="C74:D74"/>
    <mergeCell ref="C75:D75"/>
    <mergeCell ref="C76:D76"/>
    <mergeCell ref="G70:H70"/>
    <mergeCell ref="G71:H71"/>
    <mergeCell ref="C72:D72"/>
    <mergeCell ref="G72:H72"/>
    <mergeCell ref="C73:D73"/>
    <mergeCell ref="G73:H73"/>
    <mergeCell ref="G74:H74"/>
    <mergeCell ref="C79:D79"/>
    <mergeCell ref="C80:D80"/>
    <mergeCell ref="C81:D81"/>
    <mergeCell ref="G75:H75"/>
    <mergeCell ref="G76:H76"/>
    <mergeCell ref="C77:D77"/>
    <mergeCell ref="G77:H77"/>
    <mergeCell ref="C78:D78"/>
    <mergeCell ref="G78:H78"/>
    <mergeCell ref="G79:H79"/>
    <mergeCell ref="C84:D84"/>
    <mergeCell ref="C85:D85"/>
    <mergeCell ref="C86:D86"/>
    <mergeCell ref="G80:H80"/>
    <mergeCell ref="G81:H81"/>
    <mergeCell ref="C82:D82"/>
    <mergeCell ref="G82:H82"/>
    <mergeCell ref="C83:D83"/>
    <mergeCell ref="G83:H83"/>
    <mergeCell ref="G84:H84"/>
    <mergeCell ref="C89:D89"/>
    <mergeCell ref="C90:D90"/>
    <mergeCell ref="C91:D91"/>
    <mergeCell ref="G85:H85"/>
    <mergeCell ref="G86:H86"/>
    <mergeCell ref="C87:D87"/>
    <mergeCell ref="G87:H87"/>
    <mergeCell ref="C88:D88"/>
    <mergeCell ref="G88:H88"/>
    <mergeCell ref="G89:H89"/>
    <mergeCell ref="C94:D94"/>
    <mergeCell ref="C95:D95"/>
    <mergeCell ref="C96:D96"/>
    <mergeCell ref="G90:H90"/>
    <mergeCell ref="G91:H91"/>
    <mergeCell ref="C92:D92"/>
    <mergeCell ref="G92:H92"/>
    <mergeCell ref="C93:D93"/>
    <mergeCell ref="G93:H93"/>
    <mergeCell ref="G94:H94"/>
    <mergeCell ref="C99:D99"/>
    <mergeCell ref="C100:D100"/>
    <mergeCell ref="C101:D101"/>
    <mergeCell ref="G95:H95"/>
    <mergeCell ref="G96:H96"/>
    <mergeCell ref="C97:D97"/>
    <mergeCell ref="G97:H97"/>
    <mergeCell ref="C98:D98"/>
    <mergeCell ref="G98:H98"/>
    <mergeCell ref="G99:H99"/>
    <mergeCell ref="C104:D104"/>
    <mergeCell ref="C105:D105"/>
    <mergeCell ref="C106:D106"/>
    <mergeCell ref="G100:H100"/>
    <mergeCell ref="G101:H101"/>
    <mergeCell ref="C102:D102"/>
    <mergeCell ref="G102:H102"/>
    <mergeCell ref="C103:D103"/>
    <mergeCell ref="G103:H103"/>
    <mergeCell ref="G104:H104"/>
    <mergeCell ref="C109:D109"/>
    <mergeCell ref="C110:D110"/>
    <mergeCell ref="C111:D111"/>
    <mergeCell ref="G105:H105"/>
    <mergeCell ref="G106:H106"/>
    <mergeCell ref="C107:D107"/>
    <mergeCell ref="G107:H107"/>
    <mergeCell ref="C108:D108"/>
    <mergeCell ref="G108:H108"/>
    <mergeCell ref="G109:H109"/>
    <mergeCell ref="C114:D114"/>
    <mergeCell ref="C115:D115"/>
    <mergeCell ref="C116:D116"/>
    <mergeCell ref="G110:H110"/>
    <mergeCell ref="G111:H111"/>
    <mergeCell ref="C112:D112"/>
    <mergeCell ref="G112:H112"/>
    <mergeCell ref="C113:D113"/>
    <mergeCell ref="G113:H113"/>
    <mergeCell ref="G114:H114"/>
    <mergeCell ref="C119:D119"/>
    <mergeCell ref="C120:D120"/>
    <mergeCell ref="C121:D121"/>
    <mergeCell ref="G115:H115"/>
    <mergeCell ref="G116:H116"/>
    <mergeCell ref="C117:D117"/>
    <mergeCell ref="G117:H117"/>
    <mergeCell ref="C118:D118"/>
    <mergeCell ref="G118:H118"/>
    <mergeCell ref="G119:H119"/>
    <mergeCell ref="C124:D124"/>
    <mergeCell ref="C125:D125"/>
    <mergeCell ref="C126:D126"/>
    <mergeCell ref="G120:H120"/>
    <mergeCell ref="G121:H121"/>
    <mergeCell ref="C122:D122"/>
    <mergeCell ref="G122:H122"/>
    <mergeCell ref="C123:D123"/>
    <mergeCell ref="G123:H123"/>
    <mergeCell ref="G124:H124"/>
    <mergeCell ref="C129:D129"/>
    <mergeCell ref="C130:D130"/>
    <mergeCell ref="C131:D131"/>
    <mergeCell ref="G125:H125"/>
    <mergeCell ref="G126:H126"/>
    <mergeCell ref="C127:D127"/>
    <mergeCell ref="G127:H127"/>
    <mergeCell ref="C128:D128"/>
    <mergeCell ref="G128:H128"/>
    <mergeCell ref="G129:H129"/>
    <mergeCell ref="C134:D134"/>
    <mergeCell ref="C135:D135"/>
    <mergeCell ref="C136:D136"/>
    <mergeCell ref="G130:H130"/>
    <mergeCell ref="G131:H131"/>
    <mergeCell ref="C132:D132"/>
    <mergeCell ref="G132:H132"/>
    <mergeCell ref="C133:D133"/>
    <mergeCell ref="G133:H133"/>
    <mergeCell ref="G134:H134"/>
    <mergeCell ref="C139:D139"/>
    <mergeCell ref="C140:D140"/>
    <mergeCell ref="C141:D141"/>
    <mergeCell ref="G135:H135"/>
    <mergeCell ref="G136:H136"/>
    <mergeCell ref="C137:D137"/>
    <mergeCell ref="G137:H137"/>
    <mergeCell ref="C138:D138"/>
    <mergeCell ref="G138:H138"/>
    <mergeCell ref="G139:H139"/>
    <mergeCell ref="C144:D144"/>
    <mergeCell ref="C145:D145"/>
    <mergeCell ref="C146:D146"/>
    <mergeCell ref="G140:H140"/>
    <mergeCell ref="G141:H141"/>
    <mergeCell ref="C142:D142"/>
    <mergeCell ref="G142:H142"/>
    <mergeCell ref="C143:D143"/>
    <mergeCell ref="G143:H143"/>
    <mergeCell ref="G144:H144"/>
    <mergeCell ref="C149:D149"/>
    <mergeCell ref="C150:D150"/>
    <mergeCell ref="C151:D151"/>
    <mergeCell ref="G145:H145"/>
    <mergeCell ref="G146:H146"/>
    <mergeCell ref="C147:D147"/>
    <mergeCell ref="G147:H147"/>
    <mergeCell ref="C148:D148"/>
    <mergeCell ref="G148:H148"/>
    <mergeCell ref="G149:H149"/>
    <mergeCell ref="C154:D154"/>
    <mergeCell ref="C155:D155"/>
    <mergeCell ref="C156:D156"/>
    <mergeCell ref="G150:H150"/>
    <mergeCell ref="G151:H151"/>
    <mergeCell ref="C152:D152"/>
    <mergeCell ref="G152:H152"/>
    <mergeCell ref="C153:D153"/>
    <mergeCell ref="G153:H153"/>
    <mergeCell ref="G154:H154"/>
    <mergeCell ref="C159:D159"/>
    <mergeCell ref="C160:D160"/>
    <mergeCell ref="C161:D161"/>
    <mergeCell ref="G155:H155"/>
    <mergeCell ref="G156:H156"/>
    <mergeCell ref="C157:D157"/>
    <mergeCell ref="G157:H157"/>
    <mergeCell ref="C158:D158"/>
    <mergeCell ref="G158:H158"/>
    <mergeCell ref="G159:H159"/>
    <mergeCell ref="C164:D164"/>
    <mergeCell ref="C165:D165"/>
    <mergeCell ref="C166:D166"/>
    <mergeCell ref="G160:H160"/>
    <mergeCell ref="G161:H161"/>
    <mergeCell ref="C162:D162"/>
    <mergeCell ref="G162:H162"/>
    <mergeCell ref="C163:D163"/>
    <mergeCell ref="G163:H163"/>
    <mergeCell ref="G164:H164"/>
    <mergeCell ref="C169:D169"/>
    <mergeCell ref="C170:D170"/>
    <mergeCell ref="C171:D171"/>
    <mergeCell ref="G165:H165"/>
    <mergeCell ref="G166:H166"/>
    <mergeCell ref="C167:D167"/>
    <mergeCell ref="G167:H167"/>
    <mergeCell ref="C168:D168"/>
    <mergeCell ref="G168:H168"/>
    <mergeCell ref="G169:H169"/>
    <mergeCell ref="C174:D174"/>
    <mergeCell ref="C175:D175"/>
    <mergeCell ref="C176:D176"/>
    <mergeCell ref="G170:H170"/>
    <mergeCell ref="G171:H171"/>
    <mergeCell ref="C172:D172"/>
    <mergeCell ref="G172:H172"/>
    <mergeCell ref="C173:D173"/>
    <mergeCell ref="G173:H173"/>
    <mergeCell ref="G174:H174"/>
    <mergeCell ref="C179:D179"/>
    <mergeCell ref="C180:D180"/>
    <mergeCell ref="C181:D181"/>
    <mergeCell ref="G175:H175"/>
    <mergeCell ref="G176:H176"/>
    <mergeCell ref="C177:D177"/>
    <mergeCell ref="G177:H177"/>
    <mergeCell ref="C178:D178"/>
    <mergeCell ref="G178:H178"/>
    <mergeCell ref="G179:H179"/>
    <mergeCell ref="C184:D184"/>
    <mergeCell ref="C185:D185"/>
    <mergeCell ref="C186:D186"/>
    <mergeCell ref="G180:H180"/>
    <mergeCell ref="G181:H181"/>
    <mergeCell ref="C182:D182"/>
    <mergeCell ref="G182:H182"/>
    <mergeCell ref="C183:D183"/>
    <mergeCell ref="G183:H183"/>
    <mergeCell ref="G184:H184"/>
    <mergeCell ref="C189:D189"/>
    <mergeCell ref="C190:D190"/>
    <mergeCell ref="C191:D191"/>
    <mergeCell ref="G185:H185"/>
    <mergeCell ref="G186:H186"/>
    <mergeCell ref="C187:D187"/>
    <mergeCell ref="G187:H187"/>
    <mergeCell ref="C188:D188"/>
    <mergeCell ref="G188:H188"/>
    <mergeCell ref="G189:H189"/>
    <mergeCell ref="C194:D194"/>
    <mergeCell ref="C195:D195"/>
    <mergeCell ref="C196:D196"/>
    <mergeCell ref="G190:H190"/>
    <mergeCell ref="G191:H191"/>
    <mergeCell ref="C192:D192"/>
    <mergeCell ref="G192:H192"/>
    <mergeCell ref="C193:D193"/>
    <mergeCell ref="G193:H193"/>
    <mergeCell ref="G194:H194"/>
    <mergeCell ref="C199:D199"/>
    <mergeCell ref="C200:D200"/>
    <mergeCell ref="C201:D201"/>
    <mergeCell ref="G195:H195"/>
    <mergeCell ref="G196:H196"/>
    <mergeCell ref="C197:D197"/>
    <mergeCell ref="G197:H197"/>
    <mergeCell ref="C198:D198"/>
    <mergeCell ref="G198:H198"/>
    <mergeCell ref="G199:H199"/>
    <mergeCell ref="C204:D204"/>
    <mergeCell ref="C205:D205"/>
    <mergeCell ref="C206:D206"/>
    <mergeCell ref="G200:H200"/>
    <mergeCell ref="G201:H201"/>
    <mergeCell ref="C202:D202"/>
    <mergeCell ref="G202:H202"/>
    <mergeCell ref="C203:D203"/>
    <mergeCell ref="G203:H203"/>
    <mergeCell ref="G204:H204"/>
    <mergeCell ref="C209:D209"/>
    <mergeCell ref="C210:D210"/>
    <mergeCell ref="C211:D211"/>
    <mergeCell ref="G205:H205"/>
    <mergeCell ref="G206:H206"/>
    <mergeCell ref="C207:D207"/>
    <mergeCell ref="G207:H207"/>
    <mergeCell ref="C208:D208"/>
    <mergeCell ref="G208:H208"/>
    <mergeCell ref="G209:H209"/>
    <mergeCell ref="C214:D214"/>
    <mergeCell ref="C215:D215"/>
    <mergeCell ref="C216:D216"/>
    <mergeCell ref="G210:H210"/>
    <mergeCell ref="G211:H211"/>
    <mergeCell ref="C212:D212"/>
    <mergeCell ref="G212:H212"/>
    <mergeCell ref="C213:D213"/>
    <mergeCell ref="G213:H213"/>
    <mergeCell ref="G214:H214"/>
    <mergeCell ref="C219:D219"/>
    <mergeCell ref="C220:D220"/>
    <mergeCell ref="C221:D221"/>
    <mergeCell ref="G215:H215"/>
    <mergeCell ref="G216:H216"/>
    <mergeCell ref="C217:D217"/>
    <mergeCell ref="G217:H217"/>
    <mergeCell ref="C218:D218"/>
    <mergeCell ref="G218:H218"/>
    <mergeCell ref="G219:H219"/>
    <mergeCell ref="C224:D224"/>
    <mergeCell ref="C225:D225"/>
    <mergeCell ref="C226:D226"/>
    <mergeCell ref="G220:H220"/>
    <mergeCell ref="G221:H221"/>
    <mergeCell ref="C222:D222"/>
    <mergeCell ref="G222:H222"/>
    <mergeCell ref="C223:D223"/>
    <mergeCell ref="G223:H223"/>
    <mergeCell ref="G224:H224"/>
    <mergeCell ref="C229:D229"/>
    <mergeCell ref="C230:D230"/>
    <mergeCell ref="C231:D231"/>
    <mergeCell ref="G225:H225"/>
    <mergeCell ref="G226:H226"/>
    <mergeCell ref="C227:D227"/>
    <mergeCell ref="G227:H227"/>
    <mergeCell ref="C228:D228"/>
    <mergeCell ref="G228:H228"/>
    <mergeCell ref="G229:H229"/>
    <mergeCell ref="C234:D234"/>
    <mergeCell ref="C235:D235"/>
    <mergeCell ref="C236:D236"/>
    <mergeCell ref="G230:H230"/>
    <mergeCell ref="G231:H231"/>
    <mergeCell ref="C232:D232"/>
    <mergeCell ref="G232:H232"/>
    <mergeCell ref="C233:D233"/>
    <mergeCell ref="G233:H233"/>
    <mergeCell ref="G234:H234"/>
    <mergeCell ref="C239:D239"/>
    <mergeCell ref="C240:D240"/>
    <mergeCell ref="C241:D241"/>
    <mergeCell ref="G235:H235"/>
    <mergeCell ref="G236:H236"/>
    <mergeCell ref="C237:D237"/>
    <mergeCell ref="G237:H237"/>
    <mergeCell ref="C238:D238"/>
    <mergeCell ref="G238:H238"/>
    <mergeCell ref="G239:H239"/>
    <mergeCell ref="C244:D244"/>
    <mergeCell ref="C245:D245"/>
    <mergeCell ref="C246:D246"/>
    <mergeCell ref="G240:H240"/>
    <mergeCell ref="G241:H241"/>
    <mergeCell ref="C242:D242"/>
    <mergeCell ref="G242:H242"/>
    <mergeCell ref="C243:D243"/>
    <mergeCell ref="G243:H243"/>
    <mergeCell ref="G244:H244"/>
    <mergeCell ref="C249:D249"/>
    <mergeCell ref="C250:D250"/>
    <mergeCell ref="C251:D251"/>
    <mergeCell ref="G245:H245"/>
    <mergeCell ref="G246:H246"/>
    <mergeCell ref="C247:D247"/>
    <mergeCell ref="G247:H247"/>
    <mergeCell ref="C248:D248"/>
    <mergeCell ref="G248:H248"/>
    <mergeCell ref="G249:H249"/>
    <mergeCell ref="C254:D254"/>
    <mergeCell ref="C255:D255"/>
    <mergeCell ref="C256:D256"/>
    <mergeCell ref="G250:H250"/>
    <mergeCell ref="G251:H251"/>
    <mergeCell ref="C252:D252"/>
    <mergeCell ref="G252:H252"/>
    <mergeCell ref="C253:D253"/>
    <mergeCell ref="G253:H253"/>
    <mergeCell ref="G254:H254"/>
    <mergeCell ref="C259:D259"/>
    <mergeCell ref="C260:D260"/>
    <mergeCell ref="C261:D261"/>
    <mergeCell ref="G255:H255"/>
    <mergeCell ref="G256:H256"/>
    <mergeCell ref="C257:D257"/>
    <mergeCell ref="G257:H257"/>
    <mergeCell ref="C258:D258"/>
    <mergeCell ref="G258:H258"/>
    <mergeCell ref="G259:H259"/>
    <mergeCell ref="C264:D264"/>
    <mergeCell ref="C265:D265"/>
    <mergeCell ref="C266:D266"/>
    <mergeCell ref="G260:H260"/>
    <mergeCell ref="G261:H261"/>
    <mergeCell ref="C262:D262"/>
    <mergeCell ref="G262:H262"/>
    <mergeCell ref="C263:D263"/>
    <mergeCell ref="G263:H263"/>
    <mergeCell ref="G264:H264"/>
  </mergeCells>
  <conditionalFormatting sqref="C1:J969">
    <cfRule type="notContainsBlanks" dxfId="0" priority="1">
      <formula>LEN(TRIM(C1))&gt;0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441"/>
  <sheetViews>
    <sheetView workbookViewId="0"/>
  </sheetViews>
  <sheetFormatPr baseColWidth="10" defaultColWidth="14.3984375" defaultRowHeight="15" customHeight="1"/>
  <sheetData>
    <row r="1" spans="1:5">
      <c r="A1" s="22" t="s">
        <v>4</v>
      </c>
      <c r="B1" s="23" t="s">
        <v>469</v>
      </c>
      <c r="D1" s="22" t="s">
        <v>4</v>
      </c>
      <c r="E1" s="23" t="s">
        <v>469</v>
      </c>
    </row>
    <row r="2" spans="1:5">
      <c r="A2" s="10" t="s">
        <v>7</v>
      </c>
      <c r="B2" s="11">
        <v>824</v>
      </c>
      <c r="D2" s="10" t="s">
        <v>321</v>
      </c>
      <c r="E2" s="11">
        <v>0</v>
      </c>
    </row>
    <row r="3" spans="1:5">
      <c r="A3" s="12" t="s">
        <v>9</v>
      </c>
      <c r="B3" s="11">
        <v>1312</v>
      </c>
      <c r="D3" s="10" t="s">
        <v>190</v>
      </c>
      <c r="E3" s="11">
        <v>6</v>
      </c>
    </row>
    <row r="4" spans="1:5">
      <c r="A4" s="10" t="s">
        <v>11</v>
      </c>
      <c r="B4" s="11">
        <v>405</v>
      </c>
      <c r="D4" s="12" t="s">
        <v>35</v>
      </c>
      <c r="E4" s="11">
        <v>17</v>
      </c>
    </row>
    <row r="5" spans="1:5">
      <c r="A5" s="10" t="s">
        <v>12</v>
      </c>
      <c r="B5" s="11">
        <v>1655</v>
      </c>
      <c r="D5" s="12" t="s">
        <v>284</v>
      </c>
      <c r="E5" s="11">
        <v>19</v>
      </c>
    </row>
    <row r="6" spans="1:5">
      <c r="A6" s="10" t="s">
        <v>14</v>
      </c>
      <c r="B6" s="11">
        <v>1054</v>
      </c>
      <c r="D6" s="10" t="s">
        <v>175</v>
      </c>
      <c r="E6" s="11">
        <v>21</v>
      </c>
    </row>
    <row r="7" spans="1:5">
      <c r="A7" s="10" t="s">
        <v>15</v>
      </c>
      <c r="B7" s="11">
        <v>1203</v>
      </c>
      <c r="D7" s="10" t="s">
        <v>42</v>
      </c>
      <c r="E7" s="11">
        <v>22</v>
      </c>
    </row>
    <row r="8" spans="1:5">
      <c r="A8" s="10" t="s">
        <v>16</v>
      </c>
      <c r="B8" s="11">
        <v>1369</v>
      </c>
      <c r="D8" s="10" t="s">
        <v>61</v>
      </c>
      <c r="E8" s="11">
        <v>25</v>
      </c>
    </row>
    <row r="9" spans="1:5">
      <c r="A9" s="10" t="s">
        <v>18</v>
      </c>
      <c r="B9" s="11">
        <v>1565</v>
      </c>
      <c r="D9" s="12" t="s">
        <v>32</v>
      </c>
      <c r="E9" s="11">
        <v>26</v>
      </c>
    </row>
    <row r="10" spans="1:5">
      <c r="A10" s="12" t="s">
        <v>19</v>
      </c>
      <c r="B10" s="11">
        <v>1958</v>
      </c>
      <c r="D10" s="12" t="s">
        <v>108</v>
      </c>
      <c r="E10" s="11">
        <v>29</v>
      </c>
    </row>
    <row r="11" spans="1:5">
      <c r="A11" s="10" t="s">
        <v>20</v>
      </c>
      <c r="B11" s="11">
        <v>1513</v>
      </c>
      <c r="D11" s="10" t="s">
        <v>149</v>
      </c>
      <c r="E11" s="11">
        <v>48</v>
      </c>
    </row>
    <row r="12" spans="1:5">
      <c r="A12" s="12" t="s">
        <v>22</v>
      </c>
      <c r="B12" s="11">
        <v>1433</v>
      </c>
      <c r="D12" s="10" t="s">
        <v>210</v>
      </c>
      <c r="E12" s="11">
        <v>52</v>
      </c>
    </row>
    <row r="13" spans="1:5">
      <c r="A13" s="10" t="s">
        <v>23</v>
      </c>
      <c r="B13" s="11">
        <v>1433</v>
      </c>
      <c r="D13" s="12" t="s">
        <v>204</v>
      </c>
      <c r="E13" s="11">
        <v>53</v>
      </c>
    </row>
    <row r="14" spans="1:5">
      <c r="A14" s="10" t="s">
        <v>24</v>
      </c>
      <c r="B14" s="11">
        <v>769</v>
      </c>
      <c r="D14" s="10" t="s">
        <v>118</v>
      </c>
      <c r="E14" s="11">
        <v>57</v>
      </c>
    </row>
    <row r="15" spans="1:5">
      <c r="A15" s="10" t="s">
        <v>25</v>
      </c>
      <c r="B15" s="11">
        <v>1132</v>
      </c>
      <c r="D15" s="12" t="s">
        <v>73</v>
      </c>
      <c r="E15" s="11">
        <v>58</v>
      </c>
    </row>
    <row r="16" spans="1:5">
      <c r="A16" s="10" t="s">
        <v>26</v>
      </c>
      <c r="B16" s="11">
        <v>748</v>
      </c>
      <c r="D16" s="10" t="s">
        <v>89</v>
      </c>
      <c r="E16" s="11">
        <v>62</v>
      </c>
    </row>
    <row r="17" spans="1:5">
      <c r="A17" s="12" t="s">
        <v>27</v>
      </c>
      <c r="B17" s="11">
        <v>196</v>
      </c>
      <c r="D17" s="10" t="s">
        <v>55</v>
      </c>
      <c r="E17" s="11">
        <v>63</v>
      </c>
    </row>
    <row r="18" spans="1:5">
      <c r="A18" s="12" t="s">
        <v>29</v>
      </c>
      <c r="B18" s="11">
        <v>291</v>
      </c>
      <c r="D18" s="12" t="s">
        <v>120</v>
      </c>
      <c r="E18" s="11">
        <v>66</v>
      </c>
    </row>
    <row r="19" spans="1:5">
      <c r="A19" s="10" t="s">
        <v>31</v>
      </c>
      <c r="B19" s="11">
        <v>1103</v>
      </c>
      <c r="D19" s="10" t="s">
        <v>94</v>
      </c>
      <c r="E19" s="11">
        <v>69</v>
      </c>
    </row>
    <row r="20" spans="1:5">
      <c r="A20" s="12" t="s">
        <v>32</v>
      </c>
      <c r="B20" s="11">
        <v>26</v>
      </c>
      <c r="D20" s="10" t="s">
        <v>203</v>
      </c>
      <c r="E20" s="11">
        <v>72</v>
      </c>
    </row>
    <row r="21" spans="1:5">
      <c r="A21" s="12" t="s">
        <v>33</v>
      </c>
      <c r="B21" s="11">
        <v>745</v>
      </c>
      <c r="D21" s="12" t="s">
        <v>430</v>
      </c>
      <c r="E21" s="11">
        <v>74</v>
      </c>
    </row>
    <row r="22" spans="1:5">
      <c r="A22" s="12" t="s">
        <v>35</v>
      </c>
      <c r="B22" s="11">
        <v>17</v>
      </c>
      <c r="D22" s="10" t="s">
        <v>308</v>
      </c>
      <c r="E22" s="11">
        <v>75</v>
      </c>
    </row>
    <row r="23" spans="1:5">
      <c r="A23" s="10" t="s">
        <v>36</v>
      </c>
      <c r="B23" s="11">
        <v>767</v>
      </c>
      <c r="D23" s="10" t="s">
        <v>226</v>
      </c>
      <c r="E23" s="11">
        <v>84</v>
      </c>
    </row>
    <row r="24" spans="1:5">
      <c r="A24" s="12" t="s">
        <v>37</v>
      </c>
      <c r="B24" s="11">
        <v>746</v>
      </c>
      <c r="D24" s="12" t="s">
        <v>355</v>
      </c>
      <c r="E24" s="11">
        <v>90</v>
      </c>
    </row>
    <row r="25" spans="1:5">
      <c r="A25" s="10" t="s">
        <v>38</v>
      </c>
      <c r="B25" s="11">
        <v>686</v>
      </c>
      <c r="D25" s="10" t="s">
        <v>163</v>
      </c>
      <c r="E25" s="11">
        <v>93</v>
      </c>
    </row>
    <row r="26" spans="1:5">
      <c r="A26" s="12" t="s">
        <v>39</v>
      </c>
      <c r="B26" s="11">
        <v>1486</v>
      </c>
      <c r="D26" s="10" t="s">
        <v>103</v>
      </c>
      <c r="E26" s="11">
        <v>96</v>
      </c>
    </row>
    <row r="27" spans="1:5">
      <c r="A27" s="12" t="s">
        <v>40</v>
      </c>
      <c r="B27" s="11">
        <v>1972</v>
      </c>
      <c r="D27" s="12" t="s">
        <v>288</v>
      </c>
      <c r="E27" s="11">
        <v>98</v>
      </c>
    </row>
    <row r="28" spans="1:5">
      <c r="A28" s="10" t="s">
        <v>41</v>
      </c>
      <c r="B28" s="11">
        <v>452</v>
      </c>
      <c r="D28" s="10" t="s">
        <v>257</v>
      </c>
      <c r="E28" s="11">
        <v>128</v>
      </c>
    </row>
    <row r="29" spans="1:5">
      <c r="A29" s="10" t="s">
        <v>42</v>
      </c>
      <c r="B29" s="11">
        <v>22</v>
      </c>
      <c r="D29" s="10" t="s">
        <v>136</v>
      </c>
      <c r="E29" s="11">
        <v>131</v>
      </c>
    </row>
    <row r="30" spans="1:5">
      <c r="A30" s="12" t="s">
        <v>43</v>
      </c>
      <c r="B30" s="11">
        <v>154</v>
      </c>
      <c r="D30" s="12" t="s">
        <v>139</v>
      </c>
      <c r="E30" s="11">
        <v>132</v>
      </c>
    </row>
    <row r="31" spans="1:5">
      <c r="A31" s="10" t="s">
        <v>44</v>
      </c>
      <c r="B31" s="11">
        <v>1149</v>
      </c>
      <c r="D31" s="10" t="s">
        <v>154</v>
      </c>
      <c r="E31" s="11">
        <v>136</v>
      </c>
    </row>
    <row r="32" spans="1:5">
      <c r="A32" s="10" t="s">
        <v>45</v>
      </c>
      <c r="B32" s="11">
        <v>1057</v>
      </c>
      <c r="D32" s="12" t="s">
        <v>156</v>
      </c>
      <c r="E32" s="11">
        <v>137</v>
      </c>
    </row>
    <row r="33" spans="1:5">
      <c r="A33" s="12" t="s">
        <v>46</v>
      </c>
      <c r="B33" s="11">
        <v>295</v>
      </c>
      <c r="D33" s="12" t="s">
        <v>166</v>
      </c>
      <c r="E33" s="11">
        <v>142</v>
      </c>
    </row>
    <row r="34" spans="1:5">
      <c r="A34" s="12" t="s">
        <v>47</v>
      </c>
      <c r="B34" s="11">
        <v>1410</v>
      </c>
      <c r="D34" s="12" t="s">
        <v>167</v>
      </c>
      <c r="E34" s="11">
        <v>145</v>
      </c>
    </row>
    <row r="35" spans="1:5">
      <c r="A35" s="10" t="s">
        <v>48</v>
      </c>
      <c r="B35" s="11">
        <v>224</v>
      </c>
      <c r="D35" s="12" t="s">
        <v>311</v>
      </c>
      <c r="E35" s="11">
        <v>148</v>
      </c>
    </row>
    <row r="36" spans="1:5">
      <c r="A36" s="12" t="s">
        <v>49</v>
      </c>
      <c r="B36" s="11">
        <v>675</v>
      </c>
      <c r="D36" s="10" t="s">
        <v>387</v>
      </c>
      <c r="E36" s="11">
        <v>149</v>
      </c>
    </row>
    <row r="37" spans="1:5">
      <c r="A37" s="12" t="s">
        <v>51</v>
      </c>
      <c r="B37" s="11">
        <v>1946</v>
      </c>
      <c r="D37" s="12" t="s">
        <v>43</v>
      </c>
      <c r="E37" s="11">
        <v>154</v>
      </c>
    </row>
    <row r="38" spans="1:5">
      <c r="A38" s="12" t="s">
        <v>52</v>
      </c>
      <c r="B38" s="11">
        <v>1155</v>
      </c>
      <c r="D38" s="12" t="s">
        <v>105</v>
      </c>
      <c r="E38" s="11">
        <v>157</v>
      </c>
    </row>
    <row r="39" spans="1:5">
      <c r="A39" s="10" t="s">
        <v>53</v>
      </c>
      <c r="B39" s="11">
        <v>697</v>
      </c>
      <c r="D39" s="12" t="s">
        <v>180</v>
      </c>
      <c r="E39" s="11">
        <v>159</v>
      </c>
    </row>
    <row r="40" spans="1:5">
      <c r="A40" s="12" t="s">
        <v>54</v>
      </c>
      <c r="B40" s="11">
        <v>712</v>
      </c>
      <c r="D40" s="10" t="s">
        <v>185</v>
      </c>
      <c r="E40" s="11">
        <v>163</v>
      </c>
    </row>
    <row r="41" spans="1:5">
      <c r="A41" s="10" t="s">
        <v>55</v>
      </c>
      <c r="B41" s="11">
        <v>63</v>
      </c>
      <c r="D41" s="12" t="s">
        <v>187</v>
      </c>
      <c r="E41" s="11">
        <v>164</v>
      </c>
    </row>
    <row r="42" spans="1:5">
      <c r="A42" s="10" t="s">
        <v>56</v>
      </c>
      <c r="B42" s="11">
        <v>1061</v>
      </c>
      <c r="D42" s="12" t="s">
        <v>351</v>
      </c>
      <c r="E42" s="11">
        <v>170</v>
      </c>
    </row>
    <row r="43" spans="1:5">
      <c r="A43" s="10" t="s">
        <v>57</v>
      </c>
      <c r="B43" s="11">
        <v>1108</v>
      </c>
      <c r="D43" s="12" t="s">
        <v>88</v>
      </c>
      <c r="E43" s="11">
        <v>178</v>
      </c>
    </row>
    <row r="44" spans="1:5">
      <c r="A44" s="10" t="s">
        <v>58</v>
      </c>
      <c r="B44" s="11">
        <v>1966</v>
      </c>
      <c r="D44" s="12" t="s">
        <v>27</v>
      </c>
      <c r="E44" s="11">
        <v>196</v>
      </c>
    </row>
    <row r="45" spans="1:5">
      <c r="A45" s="12" t="s">
        <v>59</v>
      </c>
      <c r="B45" s="11">
        <v>666</v>
      </c>
      <c r="D45" s="10" t="s">
        <v>196</v>
      </c>
      <c r="E45" s="11">
        <v>197</v>
      </c>
    </row>
    <row r="46" spans="1:5">
      <c r="A46" s="10" t="s">
        <v>61</v>
      </c>
      <c r="B46" s="11">
        <v>25</v>
      </c>
      <c r="D46" s="10" t="s">
        <v>454</v>
      </c>
      <c r="E46" s="11">
        <v>209</v>
      </c>
    </row>
    <row r="47" spans="1:5">
      <c r="A47" s="10" t="s">
        <v>62</v>
      </c>
      <c r="B47" s="11">
        <v>691</v>
      </c>
      <c r="D47" s="12" t="s">
        <v>297</v>
      </c>
      <c r="E47" s="11">
        <v>211</v>
      </c>
    </row>
    <row r="48" spans="1:5">
      <c r="A48" s="12" t="s">
        <v>63</v>
      </c>
      <c r="B48" s="11">
        <v>1934</v>
      </c>
      <c r="D48" s="10" t="s">
        <v>229</v>
      </c>
      <c r="E48" s="11">
        <v>217</v>
      </c>
    </row>
    <row r="49" spans="1:5">
      <c r="A49" s="10" t="s">
        <v>64</v>
      </c>
      <c r="B49" s="11">
        <v>1841</v>
      </c>
      <c r="D49" s="12" t="s">
        <v>146</v>
      </c>
      <c r="E49" s="11">
        <v>218</v>
      </c>
    </row>
    <row r="50" spans="1:5">
      <c r="A50" s="12" t="s">
        <v>65</v>
      </c>
      <c r="B50" s="11">
        <v>1541</v>
      </c>
      <c r="D50" s="10" t="s">
        <v>182</v>
      </c>
      <c r="E50" s="11">
        <v>222</v>
      </c>
    </row>
    <row r="51" spans="1:5">
      <c r="A51" s="12" t="s">
        <v>67</v>
      </c>
      <c r="B51" s="11">
        <v>1692</v>
      </c>
      <c r="D51" s="10" t="s">
        <v>48</v>
      </c>
      <c r="E51" s="11">
        <v>224</v>
      </c>
    </row>
    <row r="52" spans="1:5">
      <c r="A52" s="10" t="s">
        <v>68</v>
      </c>
      <c r="B52" s="11">
        <v>1438</v>
      </c>
      <c r="D52" s="10" t="s">
        <v>76</v>
      </c>
      <c r="E52" s="11">
        <v>226</v>
      </c>
    </row>
    <row r="53" spans="1:5">
      <c r="A53" s="10" t="s">
        <v>69</v>
      </c>
      <c r="B53" s="11">
        <v>1366</v>
      </c>
      <c r="D53" s="10" t="s">
        <v>241</v>
      </c>
      <c r="E53" s="11">
        <v>230</v>
      </c>
    </row>
    <row r="54" spans="1:5">
      <c r="A54" s="12" t="s">
        <v>70</v>
      </c>
      <c r="B54" s="11">
        <v>1023</v>
      </c>
      <c r="D54" s="10" t="s">
        <v>223</v>
      </c>
      <c r="E54" s="11">
        <v>232</v>
      </c>
    </row>
    <row r="55" spans="1:5">
      <c r="A55" s="10" t="s">
        <v>71</v>
      </c>
      <c r="B55" s="10" t="s">
        <v>72</v>
      </c>
      <c r="D55" s="10" t="s">
        <v>245</v>
      </c>
      <c r="E55" s="11">
        <v>233</v>
      </c>
    </row>
    <row r="56" spans="1:5">
      <c r="A56" s="12" t="s">
        <v>73</v>
      </c>
      <c r="B56" s="11">
        <v>58</v>
      </c>
      <c r="D56" s="10" t="s">
        <v>261</v>
      </c>
      <c r="E56" s="11">
        <v>244</v>
      </c>
    </row>
    <row r="57" spans="1:5">
      <c r="A57" s="10" t="s">
        <v>74</v>
      </c>
      <c r="B57" s="11">
        <v>646</v>
      </c>
      <c r="D57" s="10" t="s">
        <v>251</v>
      </c>
      <c r="E57" s="11">
        <v>246</v>
      </c>
    </row>
    <row r="58" spans="1:5">
      <c r="A58" s="10" t="s">
        <v>75</v>
      </c>
      <c r="B58" s="11">
        <v>567</v>
      </c>
      <c r="D58" s="10" t="s">
        <v>445</v>
      </c>
      <c r="E58" s="11">
        <v>256</v>
      </c>
    </row>
    <row r="59" spans="1:5">
      <c r="A59" s="10" t="s">
        <v>76</v>
      </c>
      <c r="B59" s="11">
        <v>226</v>
      </c>
      <c r="D59" s="10" t="s">
        <v>231</v>
      </c>
      <c r="E59" s="11">
        <v>264</v>
      </c>
    </row>
    <row r="60" spans="1:5">
      <c r="A60" s="12" t="s">
        <v>77</v>
      </c>
      <c r="B60" s="11">
        <v>1926</v>
      </c>
      <c r="D60" s="10" t="s">
        <v>254</v>
      </c>
      <c r="E60" s="11">
        <v>269</v>
      </c>
    </row>
    <row r="61" spans="1:5">
      <c r="A61" s="10" t="s">
        <v>78</v>
      </c>
      <c r="B61" s="11">
        <v>1030</v>
      </c>
      <c r="D61" s="10" t="s">
        <v>392</v>
      </c>
      <c r="E61" s="11">
        <v>271</v>
      </c>
    </row>
    <row r="62" spans="1:5">
      <c r="A62" s="12" t="s">
        <v>79</v>
      </c>
      <c r="B62" s="11">
        <v>1871</v>
      </c>
      <c r="D62" s="10" t="s">
        <v>224</v>
      </c>
      <c r="E62" s="11">
        <v>287</v>
      </c>
    </row>
    <row r="63" spans="1:5">
      <c r="A63" s="10" t="s">
        <v>80</v>
      </c>
      <c r="B63" s="11">
        <v>328</v>
      </c>
      <c r="D63" s="12" t="s">
        <v>29</v>
      </c>
      <c r="E63" s="11">
        <v>291</v>
      </c>
    </row>
    <row r="64" spans="1:5">
      <c r="A64" s="10" t="s">
        <v>81</v>
      </c>
      <c r="B64" s="11">
        <v>1978</v>
      </c>
      <c r="D64" s="12" t="s">
        <v>145</v>
      </c>
      <c r="E64" s="11">
        <v>292</v>
      </c>
    </row>
    <row r="65" spans="1:5">
      <c r="A65" s="12" t="s">
        <v>82</v>
      </c>
      <c r="B65" s="11">
        <v>1831</v>
      </c>
      <c r="D65" s="12" t="s">
        <v>345</v>
      </c>
      <c r="E65" s="11">
        <v>293</v>
      </c>
    </row>
    <row r="66" spans="1:5">
      <c r="A66" s="12" t="s">
        <v>83</v>
      </c>
      <c r="B66" s="11">
        <v>1277</v>
      </c>
      <c r="D66" s="12" t="s">
        <v>46</v>
      </c>
      <c r="E66" s="11">
        <v>295</v>
      </c>
    </row>
    <row r="67" spans="1:5">
      <c r="A67" s="12" t="s">
        <v>84</v>
      </c>
      <c r="B67" s="11">
        <v>414</v>
      </c>
      <c r="D67" s="12" t="s">
        <v>312</v>
      </c>
      <c r="E67" s="11">
        <v>301</v>
      </c>
    </row>
    <row r="68" spans="1:5">
      <c r="A68" s="12" t="s">
        <v>85</v>
      </c>
      <c r="B68" s="11">
        <v>1510</v>
      </c>
      <c r="D68" s="10" t="s">
        <v>107</v>
      </c>
      <c r="E68" s="11">
        <v>320</v>
      </c>
    </row>
    <row r="69" spans="1:5">
      <c r="A69" s="10" t="s">
        <v>86</v>
      </c>
      <c r="B69" s="11">
        <v>688</v>
      </c>
      <c r="D69" s="10" t="s">
        <v>80</v>
      </c>
      <c r="E69" s="11">
        <v>328</v>
      </c>
    </row>
    <row r="70" spans="1:5">
      <c r="A70" s="10" t="s">
        <v>87</v>
      </c>
      <c r="B70" s="11">
        <v>620</v>
      </c>
      <c r="D70" s="10" t="s">
        <v>279</v>
      </c>
      <c r="E70" s="11">
        <v>333</v>
      </c>
    </row>
    <row r="71" spans="1:5">
      <c r="A71" s="12" t="s">
        <v>88</v>
      </c>
      <c r="B71" s="11">
        <v>178</v>
      </c>
      <c r="D71" s="12" t="s">
        <v>93</v>
      </c>
      <c r="E71" s="11">
        <v>338</v>
      </c>
    </row>
    <row r="72" spans="1:5">
      <c r="A72" s="10" t="s">
        <v>89</v>
      </c>
      <c r="B72" s="11">
        <v>62</v>
      </c>
      <c r="D72" s="10" t="s">
        <v>191</v>
      </c>
      <c r="E72" s="11">
        <v>344</v>
      </c>
    </row>
    <row r="73" spans="1:5">
      <c r="A73" s="10" t="s">
        <v>90</v>
      </c>
      <c r="B73" s="11">
        <v>1952</v>
      </c>
      <c r="D73" s="12" t="s">
        <v>429</v>
      </c>
      <c r="E73" s="11">
        <v>346</v>
      </c>
    </row>
    <row r="74" spans="1:5">
      <c r="A74" s="12" t="s">
        <v>91</v>
      </c>
      <c r="B74" s="11">
        <v>1511</v>
      </c>
      <c r="D74" s="10" t="s">
        <v>348</v>
      </c>
      <c r="E74" s="11">
        <v>347</v>
      </c>
    </row>
    <row r="75" spans="1:5">
      <c r="A75" s="12" t="s">
        <v>92</v>
      </c>
      <c r="B75" s="11">
        <v>401</v>
      </c>
      <c r="D75" s="10" t="s">
        <v>431</v>
      </c>
      <c r="E75" s="11">
        <v>348</v>
      </c>
    </row>
    <row r="76" spans="1:5">
      <c r="A76" s="12" t="s">
        <v>93</v>
      </c>
      <c r="B76" s="11">
        <v>338</v>
      </c>
      <c r="D76" s="12" t="s">
        <v>436</v>
      </c>
      <c r="E76" s="11">
        <v>352</v>
      </c>
    </row>
    <row r="77" spans="1:5">
      <c r="A77" s="10" t="s">
        <v>94</v>
      </c>
      <c r="B77" s="11">
        <v>69</v>
      </c>
      <c r="D77" s="10" t="s">
        <v>448</v>
      </c>
      <c r="E77" s="11">
        <v>353</v>
      </c>
    </row>
    <row r="78" spans="1:5">
      <c r="A78" s="12" t="s">
        <v>95</v>
      </c>
      <c r="B78" s="11">
        <v>1478</v>
      </c>
      <c r="D78" s="10" t="s">
        <v>452</v>
      </c>
      <c r="E78" s="11">
        <v>357</v>
      </c>
    </row>
    <row r="79" spans="1:5">
      <c r="A79" s="10" t="s">
        <v>96</v>
      </c>
      <c r="B79" s="11">
        <v>766</v>
      </c>
      <c r="D79" s="10" t="s">
        <v>461</v>
      </c>
      <c r="E79" s="11">
        <v>359</v>
      </c>
    </row>
    <row r="80" spans="1:5">
      <c r="A80" s="10" t="s">
        <v>97</v>
      </c>
      <c r="B80" s="11">
        <v>1323</v>
      </c>
      <c r="D80" s="10" t="s">
        <v>162</v>
      </c>
      <c r="E80" s="11">
        <v>362</v>
      </c>
    </row>
    <row r="81" spans="1:5">
      <c r="A81" s="10" t="s">
        <v>98</v>
      </c>
      <c r="B81" s="11">
        <v>1612</v>
      </c>
      <c r="D81" s="12" t="s">
        <v>112</v>
      </c>
      <c r="E81" s="11">
        <v>363</v>
      </c>
    </row>
    <row r="82" spans="1:5">
      <c r="A82" s="12" t="s">
        <v>99</v>
      </c>
      <c r="B82" s="11">
        <v>749</v>
      </c>
      <c r="D82" s="10" t="s">
        <v>179</v>
      </c>
      <c r="E82" s="11">
        <v>380</v>
      </c>
    </row>
    <row r="83" spans="1:5">
      <c r="A83" s="12" t="s">
        <v>100</v>
      </c>
      <c r="B83" s="11">
        <v>1474</v>
      </c>
      <c r="D83" s="12" t="s">
        <v>394</v>
      </c>
      <c r="E83" s="11">
        <v>386</v>
      </c>
    </row>
    <row r="84" spans="1:5">
      <c r="A84" s="10" t="s">
        <v>101</v>
      </c>
      <c r="B84" s="11">
        <v>1508</v>
      </c>
      <c r="D84" s="10" t="s">
        <v>432</v>
      </c>
      <c r="E84" s="11">
        <v>391</v>
      </c>
    </row>
    <row r="85" spans="1:5">
      <c r="A85" s="10" t="s">
        <v>102</v>
      </c>
      <c r="B85" s="11">
        <v>1483</v>
      </c>
      <c r="D85" s="12" t="s">
        <v>92</v>
      </c>
      <c r="E85" s="11">
        <v>401</v>
      </c>
    </row>
    <row r="86" spans="1:5">
      <c r="A86" s="10" t="s">
        <v>103</v>
      </c>
      <c r="B86" s="11">
        <v>96</v>
      </c>
      <c r="D86" s="10" t="s">
        <v>11</v>
      </c>
      <c r="E86" s="11">
        <v>405</v>
      </c>
    </row>
    <row r="87" spans="1:5">
      <c r="A87" s="12" t="s">
        <v>104</v>
      </c>
      <c r="B87" s="11">
        <v>1273</v>
      </c>
      <c r="D87" s="10" t="s">
        <v>225</v>
      </c>
      <c r="E87" s="11">
        <v>407</v>
      </c>
    </row>
    <row r="88" spans="1:5">
      <c r="A88" s="12" t="s">
        <v>105</v>
      </c>
      <c r="B88" s="11">
        <v>157</v>
      </c>
      <c r="D88" s="12" t="s">
        <v>84</v>
      </c>
      <c r="E88" s="11">
        <v>414</v>
      </c>
    </row>
    <row r="89" spans="1:5">
      <c r="A89" s="10" t="s">
        <v>106</v>
      </c>
      <c r="B89" s="11">
        <v>1611</v>
      </c>
      <c r="D89" s="10" t="s">
        <v>244</v>
      </c>
      <c r="E89" s="11">
        <v>415</v>
      </c>
    </row>
    <row r="90" spans="1:5">
      <c r="A90" s="10" t="s">
        <v>107</v>
      </c>
      <c r="B90" s="11">
        <v>320</v>
      </c>
      <c r="D90" s="10" t="s">
        <v>212</v>
      </c>
      <c r="E90" s="11">
        <v>418</v>
      </c>
    </row>
    <row r="91" spans="1:5">
      <c r="A91" s="12" t="s">
        <v>108</v>
      </c>
      <c r="B91" s="11">
        <v>29</v>
      </c>
      <c r="D91" s="10" t="s">
        <v>384</v>
      </c>
      <c r="E91" s="11">
        <v>437</v>
      </c>
    </row>
    <row r="92" spans="1:5">
      <c r="A92" s="12" t="s">
        <v>109</v>
      </c>
      <c r="B92" s="11">
        <v>1662</v>
      </c>
      <c r="D92" s="12" t="s">
        <v>217</v>
      </c>
      <c r="E92" s="11">
        <v>443</v>
      </c>
    </row>
    <row r="93" spans="1:5">
      <c r="A93" s="10" t="s">
        <v>110</v>
      </c>
      <c r="B93" s="11">
        <v>722</v>
      </c>
      <c r="D93" s="10" t="s">
        <v>41</v>
      </c>
      <c r="E93" s="11">
        <v>452</v>
      </c>
    </row>
    <row r="94" spans="1:5">
      <c r="A94" s="10" t="s">
        <v>111</v>
      </c>
      <c r="B94" s="11">
        <v>750</v>
      </c>
      <c r="D94" s="10" t="s">
        <v>439</v>
      </c>
      <c r="E94" s="11">
        <v>468</v>
      </c>
    </row>
    <row r="95" spans="1:5">
      <c r="A95" s="12" t="s">
        <v>112</v>
      </c>
      <c r="B95" s="11">
        <v>363</v>
      </c>
      <c r="D95" s="12" t="s">
        <v>450</v>
      </c>
      <c r="E95" s="11">
        <v>481</v>
      </c>
    </row>
    <row r="96" spans="1:5">
      <c r="A96" s="10" t="s">
        <v>113</v>
      </c>
      <c r="B96" s="11">
        <v>1529</v>
      </c>
      <c r="D96" s="10" t="s">
        <v>250</v>
      </c>
      <c r="E96" s="11">
        <v>492</v>
      </c>
    </row>
    <row r="97" spans="1:5">
      <c r="A97" s="10" t="s">
        <v>114</v>
      </c>
      <c r="B97" s="11">
        <v>725</v>
      </c>
      <c r="D97" s="10" t="s">
        <v>331</v>
      </c>
      <c r="E97" s="11">
        <v>493</v>
      </c>
    </row>
    <row r="98" spans="1:5">
      <c r="A98" s="12" t="s">
        <v>115</v>
      </c>
      <c r="B98" s="11">
        <v>1294</v>
      </c>
      <c r="D98" s="10" t="s">
        <v>406</v>
      </c>
      <c r="E98" s="11">
        <v>494</v>
      </c>
    </row>
    <row r="99" spans="1:5">
      <c r="A99" s="10" t="s">
        <v>116</v>
      </c>
      <c r="B99" s="11">
        <v>726</v>
      </c>
      <c r="D99" s="10" t="s">
        <v>385</v>
      </c>
      <c r="E99" s="11">
        <v>495</v>
      </c>
    </row>
    <row r="100" spans="1:5">
      <c r="A100" s="10" t="s">
        <v>117</v>
      </c>
      <c r="B100" s="11">
        <v>1719</v>
      </c>
      <c r="D100" s="10" t="s">
        <v>374</v>
      </c>
      <c r="E100" s="11">
        <v>496</v>
      </c>
    </row>
    <row r="101" spans="1:5">
      <c r="A101" s="10" t="s">
        <v>118</v>
      </c>
      <c r="B101" s="11">
        <v>57</v>
      </c>
      <c r="D101" s="10" t="s">
        <v>236</v>
      </c>
      <c r="E101" s="11">
        <v>504</v>
      </c>
    </row>
    <row r="102" spans="1:5">
      <c r="A102" s="10" t="s">
        <v>119</v>
      </c>
      <c r="B102" s="11">
        <v>1489</v>
      </c>
      <c r="D102" s="12" t="s">
        <v>295</v>
      </c>
      <c r="E102" s="11">
        <v>512</v>
      </c>
    </row>
    <row r="103" spans="1:5">
      <c r="A103" s="12" t="s">
        <v>120</v>
      </c>
      <c r="B103" s="11">
        <v>66</v>
      </c>
      <c r="D103" s="10" t="s">
        <v>362</v>
      </c>
      <c r="E103" s="11">
        <v>516</v>
      </c>
    </row>
    <row r="104" spans="1:5">
      <c r="A104" s="10" t="s">
        <v>121</v>
      </c>
      <c r="B104" s="11">
        <v>1798</v>
      </c>
      <c r="D104" s="10" t="s">
        <v>238</v>
      </c>
      <c r="E104" s="11">
        <v>518</v>
      </c>
    </row>
    <row r="105" spans="1:5">
      <c r="A105" s="10" t="s">
        <v>122</v>
      </c>
      <c r="B105" s="11">
        <v>1937</v>
      </c>
      <c r="D105" s="10" t="s">
        <v>126</v>
      </c>
      <c r="E105" s="11">
        <v>538</v>
      </c>
    </row>
    <row r="106" spans="1:5">
      <c r="A106" s="10" t="s">
        <v>123</v>
      </c>
      <c r="B106" s="11">
        <v>1587</v>
      </c>
      <c r="D106" s="10" t="s">
        <v>413</v>
      </c>
      <c r="E106" s="11">
        <v>545</v>
      </c>
    </row>
    <row r="107" spans="1:5">
      <c r="A107" s="10" t="s">
        <v>124</v>
      </c>
      <c r="B107" s="11">
        <v>1608</v>
      </c>
      <c r="D107" s="10" t="s">
        <v>239</v>
      </c>
      <c r="E107" s="11">
        <v>549</v>
      </c>
    </row>
    <row r="108" spans="1:5">
      <c r="A108" s="10" t="s">
        <v>125</v>
      </c>
      <c r="B108" s="11">
        <v>1779</v>
      </c>
      <c r="D108" s="10" t="s">
        <v>75</v>
      </c>
      <c r="E108" s="11">
        <v>567</v>
      </c>
    </row>
    <row r="109" spans="1:5">
      <c r="A109" s="10" t="s">
        <v>126</v>
      </c>
      <c r="B109" s="11">
        <v>538</v>
      </c>
      <c r="D109" s="10" t="s">
        <v>209</v>
      </c>
      <c r="E109" s="11">
        <v>568</v>
      </c>
    </row>
    <row r="110" spans="1:5">
      <c r="A110" s="10" t="s">
        <v>127</v>
      </c>
      <c r="B110" s="10" t="s">
        <v>128</v>
      </c>
      <c r="D110" s="10" t="s">
        <v>184</v>
      </c>
      <c r="E110" s="11">
        <v>575</v>
      </c>
    </row>
    <row r="111" spans="1:5">
      <c r="A111" s="10" t="s">
        <v>129</v>
      </c>
      <c r="B111" s="11">
        <v>1783</v>
      </c>
      <c r="D111" s="10" t="s">
        <v>403</v>
      </c>
      <c r="E111" s="11">
        <v>586</v>
      </c>
    </row>
    <row r="112" spans="1:5">
      <c r="A112" s="10" t="s">
        <v>130</v>
      </c>
      <c r="B112" s="11">
        <v>1013</v>
      </c>
      <c r="D112" s="12" t="s">
        <v>290</v>
      </c>
      <c r="E112" s="11">
        <v>587</v>
      </c>
    </row>
    <row r="113" spans="1:5">
      <c r="A113" s="12" t="s">
        <v>131</v>
      </c>
      <c r="B113" s="11">
        <v>710</v>
      </c>
      <c r="D113" s="12" t="s">
        <v>198</v>
      </c>
      <c r="E113" s="11">
        <v>588</v>
      </c>
    </row>
    <row r="114" spans="1:5">
      <c r="A114" s="10" t="s">
        <v>132</v>
      </c>
      <c r="B114" s="11">
        <v>1468</v>
      </c>
      <c r="D114" s="10" t="s">
        <v>170</v>
      </c>
      <c r="E114" s="11">
        <v>614</v>
      </c>
    </row>
    <row r="115" spans="1:5">
      <c r="A115" s="10" t="s">
        <v>133</v>
      </c>
      <c r="B115" s="11">
        <v>1387</v>
      </c>
      <c r="D115" s="10" t="s">
        <v>391</v>
      </c>
      <c r="E115" s="11">
        <v>615</v>
      </c>
    </row>
    <row r="116" spans="1:5">
      <c r="A116" s="12" t="s">
        <v>134</v>
      </c>
      <c r="B116" s="11">
        <v>754</v>
      </c>
      <c r="D116" s="10" t="s">
        <v>87</v>
      </c>
      <c r="E116" s="11">
        <v>620</v>
      </c>
    </row>
    <row r="117" spans="1:5">
      <c r="A117" s="10" t="s">
        <v>135</v>
      </c>
      <c r="B117" s="11">
        <v>1320</v>
      </c>
      <c r="D117" s="10" t="s">
        <v>313</v>
      </c>
      <c r="E117" s="11">
        <v>621</v>
      </c>
    </row>
    <row r="118" spans="1:5">
      <c r="A118" s="10" t="s">
        <v>136</v>
      </c>
      <c r="B118" s="11">
        <v>131</v>
      </c>
      <c r="D118" s="12" t="s">
        <v>273</v>
      </c>
      <c r="E118" s="11">
        <v>624</v>
      </c>
    </row>
    <row r="119" spans="1:5">
      <c r="A119" s="10" t="s">
        <v>137</v>
      </c>
      <c r="B119" s="10" t="s">
        <v>128</v>
      </c>
      <c r="D119" s="10" t="s">
        <v>438</v>
      </c>
      <c r="E119" s="11">
        <v>628</v>
      </c>
    </row>
    <row r="120" spans="1:5">
      <c r="A120" s="10" t="s">
        <v>138</v>
      </c>
      <c r="B120" s="11">
        <v>1973</v>
      </c>
      <c r="D120" s="10" t="s">
        <v>230</v>
      </c>
      <c r="E120" s="11">
        <v>630</v>
      </c>
    </row>
    <row r="121" spans="1:5">
      <c r="A121" s="12" t="s">
        <v>139</v>
      </c>
      <c r="B121" s="11">
        <v>132</v>
      </c>
      <c r="D121" s="10" t="s">
        <v>258</v>
      </c>
      <c r="E121" s="11">
        <v>639</v>
      </c>
    </row>
    <row r="122" spans="1:5">
      <c r="A122" s="12" t="s">
        <v>140</v>
      </c>
      <c r="B122" s="11">
        <v>1873</v>
      </c>
      <c r="D122" s="10" t="s">
        <v>74</v>
      </c>
      <c r="E122" s="11">
        <v>646</v>
      </c>
    </row>
    <row r="123" spans="1:5">
      <c r="A123" s="12" t="s">
        <v>141</v>
      </c>
      <c r="B123" s="11">
        <v>1347</v>
      </c>
      <c r="D123" s="10" t="s">
        <v>280</v>
      </c>
      <c r="E123" s="11">
        <v>649</v>
      </c>
    </row>
    <row r="124" spans="1:5">
      <c r="A124" s="10" t="s">
        <v>142</v>
      </c>
      <c r="B124" s="11">
        <v>1055</v>
      </c>
      <c r="D124" s="10" t="s">
        <v>441</v>
      </c>
      <c r="E124" s="11">
        <v>653</v>
      </c>
    </row>
    <row r="125" spans="1:5">
      <c r="A125" s="10" t="s">
        <v>143</v>
      </c>
      <c r="B125" s="11">
        <v>1411</v>
      </c>
      <c r="D125" s="10" t="s">
        <v>164</v>
      </c>
      <c r="E125" s="11">
        <v>660</v>
      </c>
    </row>
    <row r="126" spans="1:5">
      <c r="A126" s="10" t="s">
        <v>144</v>
      </c>
      <c r="B126" s="11">
        <v>822</v>
      </c>
      <c r="D126" s="10" t="s">
        <v>360</v>
      </c>
      <c r="E126" s="11">
        <v>661</v>
      </c>
    </row>
    <row r="127" spans="1:5">
      <c r="A127" s="12" t="s">
        <v>145</v>
      </c>
      <c r="B127" s="11">
        <v>292</v>
      </c>
      <c r="D127" s="10" t="s">
        <v>400</v>
      </c>
      <c r="E127" s="11">
        <v>663</v>
      </c>
    </row>
    <row r="128" spans="1:5">
      <c r="A128" s="12" t="s">
        <v>146</v>
      </c>
      <c r="B128" s="11">
        <v>218</v>
      </c>
      <c r="D128" s="12" t="s">
        <v>59</v>
      </c>
      <c r="E128" s="11">
        <v>666</v>
      </c>
    </row>
    <row r="129" spans="1:5">
      <c r="A129" s="12" t="s">
        <v>147</v>
      </c>
      <c r="B129" s="11">
        <v>1467</v>
      </c>
      <c r="D129" s="12" t="s">
        <v>49</v>
      </c>
      <c r="E129" s="11">
        <v>675</v>
      </c>
    </row>
    <row r="130" spans="1:5">
      <c r="A130" s="12" t="s">
        <v>148</v>
      </c>
      <c r="B130" s="11">
        <v>1373</v>
      </c>
      <c r="D130" s="10" t="s">
        <v>248</v>
      </c>
      <c r="E130" s="11">
        <v>676</v>
      </c>
    </row>
    <row r="131" spans="1:5">
      <c r="A131" s="10" t="s">
        <v>149</v>
      </c>
      <c r="B131" s="11">
        <v>48</v>
      </c>
      <c r="D131" s="10" t="s">
        <v>193</v>
      </c>
      <c r="E131" s="11">
        <v>677</v>
      </c>
    </row>
    <row r="132" spans="1:5">
      <c r="A132" s="12" t="s">
        <v>150</v>
      </c>
      <c r="B132" s="11">
        <v>1717</v>
      </c>
      <c r="D132" s="10" t="s">
        <v>38</v>
      </c>
      <c r="E132" s="11">
        <v>686</v>
      </c>
    </row>
    <row r="133" spans="1:5">
      <c r="A133" s="12" t="s">
        <v>151</v>
      </c>
      <c r="B133" s="11">
        <v>1786</v>
      </c>
      <c r="D133" s="10" t="s">
        <v>86</v>
      </c>
      <c r="E133" s="11">
        <v>688</v>
      </c>
    </row>
    <row r="134" spans="1:5">
      <c r="A134" s="12" t="s">
        <v>152</v>
      </c>
      <c r="B134" s="11">
        <v>1412</v>
      </c>
      <c r="D134" s="10" t="s">
        <v>62</v>
      </c>
      <c r="E134" s="11">
        <v>691</v>
      </c>
    </row>
    <row r="135" spans="1:5">
      <c r="A135" s="10" t="s">
        <v>154</v>
      </c>
      <c r="B135" s="11">
        <v>136</v>
      </c>
      <c r="D135" s="10" t="s">
        <v>53</v>
      </c>
      <c r="E135" s="11">
        <v>697</v>
      </c>
    </row>
    <row r="136" spans="1:5">
      <c r="A136" s="12" t="s">
        <v>155</v>
      </c>
      <c r="B136" s="11">
        <v>1741</v>
      </c>
      <c r="D136" s="12" t="s">
        <v>357</v>
      </c>
      <c r="E136" s="11">
        <v>702</v>
      </c>
    </row>
    <row r="137" spans="1:5">
      <c r="A137" s="12" t="s">
        <v>156</v>
      </c>
      <c r="B137" s="11">
        <v>137</v>
      </c>
      <c r="D137" s="10" t="s">
        <v>364</v>
      </c>
      <c r="E137" s="11">
        <v>707</v>
      </c>
    </row>
    <row r="138" spans="1:5">
      <c r="A138" s="12" t="s">
        <v>157</v>
      </c>
      <c r="B138" s="11">
        <v>1960</v>
      </c>
      <c r="D138" s="10" t="s">
        <v>237</v>
      </c>
      <c r="E138" s="11">
        <v>708</v>
      </c>
    </row>
    <row r="139" spans="1:5">
      <c r="A139" s="12" t="s">
        <v>158</v>
      </c>
      <c r="B139" s="11">
        <v>1944</v>
      </c>
      <c r="D139" s="12" t="s">
        <v>131</v>
      </c>
      <c r="E139" s="11">
        <v>710</v>
      </c>
    </row>
    <row r="140" spans="1:5">
      <c r="A140" s="10" t="s">
        <v>159</v>
      </c>
      <c r="B140" s="11">
        <v>1594</v>
      </c>
      <c r="D140" s="12" t="s">
        <v>54</v>
      </c>
      <c r="E140" s="11">
        <v>712</v>
      </c>
    </row>
    <row r="141" spans="1:5">
      <c r="A141" s="10" t="s">
        <v>160</v>
      </c>
      <c r="B141" s="11">
        <v>1599</v>
      </c>
      <c r="D141" s="10" t="s">
        <v>381</v>
      </c>
      <c r="E141" s="11">
        <v>721</v>
      </c>
    </row>
    <row r="142" spans="1:5">
      <c r="A142" s="12" t="s">
        <v>161</v>
      </c>
      <c r="B142" s="11">
        <v>1785</v>
      </c>
      <c r="D142" s="10" t="s">
        <v>110</v>
      </c>
      <c r="E142" s="11">
        <v>722</v>
      </c>
    </row>
    <row r="143" spans="1:5">
      <c r="A143" s="10" t="s">
        <v>162</v>
      </c>
      <c r="B143" s="11">
        <v>362</v>
      </c>
      <c r="D143" s="10" t="s">
        <v>114</v>
      </c>
      <c r="E143" s="11">
        <v>725</v>
      </c>
    </row>
    <row r="144" spans="1:5">
      <c r="A144" s="10" t="s">
        <v>163</v>
      </c>
      <c r="B144" s="11">
        <v>93</v>
      </c>
      <c r="D144" s="10" t="s">
        <v>116</v>
      </c>
      <c r="E144" s="11">
        <v>726</v>
      </c>
    </row>
    <row r="145" spans="1:5">
      <c r="A145" s="10" t="s">
        <v>164</v>
      </c>
      <c r="B145" s="11">
        <v>660</v>
      </c>
      <c r="D145" s="12" t="s">
        <v>393</v>
      </c>
      <c r="E145" s="11">
        <v>733</v>
      </c>
    </row>
    <row r="146" spans="1:5">
      <c r="A146" s="10" t="s">
        <v>165</v>
      </c>
      <c r="B146" s="10" t="s">
        <v>128</v>
      </c>
      <c r="D146" s="10" t="s">
        <v>459</v>
      </c>
      <c r="E146" s="11">
        <v>737</v>
      </c>
    </row>
    <row r="147" spans="1:5">
      <c r="A147" s="12" t="s">
        <v>166</v>
      </c>
      <c r="B147" s="11">
        <v>142</v>
      </c>
      <c r="D147" s="10" t="s">
        <v>460</v>
      </c>
      <c r="E147" s="11">
        <v>741</v>
      </c>
    </row>
    <row r="148" spans="1:5">
      <c r="A148" s="12" t="s">
        <v>167</v>
      </c>
      <c r="B148" s="11">
        <v>145</v>
      </c>
      <c r="D148" s="12" t="s">
        <v>33</v>
      </c>
      <c r="E148" s="11">
        <v>745</v>
      </c>
    </row>
    <row r="149" spans="1:5">
      <c r="A149" s="12" t="s">
        <v>168</v>
      </c>
      <c r="B149" s="11">
        <v>1866</v>
      </c>
      <c r="D149" s="12" t="s">
        <v>37</v>
      </c>
      <c r="E149" s="11">
        <v>746</v>
      </c>
    </row>
    <row r="150" spans="1:5">
      <c r="A150" s="12" t="s">
        <v>169</v>
      </c>
      <c r="B150" s="11">
        <v>1575</v>
      </c>
      <c r="D150" s="10" t="s">
        <v>26</v>
      </c>
      <c r="E150" s="11">
        <v>748</v>
      </c>
    </row>
    <row r="151" spans="1:5">
      <c r="A151" s="10" t="s">
        <v>170</v>
      </c>
      <c r="B151" s="11">
        <v>614</v>
      </c>
      <c r="D151" s="12" t="s">
        <v>99</v>
      </c>
      <c r="E151" s="11">
        <v>749</v>
      </c>
    </row>
    <row r="152" spans="1:5">
      <c r="A152" s="10" t="s">
        <v>171</v>
      </c>
      <c r="B152" s="11">
        <v>1124</v>
      </c>
      <c r="D152" s="10" t="s">
        <v>111</v>
      </c>
      <c r="E152" s="11">
        <v>750</v>
      </c>
    </row>
    <row r="153" spans="1:5">
      <c r="A153" s="12" t="s">
        <v>172</v>
      </c>
      <c r="B153" s="11">
        <v>1875</v>
      </c>
      <c r="D153" s="12" t="s">
        <v>134</v>
      </c>
      <c r="E153" s="11">
        <v>754</v>
      </c>
    </row>
    <row r="154" spans="1:5">
      <c r="A154" s="10" t="s">
        <v>173</v>
      </c>
      <c r="B154" s="11">
        <v>1396</v>
      </c>
      <c r="D154" s="10" t="s">
        <v>315</v>
      </c>
      <c r="E154" s="11">
        <v>758</v>
      </c>
    </row>
    <row r="155" spans="1:5">
      <c r="A155" s="12" t="s">
        <v>174</v>
      </c>
      <c r="B155" s="11">
        <v>1143</v>
      </c>
      <c r="D155" s="12" t="s">
        <v>189</v>
      </c>
      <c r="E155" s="11">
        <v>759</v>
      </c>
    </row>
    <row r="156" spans="1:5">
      <c r="A156" s="10" t="s">
        <v>175</v>
      </c>
      <c r="B156" s="11">
        <v>21</v>
      </c>
      <c r="D156" s="12" t="s">
        <v>195</v>
      </c>
      <c r="E156" s="11">
        <v>761</v>
      </c>
    </row>
    <row r="157" spans="1:5">
      <c r="A157" s="10" t="s">
        <v>176</v>
      </c>
      <c r="B157" s="11">
        <v>1568</v>
      </c>
      <c r="D157" s="10" t="s">
        <v>200</v>
      </c>
      <c r="E157" s="11">
        <v>762</v>
      </c>
    </row>
    <row r="158" spans="1:5">
      <c r="A158" s="12" t="s">
        <v>177</v>
      </c>
      <c r="B158" s="11">
        <v>1542</v>
      </c>
      <c r="D158" s="10" t="s">
        <v>205</v>
      </c>
      <c r="E158" s="11">
        <v>765</v>
      </c>
    </row>
    <row r="159" spans="1:5">
      <c r="A159" s="12" t="s">
        <v>178</v>
      </c>
      <c r="B159" s="11">
        <v>1939</v>
      </c>
      <c r="D159" s="10" t="s">
        <v>96</v>
      </c>
      <c r="E159" s="11">
        <v>766</v>
      </c>
    </row>
    <row r="160" spans="1:5">
      <c r="A160" s="10" t="s">
        <v>179</v>
      </c>
      <c r="B160" s="11">
        <v>380</v>
      </c>
      <c r="D160" s="10" t="s">
        <v>36</v>
      </c>
      <c r="E160" s="11">
        <v>767</v>
      </c>
    </row>
    <row r="161" spans="1:5">
      <c r="A161" s="12" t="s">
        <v>180</v>
      </c>
      <c r="B161" s="11">
        <v>159</v>
      </c>
      <c r="D161" s="12" t="s">
        <v>276</v>
      </c>
      <c r="E161" s="11">
        <v>768</v>
      </c>
    </row>
    <row r="162" spans="1:5">
      <c r="A162" s="12" t="s">
        <v>181</v>
      </c>
      <c r="B162" s="11">
        <v>1797</v>
      </c>
      <c r="D162" s="10" t="s">
        <v>24</v>
      </c>
      <c r="E162" s="11">
        <v>769</v>
      </c>
    </row>
    <row r="163" spans="1:5">
      <c r="A163" s="10" t="s">
        <v>182</v>
      </c>
      <c r="B163" s="11">
        <v>222</v>
      </c>
      <c r="D163" s="10" t="s">
        <v>292</v>
      </c>
      <c r="E163" s="11">
        <v>770</v>
      </c>
    </row>
    <row r="164" spans="1:5">
      <c r="A164" s="10" t="s">
        <v>183</v>
      </c>
      <c r="B164" s="11">
        <v>1079</v>
      </c>
      <c r="D164" s="10" t="s">
        <v>389</v>
      </c>
      <c r="E164" s="11">
        <v>773</v>
      </c>
    </row>
    <row r="165" spans="1:5">
      <c r="A165" s="10" t="s">
        <v>184</v>
      </c>
      <c r="B165" s="11">
        <v>575</v>
      </c>
      <c r="D165" s="10" t="s">
        <v>402</v>
      </c>
      <c r="E165" s="11">
        <v>776</v>
      </c>
    </row>
    <row r="166" spans="1:5">
      <c r="A166" s="10" t="s">
        <v>185</v>
      </c>
      <c r="B166" s="11">
        <v>163</v>
      </c>
      <c r="D166" s="10" t="s">
        <v>447</v>
      </c>
      <c r="E166" s="11">
        <v>779</v>
      </c>
    </row>
    <row r="167" spans="1:5">
      <c r="A167" s="12" t="s">
        <v>186</v>
      </c>
      <c r="B167" s="11">
        <v>1940</v>
      </c>
      <c r="D167" s="10" t="s">
        <v>424</v>
      </c>
      <c r="E167" s="11">
        <v>782</v>
      </c>
    </row>
    <row r="168" spans="1:5">
      <c r="A168" s="12" t="s">
        <v>187</v>
      </c>
      <c r="B168" s="11">
        <v>164</v>
      </c>
      <c r="D168" s="10" t="s">
        <v>194</v>
      </c>
      <c r="E168" s="11">
        <v>784</v>
      </c>
    </row>
    <row r="169" spans="1:5">
      <c r="A169" s="12" t="s">
        <v>188</v>
      </c>
      <c r="B169" s="11">
        <v>1574</v>
      </c>
      <c r="D169" s="10" t="s">
        <v>435</v>
      </c>
      <c r="E169" s="11">
        <v>821</v>
      </c>
    </row>
    <row r="170" spans="1:5">
      <c r="A170" s="12" t="s">
        <v>189</v>
      </c>
      <c r="B170" s="11">
        <v>759</v>
      </c>
      <c r="D170" s="10" t="s">
        <v>144</v>
      </c>
      <c r="E170" s="11">
        <v>822</v>
      </c>
    </row>
    <row r="171" spans="1:5">
      <c r="A171" s="10" t="s">
        <v>190</v>
      </c>
      <c r="B171" s="11">
        <v>6</v>
      </c>
      <c r="D171" s="10" t="s">
        <v>7</v>
      </c>
      <c r="E171" s="11">
        <v>824</v>
      </c>
    </row>
    <row r="172" spans="1:5">
      <c r="A172" s="10" t="s">
        <v>191</v>
      </c>
      <c r="B172" s="11">
        <v>344</v>
      </c>
      <c r="D172" s="10" t="s">
        <v>323</v>
      </c>
      <c r="E172" s="11">
        <v>831</v>
      </c>
    </row>
    <row r="173" spans="1:5">
      <c r="A173" s="12" t="s">
        <v>192</v>
      </c>
      <c r="B173" s="11">
        <v>1579</v>
      </c>
      <c r="D173" s="10" t="s">
        <v>382</v>
      </c>
      <c r="E173" s="11">
        <v>833</v>
      </c>
    </row>
    <row r="174" spans="1:5">
      <c r="A174" s="10" t="s">
        <v>193</v>
      </c>
      <c r="B174" s="11">
        <v>677</v>
      </c>
      <c r="D174" s="10" t="s">
        <v>219</v>
      </c>
      <c r="E174" s="11">
        <v>899</v>
      </c>
    </row>
    <row r="175" spans="1:5">
      <c r="A175" s="10" t="s">
        <v>194</v>
      </c>
      <c r="B175" s="11">
        <v>784</v>
      </c>
      <c r="D175" s="10" t="s">
        <v>428</v>
      </c>
      <c r="E175" s="11">
        <v>1000</v>
      </c>
    </row>
    <row r="176" spans="1:5">
      <c r="A176" s="12" t="s">
        <v>195</v>
      </c>
      <c r="B176" s="11">
        <v>761</v>
      </c>
      <c r="D176" s="10" t="s">
        <v>433</v>
      </c>
      <c r="E176" s="11">
        <v>1008</v>
      </c>
    </row>
    <row r="177" spans="1:5">
      <c r="A177" s="10" t="s">
        <v>196</v>
      </c>
      <c r="B177" s="11">
        <v>197</v>
      </c>
      <c r="D177" s="10" t="s">
        <v>380</v>
      </c>
      <c r="E177" s="11">
        <v>1012</v>
      </c>
    </row>
    <row r="178" spans="1:5">
      <c r="A178" s="10" t="s">
        <v>197</v>
      </c>
      <c r="B178" s="11">
        <v>1850</v>
      </c>
      <c r="D178" s="10" t="s">
        <v>130</v>
      </c>
      <c r="E178" s="11">
        <v>1013</v>
      </c>
    </row>
    <row r="179" spans="1:5">
      <c r="A179" s="12" t="s">
        <v>198</v>
      </c>
      <c r="B179" s="11">
        <v>588</v>
      </c>
      <c r="D179" s="12" t="s">
        <v>70</v>
      </c>
      <c r="E179" s="11">
        <v>1023</v>
      </c>
    </row>
    <row r="180" spans="1:5">
      <c r="A180" s="12" t="s">
        <v>199</v>
      </c>
      <c r="B180" s="11">
        <v>1949</v>
      </c>
      <c r="D180" s="10" t="s">
        <v>78</v>
      </c>
      <c r="E180" s="11">
        <v>1030</v>
      </c>
    </row>
    <row r="181" spans="1:5">
      <c r="A181" s="10" t="s">
        <v>200</v>
      </c>
      <c r="B181" s="11">
        <v>762</v>
      </c>
      <c r="D181" s="10" t="s">
        <v>246</v>
      </c>
      <c r="E181" s="11">
        <v>1042</v>
      </c>
    </row>
    <row r="182" spans="1:5">
      <c r="A182" s="12" t="s">
        <v>201</v>
      </c>
      <c r="B182" s="11">
        <v>1801</v>
      </c>
      <c r="D182" s="10" t="s">
        <v>443</v>
      </c>
      <c r="E182" s="11">
        <v>1044</v>
      </c>
    </row>
    <row r="183" spans="1:5">
      <c r="A183" s="10" t="s">
        <v>202</v>
      </c>
      <c r="B183" s="11">
        <v>1899</v>
      </c>
      <c r="D183" s="10" t="s">
        <v>14</v>
      </c>
      <c r="E183" s="11">
        <v>1054</v>
      </c>
    </row>
    <row r="184" spans="1:5">
      <c r="A184" s="10" t="s">
        <v>203</v>
      </c>
      <c r="B184" s="11">
        <v>72</v>
      </c>
      <c r="D184" s="10" t="s">
        <v>142</v>
      </c>
      <c r="E184" s="11">
        <v>1055</v>
      </c>
    </row>
    <row r="185" spans="1:5">
      <c r="A185" s="12" t="s">
        <v>204</v>
      </c>
      <c r="B185" s="11">
        <v>53</v>
      </c>
      <c r="D185" s="10" t="s">
        <v>45</v>
      </c>
      <c r="E185" s="11">
        <v>1057</v>
      </c>
    </row>
    <row r="186" spans="1:5">
      <c r="A186" s="10" t="s">
        <v>205</v>
      </c>
      <c r="B186" s="11">
        <v>765</v>
      </c>
      <c r="D186" s="10" t="s">
        <v>56</v>
      </c>
      <c r="E186" s="11">
        <v>1061</v>
      </c>
    </row>
    <row r="187" spans="1:5">
      <c r="A187" s="10" t="s">
        <v>206</v>
      </c>
      <c r="B187" s="11">
        <v>1492</v>
      </c>
      <c r="D187" s="12" t="s">
        <v>249</v>
      </c>
      <c r="E187" s="11">
        <v>1063</v>
      </c>
    </row>
    <row r="188" spans="1:5">
      <c r="A188" s="10" t="s">
        <v>207</v>
      </c>
      <c r="B188" s="11">
        <v>1817</v>
      </c>
      <c r="D188" s="10" t="s">
        <v>412</v>
      </c>
      <c r="E188" s="11">
        <v>1078</v>
      </c>
    </row>
    <row r="189" spans="1:5">
      <c r="A189" s="12" t="s">
        <v>208</v>
      </c>
      <c r="B189" s="11">
        <v>1759</v>
      </c>
      <c r="D189" s="10" t="s">
        <v>183</v>
      </c>
      <c r="E189" s="11">
        <v>1079</v>
      </c>
    </row>
    <row r="190" spans="1:5">
      <c r="A190" s="10" t="s">
        <v>209</v>
      </c>
      <c r="B190" s="11">
        <v>568</v>
      </c>
      <c r="D190" s="10" t="s">
        <v>457</v>
      </c>
      <c r="E190" s="11">
        <v>1084</v>
      </c>
    </row>
    <row r="191" spans="1:5">
      <c r="A191" s="10" t="s">
        <v>210</v>
      </c>
      <c r="B191" s="11">
        <v>52</v>
      </c>
      <c r="D191" s="10" t="s">
        <v>442</v>
      </c>
      <c r="E191" s="11">
        <v>1091</v>
      </c>
    </row>
    <row r="192" spans="1:5">
      <c r="A192" s="12" t="s">
        <v>211</v>
      </c>
      <c r="B192" s="11">
        <v>1278</v>
      </c>
      <c r="D192" s="10" t="s">
        <v>31</v>
      </c>
      <c r="E192" s="11">
        <v>1103</v>
      </c>
    </row>
    <row r="193" spans="1:5">
      <c r="A193" s="10" t="s">
        <v>212</v>
      </c>
      <c r="B193" s="11">
        <v>418</v>
      </c>
      <c r="D193" s="10" t="s">
        <v>57</v>
      </c>
      <c r="E193" s="11">
        <v>1108</v>
      </c>
    </row>
    <row r="194" spans="1:5">
      <c r="A194" s="10" t="s">
        <v>213</v>
      </c>
      <c r="B194" s="11">
        <v>1253</v>
      </c>
      <c r="D194" s="10" t="s">
        <v>304</v>
      </c>
      <c r="E194" s="11">
        <v>1109</v>
      </c>
    </row>
    <row r="195" spans="1:5">
      <c r="A195" s="12" t="s">
        <v>214</v>
      </c>
      <c r="B195" s="11">
        <v>1592</v>
      </c>
      <c r="D195" s="10" t="s">
        <v>365</v>
      </c>
      <c r="E195" s="11">
        <v>1121</v>
      </c>
    </row>
    <row r="196" spans="1:5">
      <c r="A196" s="12" t="s">
        <v>215</v>
      </c>
      <c r="B196" s="11">
        <v>1125</v>
      </c>
      <c r="D196" s="10" t="s">
        <v>171</v>
      </c>
      <c r="E196" s="11">
        <v>1124</v>
      </c>
    </row>
    <row r="197" spans="1:5">
      <c r="A197" s="10" t="s">
        <v>216</v>
      </c>
      <c r="B197" s="11">
        <v>1439</v>
      </c>
      <c r="D197" s="12" t="s">
        <v>215</v>
      </c>
      <c r="E197" s="11">
        <v>1125</v>
      </c>
    </row>
    <row r="198" spans="1:5">
      <c r="A198" s="12" t="s">
        <v>217</v>
      </c>
      <c r="B198" s="11">
        <v>443</v>
      </c>
      <c r="D198" s="10" t="s">
        <v>25</v>
      </c>
      <c r="E198" s="11">
        <v>1132</v>
      </c>
    </row>
    <row r="199" spans="1:5">
      <c r="A199" s="10" t="s">
        <v>218</v>
      </c>
      <c r="B199" s="11">
        <v>1888</v>
      </c>
      <c r="D199" s="10" t="s">
        <v>405</v>
      </c>
      <c r="E199" s="11">
        <v>1141</v>
      </c>
    </row>
    <row r="200" spans="1:5">
      <c r="A200" s="10" t="s">
        <v>219</v>
      </c>
      <c r="B200" s="11">
        <v>899</v>
      </c>
      <c r="D200" s="12" t="s">
        <v>174</v>
      </c>
      <c r="E200" s="11">
        <v>1143</v>
      </c>
    </row>
    <row r="201" spans="1:5">
      <c r="A201" s="10" t="s">
        <v>220</v>
      </c>
      <c r="B201" s="11">
        <v>1334</v>
      </c>
      <c r="D201" s="10" t="s">
        <v>44</v>
      </c>
      <c r="E201" s="11">
        <v>1149</v>
      </c>
    </row>
    <row r="202" spans="1:5">
      <c r="A202" s="10" t="s">
        <v>221</v>
      </c>
      <c r="B202" s="11">
        <v>1150</v>
      </c>
      <c r="D202" s="10" t="s">
        <v>221</v>
      </c>
      <c r="E202" s="11">
        <v>1150</v>
      </c>
    </row>
    <row r="203" spans="1:5">
      <c r="A203" s="10" t="s">
        <v>222</v>
      </c>
      <c r="B203" s="11">
        <v>1251</v>
      </c>
      <c r="D203" s="12" t="s">
        <v>52</v>
      </c>
      <c r="E203" s="11">
        <v>1155</v>
      </c>
    </row>
    <row r="204" spans="1:5">
      <c r="A204" s="10" t="s">
        <v>223</v>
      </c>
      <c r="B204" s="11">
        <v>232</v>
      </c>
      <c r="D204" s="10" t="s">
        <v>449</v>
      </c>
      <c r="E204" s="11">
        <v>1157</v>
      </c>
    </row>
    <row r="205" spans="1:5">
      <c r="A205" s="10" t="s">
        <v>224</v>
      </c>
      <c r="B205" s="11">
        <v>287</v>
      </c>
      <c r="D205" s="12" t="s">
        <v>306</v>
      </c>
      <c r="E205" s="11">
        <v>1169</v>
      </c>
    </row>
    <row r="206" spans="1:5">
      <c r="A206" s="10" t="s">
        <v>225</v>
      </c>
      <c r="B206" s="11">
        <v>407</v>
      </c>
      <c r="D206" s="10" t="s">
        <v>232</v>
      </c>
      <c r="E206" s="11">
        <v>1184</v>
      </c>
    </row>
    <row r="207" spans="1:5">
      <c r="A207" s="10" t="s">
        <v>226</v>
      </c>
      <c r="B207" s="11">
        <v>84</v>
      </c>
      <c r="D207" s="10" t="s">
        <v>262</v>
      </c>
      <c r="E207" s="11">
        <v>1186</v>
      </c>
    </row>
    <row r="208" spans="1:5">
      <c r="A208" s="10" t="s">
        <v>227</v>
      </c>
      <c r="B208" s="11">
        <v>1459</v>
      </c>
      <c r="D208" s="10" t="s">
        <v>270</v>
      </c>
      <c r="E208" s="11">
        <v>1190</v>
      </c>
    </row>
    <row r="209" spans="1:5">
      <c r="A209" s="10" t="s">
        <v>228</v>
      </c>
      <c r="B209" s="11">
        <v>1432</v>
      </c>
      <c r="D209" s="10" t="s">
        <v>462</v>
      </c>
      <c r="E209" s="11">
        <v>1191</v>
      </c>
    </row>
    <row r="210" spans="1:5">
      <c r="A210" s="10" t="s">
        <v>229</v>
      </c>
      <c r="B210" s="11">
        <v>217</v>
      </c>
      <c r="D210" s="10" t="s">
        <v>451</v>
      </c>
      <c r="E210" s="11">
        <v>1193</v>
      </c>
    </row>
    <row r="211" spans="1:5">
      <c r="A211" s="10" t="s">
        <v>230</v>
      </c>
      <c r="B211" s="11">
        <v>630</v>
      </c>
      <c r="D211" s="10" t="s">
        <v>15</v>
      </c>
      <c r="E211" s="11">
        <v>1203</v>
      </c>
    </row>
    <row r="212" spans="1:5">
      <c r="A212" s="10" t="s">
        <v>231</v>
      </c>
      <c r="B212" s="11">
        <v>264</v>
      </c>
      <c r="D212" s="10" t="s">
        <v>269</v>
      </c>
      <c r="E212" s="11">
        <v>1205</v>
      </c>
    </row>
    <row r="213" spans="1:5">
      <c r="A213" s="10" t="s">
        <v>232</v>
      </c>
      <c r="B213" s="11">
        <v>1184</v>
      </c>
      <c r="D213" s="10" t="s">
        <v>263</v>
      </c>
      <c r="E213" s="11">
        <v>1220</v>
      </c>
    </row>
    <row r="214" spans="1:5">
      <c r="A214" s="10" t="s">
        <v>233</v>
      </c>
      <c r="B214" s="11">
        <v>1906</v>
      </c>
      <c r="D214" s="10" t="s">
        <v>409</v>
      </c>
      <c r="E214" s="11">
        <v>1231</v>
      </c>
    </row>
    <row r="215" spans="1:5">
      <c r="A215" s="10" t="s">
        <v>234</v>
      </c>
      <c r="B215" s="11">
        <v>1490</v>
      </c>
      <c r="D215" s="12" t="s">
        <v>368</v>
      </c>
      <c r="E215" s="11">
        <v>1237</v>
      </c>
    </row>
    <row r="216" spans="1:5">
      <c r="A216" s="10" t="s">
        <v>235</v>
      </c>
      <c r="B216" s="11">
        <v>1938</v>
      </c>
      <c r="D216" s="10" t="s">
        <v>427</v>
      </c>
      <c r="E216" s="11">
        <v>1239</v>
      </c>
    </row>
    <row r="217" spans="1:5">
      <c r="A217" s="10" t="s">
        <v>236</v>
      </c>
      <c r="B217" s="11">
        <v>504</v>
      </c>
      <c r="D217" s="10" t="s">
        <v>222</v>
      </c>
      <c r="E217" s="11">
        <v>1251</v>
      </c>
    </row>
    <row r="218" spans="1:5">
      <c r="A218" s="10" t="s">
        <v>237</v>
      </c>
      <c r="B218" s="11">
        <v>708</v>
      </c>
      <c r="D218" s="10" t="s">
        <v>213</v>
      </c>
      <c r="E218" s="11">
        <v>1253</v>
      </c>
    </row>
    <row r="219" spans="1:5">
      <c r="A219" s="10" t="s">
        <v>238</v>
      </c>
      <c r="B219" s="11">
        <v>518</v>
      </c>
      <c r="D219" s="12" t="s">
        <v>434</v>
      </c>
      <c r="E219" s="11">
        <v>1256</v>
      </c>
    </row>
    <row r="220" spans="1:5">
      <c r="A220" s="10" t="s">
        <v>239</v>
      </c>
      <c r="B220" s="11">
        <v>549</v>
      </c>
      <c r="D220" s="12" t="s">
        <v>104</v>
      </c>
      <c r="E220" s="11">
        <v>1273</v>
      </c>
    </row>
    <row r="221" spans="1:5">
      <c r="A221" s="12" t="s">
        <v>240</v>
      </c>
      <c r="B221" s="11">
        <v>1742</v>
      </c>
      <c r="D221" s="10" t="s">
        <v>386</v>
      </c>
      <c r="E221" s="11">
        <v>1274</v>
      </c>
    </row>
    <row r="222" spans="1:5">
      <c r="A222" s="10" t="s">
        <v>241</v>
      </c>
      <c r="B222" s="11">
        <v>230</v>
      </c>
      <c r="D222" s="12" t="s">
        <v>83</v>
      </c>
      <c r="E222" s="11">
        <v>1277</v>
      </c>
    </row>
    <row r="223" spans="1:5">
      <c r="A223" s="10" t="s">
        <v>242</v>
      </c>
      <c r="B223" s="11">
        <v>1834</v>
      </c>
      <c r="D223" s="12" t="s">
        <v>211</v>
      </c>
      <c r="E223" s="11">
        <v>1278</v>
      </c>
    </row>
    <row r="224" spans="1:5">
      <c r="A224" s="10" t="s">
        <v>243</v>
      </c>
      <c r="B224" s="11">
        <v>1897</v>
      </c>
      <c r="D224" s="12" t="s">
        <v>278</v>
      </c>
      <c r="E224" s="11">
        <v>1292</v>
      </c>
    </row>
    <row r="225" spans="1:5">
      <c r="A225" s="10" t="s">
        <v>244</v>
      </c>
      <c r="B225" s="11">
        <v>415</v>
      </c>
      <c r="D225" s="12" t="s">
        <v>115</v>
      </c>
      <c r="E225" s="11">
        <v>1294</v>
      </c>
    </row>
    <row r="226" spans="1:5">
      <c r="A226" s="10" t="s">
        <v>245</v>
      </c>
      <c r="B226" s="11">
        <v>233</v>
      </c>
      <c r="D226" s="10" t="s">
        <v>399</v>
      </c>
      <c r="E226" s="11">
        <v>1306</v>
      </c>
    </row>
    <row r="227" spans="1:5">
      <c r="A227" s="10" t="s">
        <v>246</v>
      </c>
      <c r="B227" s="11">
        <v>1042</v>
      </c>
      <c r="D227" s="12" t="s">
        <v>9</v>
      </c>
      <c r="E227" s="11">
        <v>1312</v>
      </c>
    </row>
    <row r="228" spans="1:5">
      <c r="A228" s="12" t="s">
        <v>247</v>
      </c>
      <c r="B228" s="11">
        <v>1832</v>
      </c>
      <c r="D228" s="10" t="s">
        <v>440</v>
      </c>
      <c r="E228" s="11">
        <v>1318</v>
      </c>
    </row>
    <row r="229" spans="1:5">
      <c r="A229" s="10" t="s">
        <v>248</v>
      </c>
      <c r="B229" s="11">
        <v>676</v>
      </c>
      <c r="D229" s="10" t="s">
        <v>299</v>
      </c>
      <c r="E229" s="11">
        <v>1319</v>
      </c>
    </row>
    <row r="230" spans="1:5">
      <c r="A230" s="12" t="s">
        <v>249</v>
      </c>
      <c r="B230" s="11">
        <v>1063</v>
      </c>
      <c r="D230" s="10" t="s">
        <v>135</v>
      </c>
      <c r="E230" s="11">
        <v>1320</v>
      </c>
    </row>
    <row r="231" spans="1:5">
      <c r="A231" s="10" t="s">
        <v>250</v>
      </c>
      <c r="B231" s="11">
        <v>492</v>
      </c>
      <c r="D231" s="10" t="s">
        <v>97</v>
      </c>
      <c r="E231" s="11">
        <v>1323</v>
      </c>
    </row>
    <row r="232" spans="1:5">
      <c r="A232" s="10" t="s">
        <v>251</v>
      </c>
      <c r="B232" s="11">
        <v>246</v>
      </c>
      <c r="D232" s="12" t="s">
        <v>316</v>
      </c>
      <c r="E232" s="11">
        <v>1324</v>
      </c>
    </row>
    <row r="233" spans="1:5">
      <c r="A233" s="10" t="s">
        <v>252</v>
      </c>
      <c r="B233" s="11">
        <v>1495</v>
      </c>
      <c r="D233" s="10" t="s">
        <v>259</v>
      </c>
      <c r="E233" s="11">
        <v>1328</v>
      </c>
    </row>
    <row r="234" spans="1:5">
      <c r="A234" s="10" t="s">
        <v>253</v>
      </c>
      <c r="B234" s="11">
        <v>1659</v>
      </c>
      <c r="D234" s="10" t="s">
        <v>220</v>
      </c>
      <c r="E234" s="11">
        <v>1334</v>
      </c>
    </row>
    <row r="235" spans="1:5">
      <c r="A235" s="10" t="s">
        <v>254</v>
      </c>
      <c r="B235" s="11">
        <v>269</v>
      </c>
      <c r="D235" s="12" t="s">
        <v>141</v>
      </c>
      <c r="E235" s="11">
        <v>1347</v>
      </c>
    </row>
    <row r="236" spans="1:5">
      <c r="A236" s="10" t="s">
        <v>255</v>
      </c>
      <c r="B236" s="11">
        <v>1953</v>
      </c>
      <c r="D236" s="10" t="s">
        <v>416</v>
      </c>
      <c r="E236" s="11">
        <v>1355</v>
      </c>
    </row>
    <row r="237" spans="1:5">
      <c r="A237" s="10" t="s">
        <v>256</v>
      </c>
      <c r="B237" s="11">
        <v>1656</v>
      </c>
      <c r="D237" s="10" t="s">
        <v>69</v>
      </c>
      <c r="E237" s="11">
        <v>1366</v>
      </c>
    </row>
    <row r="238" spans="1:5">
      <c r="A238" s="10" t="s">
        <v>257</v>
      </c>
      <c r="B238" s="11">
        <v>128</v>
      </c>
      <c r="D238" s="10" t="s">
        <v>16</v>
      </c>
      <c r="E238" s="11">
        <v>1369</v>
      </c>
    </row>
    <row r="239" spans="1:5">
      <c r="A239" s="10" t="s">
        <v>258</v>
      </c>
      <c r="B239" s="11">
        <v>639</v>
      </c>
      <c r="D239" s="12" t="s">
        <v>148</v>
      </c>
      <c r="E239" s="11">
        <v>1373</v>
      </c>
    </row>
    <row r="240" spans="1:5">
      <c r="A240" s="10" t="s">
        <v>259</v>
      </c>
      <c r="B240" s="11">
        <v>1328</v>
      </c>
      <c r="D240" s="10" t="s">
        <v>133</v>
      </c>
      <c r="E240" s="11">
        <v>1387</v>
      </c>
    </row>
    <row r="241" spans="1:5">
      <c r="A241" s="10" t="s">
        <v>260</v>
      </c>
      <c r="B241" s="11">
        <v>1827</v>
      </c>
      <c r="D241" s="12" t="s">
        <v>369</v>
      </c>
      <c r="E241" s="11">
        <v>1391</v>
      </c>
    </row>
    <row r="242" spans="1:5">
      <c r="A242" s="10" t="s">
        <v>261</v>
      </c>
      <c r="B242" s="11">
        <v>244</v>
      </c>
      <c r="D242" s="10" t="s">
        <v>282</v>
      </c>
      <c r="E242" s="11">
        <v>1393</v>
      </c>
    </row>
    <row r="243" spans="1:5">
      <c r="A243" s="10" t="s">
        <v>262</v>
      </c>
      <c r="B243" s="11">
        <v>1186</v>
      </c>
      <c r="D243" s="10" t="s">
        <v>173</v>
      </c>
      <c r="E243" s="11">
        <v>1396</v>
      </c>
    </row>
    <row r="244" spans="1:5">
      <c r="A244" s="10" t="s">
        <v>263</v>
      </c>
      <c r="B244" s="11">
        <v>1220</v>
      </c>
      <c r="D244" s="10" t="s">
        <v>266</v>
      </c>
      <c r="E244" s="11">
        <v>1399</v>
      </c>
    </row>
    <row r="245" spans="1:5">
      <c r="A245" s="12" t="s">
        <v>264</v>
      </c>
      <c r="B245" s="11">
        <v>1437</v>
      </c>
      <c r="D245" s="12" t="s">
        <v>47</v>
      </c>
      <c r="E245" s="11">
        <v>1410</v>
      </c>
    </row>
    <row r="246" spans="1:5">
      <c r="A246" s="12" t="s">
        <v>265</v>
      </c>
      <c r="B246" s="11">
        <v>1882</v>
      </c>
      <c r="D246" s="10" t="s">
        <v>143</v>
      </c>
      <c r="E246" s="11">
        <v>1411</v>
      </c>
    </row>
    <row r="247" spans="1:5">
      <c r="A247" s="10" t="s">
        <v>266</v>
      </c>
      <c r="B247" s="11">
        <v>1399</v>
      </c>
      <c r="D247" s="12" t="s">
        <v>152</v>
      </c>
      <c r="E247" s="11">
        <v>1412</v>
      </c>
    </row>
    <row r="248" spans="1:5">
      <c r="A248" s="12" t="s">
        <v>267</v>
      </c>
      <c r="B248" s="11">
        <v>1593</v>
      </c>
      <c r="D248" s="12" t="s">
        <v>388</v>
      </c>
      <c r="E248" s="11">
        <v>1415</v>
      </c>
    </row>
    <row r="249" spans="1:5">
      <c r="A249" s="12" t="s">
        <v>268</v>
      </c>
      <c r="B249" s="11">
        <v>1514</v>
      </c>
      <c r="D249" s="10" t="s">
        <v>458</v>
      </c>
      <c r="E249" s="11">
        <v>1416</v>
      </c>
    </row>
    <row r="250" spans="1:5">
      <c r="A250" s="10" t="s">
        <v>269</v>
      </c>
      <c r="B250" s="11">
        <v>1205</v>
      </c>
      <c r="D250" s="10" t="s">
        <v>373</v>
      </c>
      <c r="E250" s="11">
        <v>1424</v>
      </c>
    </row>
    <row r="251" spans="1:5">
      <c r="A251" s="10" t="s">
        <v>270</v>
      </c>
      <c r="B251" s="11">
        <v>1190</v>
      </c>
      <c r="D251" s="10" t="s">
        <v>425</v>
      </c>
      <c r="E251" s="11">
        <v>1425</v>
      </c>
    </row>
    <row r="252" spans="1:5">
      <c r="A252" s="10" t="s">
        <v>271</v>
      </c>
      <c r="B252" s="11">
        <v>1749</v>
      </c>
      <c r="D252" s="10" t="s">
        <v>228</v>
      </c>
      <c r="E252" s="11">
        <v>1432</v>
      </c>
    </row>
    <row r="253" spans="1:5">
      <c r="A253" s="10" t="s">
        <v>272</v>
      </c>
      <c r="B253" s="11">
        <v>1665</v>
      </c>
      <c r="D253" s="12" t="s">
        <v>22</v>
      </c>
      <c r="E253" s="11">
        <v>1433</v>
      </c>
    </row>
    <row r="254" spans="1:5">
      <c r="A254" s="12" t="s">
        <v>273</v>
      </c>
      <c r="B254" s="11">
        <v>624</v>
      </c>
      <c r="D254" s="10" t="s">
        <v>23</v>
      </c>
      <c r="E254" s="11">
        <v>1433</v>
      </c>
    </row>
    <row r="255" spans="1:5">
      <c r="A255" s="12" t="s">
        <v>274</v>
      </c>
      <c r="B255" s="11">
        <v>1849</v>
      </c>
      <c r="D255" s="12" t="s">
        <v>264</v>
      </c>
      <c r="E255" s="11">
        <v>1437</v>
      </c>
    </row>
    <row r="256" spans="1:5">
      <c r="A256" s="12" t="s">
        <v>275</v>
      </c>
      <c r="B256" s="10" t="s">
        <v>72</v>
      </c>
      <c r="D256" s="10" t="s">
        <v>68</v>
      </c>
      <c r="E256" s="11">
        <v>1438</v>
      </c>
    </row>
    <row r="257" spans="1:5">
      <c r="A257" s="12" t="s">
        <v>276</v>
      </c>
      <c r="B257" s="11">
        <v>768</v>
      </c>
      <c r="D257" s="10" t="s">
        <v>216</v>
      </c>
      <c r="E257" s="11">
        <v>1439</v>
      </c>
    </row>
    <row r="258" spans="1:5">
      <c r="A258" s="10" t="s">
        <v>277</v>
      </c>
      <c r="B258" s="11">
        <v>1769</v>
      </c>
      <c r="D258" s="15" t="s">
        <v>465</v>
      </c>
      <c r="E258" s="13">
        <v>1444</v>
      </c>
    </row>
    <row r="259" spans="1:5">
      <c r="A259" s="12" t="s">
        <v>278</v>
      </c>
      <c r="B259" s="11">
        <v>1292</v>
      </c>
      <c r="D259" s="10" t="s">
        <v>227</v>
      </c>
      <c r="E259" s="11">
        <v>1459</v>
      </c>
    </row>
    <row r="260" spans="1:5">
      <c r="A260" s="10" t="s">
        <v>279</v>
      </c>
      <c r="B260" s="11">
        <v>333</v>
      </c>
      <c r="D260" s="12" t="s">
        <v>147</v>
      </c>
      <c r="E260" s="11">
        <v>1467</v>
      </c>
    </row>
    <row r="261" spans="1:5">
      <c r="A261" s="10" t="s">
        <v>280</v>
      </c>
      <c r="B261" s="11">
        <v>649</v>
      </c>
      <c r="D261" s="10" t="s">
        <v>132</v>
      </c>
      <c r="E261" s="11">
        <v>1468</v>
      </c>
    </row>
    <row r="262" spans="1:5">
      <c r="A262" s="12" t="s">
        <v>281</v>
      </c>
      <c r="B262" s="11">
        <v>1877</v>
      </c>
      <c r="D262" s="10" t="s">
        <v>444</v>
      </c>
      <c r="E262" s="11">
        <v>1470</v>
      </c>
    </row>
    <row r="263" spans="1:5">
      <c r="A263" s="10" t="s">
        <v>282</v>
      </c>
      <c r="B263" s="11">
        <v>1393</v>
      </c>
      <c r="D263" s="12" t="s">
        <v>100</v>
      </c>
      <c r="E263" s="11">
        <v>1474</v>
      </c>
    </row>
    <row r="264" spans="1:5">
      <c r="A264" s="12" t="s">
        <v>283</v>
      </c>
      <c r="B264" s="11">
        <v>1845</v>
      </c>
      <c r="D264" s="10" t="s">
        <v>383</v>
      </c>
      <c r="E264" s="11">
        <v>1475</v>
      </c>
    </row>
    <row r="265" spans="1:5">
      <c r="A265" s="12" t="s">
        <v>284</v>
      </c>
      <c r="B265" s="11">
        <v>19</v>
      </c>
      <c r="D265" s="12" t="s">
        <v>95</v>
      </c>
      <c r="E265" s="11">
        <v>1478</v>
      </c>
    </row>
    <row r="266" spans="1:5">
      <c r="A266" s="10" t="s">
        <v>285</v>
      </c>
      <c r="B266" s="11">
        <v>1802</v>
      </c>
      <c r="D266" s="10" t="s">
        <v>296</v>
      </c>
      <c r="E266" s="11">
        <v>1479</v>
      </c>
    </row>
    <row r="267" spans="1:5">
      <c r="A267" s="10" t="s">
        <v>286</v>
      </c>
      <c r="B267" s="11">
        <v>1838</v>
      </c>
      <c r="D267" s="10" t="s">
        <v>102</v>
      </c>
      <c r="E267" s="11">
        <v>1483</v>
      </c>
    </row>
    <row r="268" spans="1:5">
      <c r="A268" s="12" t="s">
        <v>287</v>
      </c>
      <c r="B268" s="11">
        <v>1746</v>
      </c>
      <c r="D268" s="12" t="s">
        <v>39</v>
      </c>
      <c r="E268" s="11">
        <v>1486</v>
      </c>
    </row>
    <row r="269" spans="1:5">
      <c r="A269" s="12" t="s">
        <v>288</v>
      </c>
      <c r="B269" s="11">
        <v>98</v>
      </c>
      <c r="D269" s="12" t="s">
        <v>356</v>
      </c>
      <c r="E269" s="11">
        <v>1487</v>
      </c>
    </row>
    <row r="270" spans="1:5">
      <c r="A270" s="10" t="s">
        <v>289</v>
      </c>
      <c r="B270" s="10" t="s">
        <v>72</v>
      </c>
      <c r="D270" s="10" t="s">
        <v>119</v>
      </c>
      <c r="E270" s="11">
        <v>1489</v>
      </c>
    </row>
    <row r="271" spans="1:5">
      <c r="A271" s="12" t="s">
        <v>290</v>
      </c>
      <c r="B271" s="11">
        <v>587</v>
      </c>
      <c r="D271" s="10" t="s">
        <v>234</v>
      </c>
      <c r="E271" s="11">
        <v>1490</v>
      </c>
    </row>
    <row r="272" spans="1:5">
      <c r="A272" s="10" t="s">
        <v>291</v>
      </c>
      <c r="B272" s="11">
        <v>1762</v>
      </c>
      <c r="D272" s="10" t="s">
        <v>347</v>
      </c>
      <c r="E272" s="11">
        <v>1491</v>
      </c>
    </row>
    <row r="273" spans="1:5">
      <c r="A273" s="10" t="s">
        <v>292</v>
      </c>
      <c r="B273" s="11">
        <v>770</v>
      </c>
      <c r="D273" s="10" t="s">
        <v>206</v>
      </c>
      <c r="E273" s="11">
        <v>1492</v>
      </c>
    </row>
    <row r="274" spans="1:5">
      <c r="A274" s="10" t="s">
        <v>293</v>
      </c>
      <c r="B274" s="11">
        <v>1860</v>
      </c>
      <c r="D274" s="10" t="s">
        <v>252</v>
      </c>
      <c r="E274" s="11">
        <v>1495</v>
      </c>
    </row>
    <row r="275" spans="1:5">
      <c r="A275" s="10" t="s">
        <v>294</v>
      </c>
      <c r="B275" s="11">
        <v>1836</v>
      </c>
      <c r="D275" s="10" t="s">
        <v>379</v>
      </c>
      <c r="E275" s="11">
        <v>1496</v>
      </c>
    </row>
    <row r="276" spans="1:5">
      <c r="A276" s="12" t="s">
        <v>295</v>
      </c>
      <c r="B276" s="11">
        <v>512</v>
      </c>
      <c r="D276" s="10" t="s">
        <v>101</v>
      </c>
      <c r="E276" s="11">
        <v>1508</v>
      </c>
    </row>
    <row r="277" spans="1:5">
      <c r="A277" s="10" t="s">
        <v>296</v>
      </c>
      <c r="B277" s="11">
        <v>1479</v>
      </c>
      <c r="D277" s="12" t="s">
        <v>85</v>
      </c>
      <c r="E277" s="11">
        <v>1510</v>
      </c>
    </row>
    <row r="278" spans="1:5">
      <c r="A278" s="12" t="s">
        <v>297</v>
      </c>
      <c r="B278" s="11">
        <v>211</v>
      </c>
      <c r="D278" s="12" t="s">
        <v>91</v>
      </c>
      <c r="E278" s="11">
        <v>1511</v>
      </c>
    </row>
    <row r="279" spans="1:5">
      <c r="A279" s="10" t="s">
        <v>298</v>
      </c>
      <c r="B279" s="11">
        <v>1826</v>
      </c>
      <c r="D279" s="10" t="s">
        <v>20</v>
      </c>
      <c r="E279" s="11">
        <v>1513</v>
      </c>
    </row>
    <row r="280" spans="1:5">
      <c r="A280" s="10" t="s">
        <v>299</v>
      </c>
      <c r="B280" s="11">
        <v>1319</v>
      </c>
      <c r="D280" s="12" t="s">
        <v>268</v>
      </c>
      <c r="E280" s="11">
        <v>1514</v>
      </c>
    </row>
    <row r="281" spans="1:5">
      <c r="A281" s="12" t="s">
        <v>300</v>
      </c>
      <c r="B281" s="11">
        <v>1688</v>
      </c>
      <c r="D281" s="10" t="s">
        <v>113</v>
      </c>
      <c r="E281" s="11">
        <v>1529</v>
      </c>
    </row>
    <row r="282" spans="1:5">
      <c r="A282" s="10" t="s">
        <v>301</v>
      </c>
      <c r="B282" s="11">
        <v>1757</v>
      </c>
      <c r="D282" s="10" t="s">
        <v>464</v>
      </c>
      <c r="E282" s="11">
        <v>1530</v>
      </c>
    </row>
    <row r="283" spans="1:5">
      <c r="A283" s="10" t="s">
        <v>302</v>
      </c>
      <c r="B283" s="11">
        <v>1771</v>
      </c>
      <c r="D283" s="10" t="s">
        <v>408</v>
      </c>
      <c r="E283" s="11">
        <v>1538</v>
      </c>
    </row>
    <row r="284" spans="1:5">
      <c r="A284" s="12" t="s">
        <v>303</v>
      </c>
      <c r="B284" s="10" t="s">
        <v>72</v>
      </c>
      <c r="D284" s="12" t="s">
        <v>65</v>
      </c>
      <c r="E284" s="11">
        <v>1541</v>
      </c>
    </row>
    <row r="285" spans="1:5">
      <c r="A285" s="10" t="s">
        <v>304</v>
      </c>
      <c r="B285" s="11">
        <v>1109</v>
      </c>
      <c r="D285" s="12" t="s">
        <v>177</v>
      </c>
      <c r="E285" s="11">
        <v>1542</v>
      </c>
    </row>
    <row r="286" spans="1:5">
      <c r="A286" s="12" t="s">
        <v>305</v>
      </c>
      <c r="B286" s="11">
        <v>1716</v>
      </c>
      <c r="D286" s="10" t="s">
        <v>378</v>
      </c>
      <c r="E286" s="11">
        <v>1543</v>
      </c>
    </row>
    <row r="287" spans="1:5">
      <c r="A287" s="12" t="s">
        <v>306</v>
      </c>
      <c r="B287" s="11">
        <v>1169</v>
      </c>
      <c r="D287" s="10" t="s">
        <v>18</v>
      </c>
      <c r="E287" s="11">
        <v>1565</v>
      </c>
    </row>
    <row r="288" spans="1:5">
      <c r="A288" s="12" t="s">
        <v>307</v>
      </c>
      <c r="B288" s="11">
        <v>1908</v>
      </c>
      <c r="D288" s="10" t="s">
        <v>176</v>
      </c>
      <c r="E288" s="11">
        <v>1568</v>
      </c>
    </row>
    <row r="289" spans="1:5">
      <c r="A289" s="10" t="s">
        <v>308</v>
      </c>
      <c r="B289" s="11">
        <v>75</v>
      </c>
      <c r="D289" s="10" t="s">
        <v>395</v>
      </c>
      <c r="E289" s="11">
        <v>1572</v>
      </c>
    </row>
    <row r="290" spans="1:5">
      <c r="A290" s="12" t="s">
        <v>309</v>
      </c>
      <c r="B290" s="11">
        <v>1941</v>
      </c>
      <c r="D290" s="12" t="s">
        <v>188</v>
      </c>
      <c r="E290" s="11">
        <v>1574</v>
      </c>
    </row>
    <row r="291" spans="1:5">
      <c r="A291" s="10" t="s">
        <v>310</v>
      </c>
      <c r="B291" s="11">
        <v>1891</v>
      </c>
      <c r="D291" s="12" t="s">
        <v>169</v>
      </c>
      <c r="E291" s="11">
        <v>1575</v>
      </c>
    </row>
    <row r="292" spans="1:5">
      <c r="A292" s="12" t="s">
        <v>311</v>
      </c>
      <c r="B292" s="11">
        <v>148</v>
      </c>
      <c r="D292" s="10" t="s">
        <v>455</v>
      </c>
      <c r="E292" s="11">
        <v>1578</v>
      </c>
    </row>
    <row r="293" spans="1:5">
      <c r="A293" s="12" t="s">
        <v>312</v>
      </c>
      <c r="B293" s="11">
        <v>301</v>
      </c>
      <c r="D293" s="12" t="s">
        <v>192</v>
      </c>
      <c r="E293" s="11">
        <v>1579</v>
      </c>
    </row>
    <row r="294" spans="1:5">
      <c r="A294" s="10" t="s">
        <v>313</v>
      </c>
      <c r="B294" s="11">
        <v>621</v>
      </c>
      <c r="D294" s="10" t="s">
        <v>123</v>
      </c>
      <c r="E294" s="11">
        <v>1587</v>
      </c>
    </row>
    <row r="295" spans="1:5">
      <c r="A295" s="12" t="s">
        <v>314</v>
      </c>
      <c r="B295" s="11">
        <v>1703</v>
      </c>
      <c r="D295" s="12" t="s">
        <v>214</v>
      </c>
      <c r="E295" s="11">
        <v>1592</v>
      </c>
    </row>
    <row r="296" spans="1:5">
      <c r="A296" s="10" t="s">
        <v>315</v>
      </c>
      <c r="B296" s="11">
        <v>758</v>
      </c>
      <c r="D296" s="12" t="s">
        <v>267</v>
      </c>
      <c r="E296" s="11">
        <v>1593</v>
      </c>
    </row>
    <row r="297" spans="1:5">
      <c r="A297" s="12" t="s">
        <v>316</v>
      </c>
      <c r="B297" s="11">
        <v>1324</v>
      </c>
      <c r="D297" s="10" t="s">
        <v>159</v>
      </c>
      <c r="E297" s="11">
        <v>1594</v>
      </c>
    </row>
    <row r="298" spans="1:5">
      <c r="A298" s="12" t="s">
        <v>317</v>
      </c>
      <c r="B298" s="11">
        <v>1881</v>
      </c>
      <c r="D298" s="10" t="s">
        <v>160</v>
      </c>
      <c r="E298" s="11">
        <v>1599</v>
      </c>
    </row>
    <row r="299" spans="1:5">
      <c r="A299" s="12" t="s">
        <v>318</v>
      </c>
      <c r="B299" s="11">
        <v>1697</v>
      </c>
      <c r="D299" s="10" t="s">
        <v>367</v>
      </c>
      <c r="E299" s="11">
        <v>1600</v>
      </c>
    </row>
    <row r="300" spans="1:5">
      <c r="A300" s="10" t="s">
        <v>319</v>
      </c>
      <c r="B300" s="11">
        <v>1772</v>
      </c>
      <c r="D300" s="10" t="s">
        <v>124</v>
      </c>
      <c r="E300" s="11">
        <v>1608</v>
      </c>
    </row>
    <row r="301" spans="1:5">
      <c r="A301" s="10" t="s">
        <v>320</v>
      </c>
      <c r="B301" s="11">
        <v>1753</v>
      </c>
      <c r="D301" s="10" t="s">
        <v>106</v>
      </c>
      <c r="E301" s="11">
        <v>1611</v>
      </c>
    </row>
    <row r="302" spans="1:5">
      <c r="A302" s="10" t="s">
        <v>321</v>
      </c>
      <c r="B302" s="11">
        <v>0</v>
      </c>
      <c r="D302" s="10" t="s">
        <v>98</v>
      </c>
      <c r="E302" s="11">
        <v>1612</v>
      </c>
    </row>
    <row r="303" spans="1:5">
      <c r="A303" s="12" t="s">
        <v>322</v>
      </c>
      <c r="B303" s="11">
        <v>1663</v>
      </c>
      <c r="D303" s="12" t="s">
        <v>332</v>
      </c>
      <c r="E303" s="11">
        <v>1646</v>
      </c>
    </row>
    <row r="304" spans="1:5">
      <c r="A304" s="10" t="s">
        <v>323</v>
      </c>
      <c r="B304" s="11">
        <v>831</v>
      </c>
      <c r="D304" s="10" t="s">
        <v>370</v>
      </c>
      <c r="E304" s="11">
        <v>1652</v>
      </c>
    </row>
    <row r="305" spans="1:5">
      <c r="A305" s="10" t="s">
        <v>324</v>
      </c>
      <c r="B305" s="11">
        <v>1830</v>
      </c>
      <c r="D305" s="12" t="s">
        <v>371</v>
      </c>
      <c r="E305" s="11">
        <v>1653</v>
      </c>
    </row>
    <row r="306" spans="1:5">
      <c r="A306" s="10" t="s">
        <v>325</v>
      </c>
      <c r="B306" s="11">
        <v>1681</v>
      </c>
      <c r="D306" s="10" t="s">
        <v>12</v>
      </c>
      <c r="E306" s="11">
        <v>1655</v>
      </c>
    </row>
    <row r="307" spans="1:5">
      <c r="A307" s="10" t="s">
        <v>326</v>
      </c>
      <c r="B307" s="11">
        <v>1835</v>
      </c>
      <c r="D307" s="10" t="s">
        <v>256</v>
      </c>
      <c r="E307" s="11">
        <v>1656</v>
      </c>
    </row>
    <row r="308" spans="1:5">
      <c r="A308" s="10" t="s">
        <v>327</v>
      </c>
      <c r="B308" s="11">
        <v>1702</v>
      </c>
      <c r="D308" s="10" t="s">
        <v>253</v>
      </c>
      <c r="E308" s="11">
        <v>1659</v>
      </c>
    </row>
    <row r="309" spans="1:5">
      <c r="A309" s="10" t="s">
        <v>328</v>
      </c>
      <c r="B309" s="11">
        <v>1857</v>
      </c>
      <c r="D309" s="12" t="s">
        <v>109</v>
      </c>
      <c r="E309" s="11">
        <v>1662</v>
      </c>
    </row>
    <row r="310" spans="1:5">
      <c r="A310" s="12" t="s">
        <v>329</v>
      </c>
      <c r="B310" s="11">
        <v>1905</v>
      </c>
      <c r="D310" s="12" t="s">
        <v>322</v>
      </c>
      <c r="E310" s="11">
        <v>1663</v>
      </c>
    </row>
    <row r="311" spans="1:5">
      <c r="A311" s="10" t="s">
        <v>330</v>
      </c>
      <c r="B311" s="11">
        <v>1748</v>
      </c>
      <c r="D311" s="10" t="s">
        <v>272</v>
      </c>
      <c r="E311" s="11">
        <v>1665</v>
      </c>
    </row>
    <row r="312" spans="1:5">
      <c r="A312" s="10" t="s">
        <v>331</v>
      </c>
      <c r="B312" s="11">
        <v>493</v>
      </c>
      <c r="D312" s="10" t="s">
        <v>350</v>
      </c>
      <c r="E312" s="11">
        <v>1672</v>
      </c>
    </row>
    <row r="313" spans="1:5">
      <c r="A313" s="12" t="s">
        <v>332</v>
      </c>
      <c r="B313" s="11">
        <v>1646</v>
      </c>
      <c r="D313" s="10" t="s">
        <v>337</v>
      </c>
      <c r="E313" s="11">
        <v>1674</v>
      </c>
    </row>
    <row r="314" spans="1:5">
      <c r="A314" s="12" t="s">
        <v>333</v>
      </c>
      <c r="B314" s="16">
        <v>1876</v>
      </c>
      <c r="D314" s="10" t="s">
        <v>325</v>
      </c>
      <c r="E314" s="16">
        <v>1681</v>
      </c>
    </row>
    <row r="315" spans="1:5">
      <c r="A315" s="17" t="s">
        <v>334</v>
      </c>
      <c r="B315" s="18" t="s">
        <v>335</v>
      </c>
      <c r="D315" s="24" t="s">
        <v>300</v>
      </c>
      <c r="E315" s="16">
        <v>1688</v>
      </c>
    </row>
    <row r="316" spans="1:5">
      <c r="A316" s="10" t="s">
        <v>336</v>
      </c>
      <c r="B316" s="11">
        <v>1878</v>
      </c>
      <c r="D316" s="12" t="s">
        <v>67</v>
      </c>
      <c r="E316" s="11">
        <v>1692</v>
      </c>
    </row>
    <row r="317" spans="1:5">
      <c r="A317" s="10" t="s">
        <v>337</v>
      </c>
      <c r="B317" s="11">
        <v>1674</v>
      </c>
      <c r="D317" s="10" t="s">
        <v>396</v>
      </c>
      <c r="E317" s="11">
        <v>1694</v>
      </c>
    </row>
    <row r="318" spans="1:5">
      <c r="A318" s="12" t="s">
        <v>338</v>
      </c>
      <c r="B318" s="11">
        <v>1943</v>
      </c>
      <c r="D318" s="12" t="s">
        <v>318</v>
      </c>
      <c r="E318" s="11">
        <v>1697</v>
      </c>
    </row>
    <row r="319" spans="1:5">
      <c r="A319" s="10" t="s">
        <v>339</v>
      </c>
      <c r="B319" s="11">
        <v>1795</v>
      </c>
      <c r="D319" s="10" t="s">
        <v>327</v>
      </c>
      <c r="E319" s="11">
        <v>1702</v>
      </c>
    </row>
    <row r="320" spans="1:5">
      <c r="A320" s="10" t="s">
        <v>340</v>
      </c>
      <c r="B320" s="11">
        <v>1879</v>
      </c>
      <c r="D320" s="12" t="s">
        <v>314</v>
      </c>
      <c r="E320" s="11">
        <v>1703</v>
      </c>
    </row>
    <row r="321" spans="1:5">
      <c r="A321" s="12" t="s">
        <v>341</v>
      </c>
      <c r="B321" s="11">
        <v>1880</v>
      </c>
      <c r="D321" s="12" t="s">
        <v>305</v>
      </c>
      <c r="E321" s="11">
        <v>1716</v>
      </c>
    </row>
    <row r="322" spans="1:5">
      <c r="A322" s="10" t="s">
        <v>342</v>
      </c>
      <c r="B322" s="11">
        <v>1896</v>
      </c>
      <c r="D322" s="12" t="s">
        <v>150</v>
      </c>
      <c r="E322" s="11">
        <v>1717</v>
      </c>
    </row>
    <row r="323" spans="1:5">
      <c r="A323" s="12" t="s">
        <v>343</v>
      </c>
      <c r="B323" s="11">
        <v>1948</v>
      </c>
      <c r="D323" s="10" t="s">
        <v>117</v>
      </c>
      <c r="E323" s="11">
        <v>1719</v>
      </c>
    </row>
    <row r="324" spans="1:5">
      <c r="A324" s="12" t="s">
        <v>344</v>
      </c>
      <c r="B324" s="11">
        <v>1950</v>
      </c>
      <c r="D324" s="12" t="s">
        <v>155</v>
      </c>
      <c r="E324" s="11">
        <v>1741</v>
      </c>
    </row>
    <row r="325" spans="1:5">
      <c r="A325" s="12" t="s">
        <v>345</v>
      </c>
      <c r="B325" s="11">
        <v>293</v>
      </c>
      <c r="D325" s="12" t="s">
        <v>240</v>
      </c>
      <c r="E325" s="11">
        <v>1742</v>
      </c>
    </row>
    <row r="326" spans="1:5">
      <c r="A326" s="12" t="s">
        <v>346</v>
      </c>
      <c r="B326" s="11">
        <v>1822</v>
      </c>
      <c r="D326" s="12" t="s">
        <v>287</v>
      </c>
      <c r="E326" s="11">
        <v>1746</v>
      </c>
    </row>
    <row r="327" spans="1:5">
      <c r="A327" s="10" t="s">
        <v>347</v>
      </c>
      <c r="B327" s="11">
        <v>1491</v>
      </c>
      <c r="D327" s="10" t="s">
        <v>330</v>
      </c>
      <c r="E327" s="11">
        <v>1748</v>
      </c>
    </row>
    <row r="328" spans="1:5">
      <c r="A328" s="10" t="s">
        <v>348</v>
      </c>
      <c r="B328" s="11">
        <v>347</v>
      </c>
      <c r="D328" s="10" t="s">
        <v>271</v>
      </c>
      <c r="E328" s="11">
        <v>1749</v>
      </c>
    </row>
    <row r="329" spans="1:5">
      <c r="A329" s="12" t="s">
        <v>349</v>
      </c>
      <c r="B329" s="11">
        <v>1775</v>
      </c>
      <c r="D329" s="10" t="s">
        <v>320</v>
      </c>
      <c r="E329" s="11">
        <v>1753</v>
      </c>
    </row>
    <row r="330" spans="1:5">
      <c r="A330" s="10" t="s">
        <v>350</v>
      </c>
      <c r="B330" s="11">
        <v>1672</v>
      </c>
      <c r="D330" s="10" t="s">
        <v>437</v>
      </c>
      <c r="E330" s="11">
        <v>1754</v>
      </c>
    </row>
    <row r="331" spans="1:5">
      <c r="A331" s="12" t="s">
        <v>351</v>
      </c>
      <c r="B331" s="11">
        <v>170</v>
      </c>
      <c r="D331" s="10" t="s">
        <v>301</v>
      </c>
      <c r="E331" s="11">
        <v>1757</v>
      </c>
    </row>
    <row r="332" spans="1:5">
      <c r="A332" s="10" t="s">
        <v>352</v>
      </c>
      <c r="B332" s="11">
        <v>1818</v>
      </c>
      <c r="D332" s="12" t="s">
        <v>417</v>
      </c>
      <c r="E332" s="11">
        <v>1758</v>
      </c>
    </row>
    <row r="333" spans="1:5">
      <c r="A333" s="10" t="s">
        <v>354</v>
      </c>
      <c r="B333" s="11">
        <v>1929</v>
      </c>
      <c r="D333" s="12" t="s">
        <v>208</v>
      </c>
      <c r="E333" s="11">
        <v>1759</v>
      </c>
    </row>
    <row r="334" spans="1:5">
      <c r="A334" s="12" t="s">
        <v>355</v>
      </c>
      <c r="B334" s="11">
        <v>90</v>
      </c>
      <c r="D334" s="10" t="s">
        <v>291</v>
      </c>
      <c r="E334" s="11">
        <v>1762</v>
      </c>
    </row>
    <row r="335" spans="1:5">
      <c r="A335" s="12" t="s">
        <v>356</v>
      </c>
      <c r="B335" s="11">
        <v>1487</v>
      </c>
      <c r="D335" s="10" t="s">
        <v>423</v>
      </c>
      <c r="E335" s="11">
        <v>1763</v>
      </c>
    </row>
    <row r="336" spans="1:5">
      <c r="A336" s="12" t="s">
        <v>357</v>
      </c>
      <c r="B336" s="11">
        <v>702</v>
      </c>
      <c r="D336" s="10" t="s">
        <v>358</v>
      </c>
      <c r="E336" s="11">
        <v>1766</v>
      </c>
    </row>
    <row r="337" spans="1:5">
      <c r="A337" s="10" t="s">
        <v>358</v>
      </c>
      <c r="B337" s="11">
        <v>1766</v>
      </c>
      <c r="D337" s="10" t="s">
        <v>277</v>
      </c>
      <c r="E337" s="11">
        <v>1769</v>
      </c>
    </row>
    <row r="338" spans="1:5">
      <c r="A338" s="10" t="s">
        <v>359</v>
      </c>
      <c r="B338" s="10" t="s">
        <v>128</v>
      </c>
      <c r="D338" s="10" t="s">
        <v>302</v>
      </c>
      <c r="E338" s="11">
        <v>1771</v>
      </c>
    </row>
    <row r="339" spans="1:5">
      <c r="A339" s="10" t="s">
        <v>360</v>
      </c>
      <c r="B339" s="11">
        <v>661</v>
      </c>
      <c r="D339" s="10" t="s">
        <v>319</v>
      </c>
      <c r="E339" s="11">
        <v>1772</v>
      </c>
    </row>
    <row r="340" spans="1:5">
      <c r="A340" s="10" t="s">
        <v>361</v>
      </c>
      <c r="B340" s="11">
        <v>1828</v>
      </c>
      <c r="D340" s="10" t="s">
        <v>376</v>
      </c>
      <c r="E340" s="11">
        <v>1773</v>
      </c>
    </row>
    <row r="341" spans="1:5">
      <c r="A341" s="10" t="s">
        <v>362</v>
      </c>
      <c r="B341" s="11">
        <v>516</v>
      </c>
      <c r="D341" s="10" t="s">
        <v>463</v>
      </c>
      <c r="E341" s="11">
        <v>1774</v>
      </c>
    </row>
    <row r="342" spans="1:5">
      <c r="A342" s="12" t="s">
        <v>363</v>
      </c>
      <c r="B342" s="11">
        <v>1951</v>
      </c>
      <c r="D342" s="12" t="s">
        <v>349</v>
      </c>
      <c r="E342" s="11">
        <v>1775</v>
      </c>
    </row>
    <row r="343" spans="1:5">
      <c r="A343" s="10" t="s">
        <v>364</v>
      </c>
      <c r="B343" s="11">
        <v>707</v>
      </c>
      <c r="D343" s="12" t="s">
        <v>401</v>
      </c>
      <c r="E343" s="11">
        <v>1777</v>
      </c>
    </row>
    <row r="344" spans="1:5">
      <c r="A344" s="10" t="s">
        <v>365</v>
      </c>
      <c r="B344" s="11">
        <v>1121</v>
      </c>
      <c r="D344" s="10" t="s">
        <v>125</v>
      </c>
      <c r="E344" s="11">
        <v>1779</v>
      </c>
    </row>
    <row r="345" spans="1:5">
      <c r="A345" s="12" t="s">
        <v>366</v>
      </c>
      <c r="B345" s="11">
        <v>1859</v>
      </c>
      <c r="D345" s="10" t="s">
        <v>129</v>
      </c>
      <c r="E345" s="11">
        <v>1783</v>
      </c>
    </row>
    <row r="346" spans="1:5">
      <c r="A346" s="10" t="s">
        <v>367</v>
      </c>
      <c r="B346" s="11">
        <v>1600</v>
      </c>
      <c r="D346" s="12" t="s">
        <v>161</v>
      </c>
      <c r="E346" s="11">
        <v>1785</v>
      </c>
    </row>
    <row r="347" spans="1:5">
      <c r="A347" s="12" t="s">
        <v>368</v>
      </c>
      <c r="B347" s="11">
        <v>1237</v>
      </c>
      <c r="D347" s="12" t="s">
        <v>151</v>
      </c>
      <c r="E347" s="11">
        <v>1786</v>
      </c>
    </row>
    <row r="348" spans="1:5">
      <c r="A348" s="12" t="s">
        <v>369</v>
      </c>
      <c r="B348" s="11">
        <v>1391</v>
      </c>
      <c r="D348" s="10" t="s">
        <v>456</v>
      </c>
      <c r="E348" s="11">
        <v>1792</v>
      </c>
    </row>
    <row r="349" spans="1:5">
      <c r="A349" s="10" t="s">
        <v>370</v>
      </c>
      <c r="B349" s="11">
        <v>1652</v>
      </c>
      <c r="D349" s="10" t="s">
        <v>339</v>
      </c>
      <c r="E349" s="11">
        <v>1795</v>
      </c>
    </row>
    <row r="350" spans="1:5">
      <c r="A350" s="12" t="s">
        <v>371</v>
      </c>
      <c r="B350" s="11">
        <v>1653</v>
      </c>
      <c r="D350" s="12" t="s">
        <v>181</v>
      </c>
      <c r="E350" s="11">
        <v>1797</v>
      </c>
    </row>
    <row r="351" spans="1:5">
      <c r="A351" s="12" t="s">
        <v>372</v>
      </c>
      <c r="B351" s="11">
        <v>1839</v>
      </c>
      <c r="D351" s="10" t="s">
        <v>121</v>
      </c>
      <c r="E351" s="11">
        <v>1798</v>
      </c>
    </row>
    <row r="352" spans="1:5">
      <c r="A352" s="10" t="s">
        <v>373</v>
      </c>
      <c r="B352" s="11">
        <v>1424</v>
      </c>
      <c r="D352" s="10" t="s">
        <v>446</v>
      </c>
      <c r="E352" s="11">
        <v>1800</v>
      </c>
    </row>
    <row r="353" spans="1:5">
      <c r="A353" s="10" t="s">
        <v>374</v>
      </c>
      <c r="B353" s="11">
        <v>496</v>
      </c>
      <c r="D353" s="12" t="s">
        <v>201</v>
      </c>
      <c r="E353" s="11">
        <v>1801</v>
      </c>
    </row>
    <row r="354" spans="1:5">
      <c r="A354" s="10" t="s">
        <v>375</v>
      </c>
      <c r="B354" s="11">
        <v>1945</v>
      </c>
      <c r="D354" s="10" t="s">
        <v>285</v>
      </c>
      <c r="E354" s="11">
        <v>1802</v>
      </c>
    </row>
    <row r="355" spans="1:5">
      <c r="A355" s="10" t="s">
        <v>376</v>
      </c>
      <c r="B355" s="11">
        <v>1773</v>
      </c>
      <c r="D355" s="10" t="s">
        <v>407</v>
      </c>
      <c r="E355" s="11">
        <v>1816</v>
      </c>
    </row>
    <row r="356" spans="1:5">
      <c r="A356" s="10" t="s">
        <v>378</v>
      </c>
      <c r="B356" s="11">
        <v>1543</v>
      </c>
      <c r="D356" s="10" t="s">
        <v>207</v>
      </c>
      <c r="E356" s="11">
        <v>1817</v>
      </c>
    </row>
    <row r="357" spans="1:5">
      <c r="A357" s="10" t="s">
        <v>379</v>
      </c>
      <c r="B357" s="11">
        <v>1496</v>
      </c>
      <c r="D357" s="10" t="s">
        <v>352</v>
      </c>
      <c r="E357" s="11">
        <v>1818</v>
      </c>
    </row>
    <row r="358" spans="1:5">
      <c r="A358" s="10" t="s">
        <v>380</v>
      </c>
      <c r="B358" s="11">
        <v>1012</v>
      </c>
      <c r="D358" s="12" t="s">
        <v>418</v>
      </c>
      <c r="E358" s="11">
        <v>1819</v>
      </c>
    </row>
    <row r="359" spans="1:5">
      <c r="A359" s="10" t="s">
        <v>381</v>
      </c>
      <c r="B359" s="11">
        <v>721</v>
      </c>
      <c r="D359" s="12" t="s">
        <v>346</v>
      </c>
      <c r="E359" s="11">
        <v>1822</v>
      </c>
    </row>
    <row r="360" spans="1:5">
      <c r="A360" s="10" t="s">
        <v>382</v>
      </c>
      <c r="B360" s="11">
        <v>833</v>
      </c>
      <c r="D360" s="10" t="s">
        <v>298</v>
      </c>
      <c r="E360" s="11">
        <v>1826</v>
      </c>
    </row>
    <row r="361" spans="1:5">
      <c r="A361" s="10" t="s">
        <v>383</v>
      </c>
      <c r="B361" s="11">
        <v>1475</v>
      </c>
      <c r="D361" s="10" t="s">
        <v>260</v>
      </c>
      <c r="E361" s="11">
        <v>1827</v>
      </c>
    </row>
    <row r="362" spans="1:5">
      <c r="A362" s="10" t="s">
        <v>384</v>
      </c>
      <c r="B362" s="11">
        <v>437</v>
      </c>
      <c r="D362" s="10" t="s">
        <v>361</v>
      </c>
      <c r="E362" s="11">
        <v>1828</v>
      </c>
    </row>
    <row r="363" spans="1:5">
      <c r="A363" s="10" t="s">
        <v>385</v>
      </c>
      <c r="B363" s="11">
        <v>495</v>
      </c>
      <c r="D363" s="10" t="s">
        <v>397</v>
      </c>
      <c r="E363" s="11">
        <v>1829</v>
      </c>
    </row>
    <row r="364" spans="1:5">
      <c r="A364" s="10" t="s">
        <v>386</v>
      </c>
      <c r="B364" s="11">
        <v>1274</v>
      </c>
      <c r="D364" s="10" t="s">
        <v>324</v>
      </c>
      <c r="E364" s="11">
        <v>1830</v>
      </c>
    </row>
    <row r="365" spans="1:5">
      <c r="A365" s="10" t="s">
        <v>387</v>
      </c>
      <c r="B365" s="11">
        <v>149</v>
      </c>
      <c r="D365" s="12" t="s">
        <v>82</v>
      </c>
      <c r="E365" s="11">
        <v>1831</v>
      </c>
    </row>
    <row r="366" spans="1:5">
      <c r="A366" s="12" t="s">
        <v>388</v>
      </c>
      <c r="B366" s="11">
        <v>1415</v>
      </c>
      <c r="D366" s="12" t="s">
        <v>247</v>
      </c>
      <c r="E366" s="11">
        <v>1832</v>
      </c>
    </row>
    <row r="367" spans="1:5">
      <c r="A367" s="10" t="s">
        <v>389</v>
      </c>
      <c r="B367" s="11">
        <v>773</v>
      </c>
      <c r="D367" s="10" t="s">
        <v>242</v>
      </c>
      <c r="E367" s="11">
        <v>1834</v>
      </c>
    </row>
    <row r="368" spans="1:5">
      <c r="A368" s="12" t="s">
        <v>390</v>
      </c>
      <c r="B368" s="11">
        <v>1974</v>
      </c>
      <c r="D368" s="10" t="s">
        <v>326</v>
      </c>
      <c r="E368" s="11">
        <v>1835</v>
      </c>
    </row>
    <row r="369" spans="1:5">
      <c r="A369" s="10" t="s">
        <v>391</v>
      </c>
      <c r="B369" s="11">
        <v>615</v>
      </c>
      <c r="D369" s="10" t="s">
        <v>294</v>
      </c>
      <c r="E369" s="11">
        <v>1836</v>
      </c>
    </row>
    <row r="370" spans="1:5">
      <c r="A370" s="10" t="s">
        <v>392</v>
      </c>
      <c r="B370" s="11">
        <v>271</v>
      </c>
      <c r="D370" s="10" t="s">
        <v>286</v>
      </c>
      <c r="E370" s="11">
        <v>1838</v>
      </c>
    </row>
    <row r="371" spans="1:5">
      <c r="A371" s="12" t="s">
        <v>393</v>
      </c>
      <c r="B371" s="11">
        <v>733</v>
      </c>
      <c r="D371" s="12" t="s">
        <v>372</v>
      </c>
      <c r="E371" s="11">
        <v>1839</v>
      </c>
    </row>
    <row r="372" spans="1:5">
      <c r="A372" s="12" t="s">
        <v>394</v>
      </c>
      <c r="B372" s="11">
        <v>386</v>
      </c>
      <c r="D372" s="10" t="s">
        <v>64</v>
      </c>
      <c r="E372" s="11">
        <v>1841</v>
      </c>
    </row>
    <row r="373" spans="1:5">
      <c r="A373" s="10" t="s">
        <v>395</v>
      </c>
      <c r="B373" s="11">
        <v>1572</v>
      </c>
      <c r="D373" s="12" t="s">
        <v>283</v>
      </c>
      <c r="E373" s="11">
        <v>1845</v>
      </c>
    </row>
    <row r="374" spans="1:5">
      <c r="A374" s="10" t="s">
        <v>396</v>
      </c>
      <c r="B374" s="11">
        <v>1694</v>
      </c>
      <c r="D374" s="12" t="s">
        <v>274</v>
      </c>
      <c r="E374" s="11">
        <v>1849</v>
      </c>
    </row>
    <row r="375" spans="1:5">
      <c r="A375" s="10" t="s">
        <v>397</v>
      </c>
      <c r="B375" s="11">
        <v>1829</v>
      </c>
      <c r="D375" s="10" t="s">
        <v>197</v>
      </c>
      <c r="E375" s="11">
        <v>1850</v>
      </c>
    </row>
    <row r="376" spans="1:5">
      <c r="A376" s="12" t="s">
        <v>398</v>
      </c>
      <c r="B376" s="11">
        <v>1883</v>
      </c>
      <c r="D376" s="10" t="s">
        <v>328</v>
      </c>
      <c r="E376" s="11">
        <v>1857</v>
      </c>
    </row>
    <row r="377" spans="1:5">
      <c r="A377" s="10" t="s">
        <v>399</v>
      </c>
      <c r="B377" s="11">
        <v>1306</v>
      </c>
      <c r="D377" s="12" t="s">
        <v>366</v>
      </c>
      <c r="E377" s="11">
        <v>1859</v>
      </c>
    </row>
    <row r="378" spans="1:5">
      <c r="A378" s="10" t="s">
        <v>400</v>
      </c>
      <c r="B378" s="11">
        <v>663</v>
      </c>
      <c r="D378" s="10" t="s">
        <v>293</v>
      </c>
      <c r="E378" s="11">
        <v>1860</v>
      </c>
    </row>
    <row r="379" spans="1:5">
      <c r="A379" s="12" t="s">
        <v>401</v>
      </c>
      <c r="B379" s="11">
        <v>1777</v>
      </c>
      <c r="D379" s="12" t="s">
        <v>168</v>
      </c>
      <c r="E379" s="11">
        <v>1866</v>
      </c>
    </row>
    <row r="380" spans="1:5">
      <c r="A380" s="10" t="s">
        <v>402</v>
      </c>
      <c r="B380" s="11">
        <v>776</v>
      </c>
      <c r="D380" s="12" t="s">
        <v>79</v>
      </c>
      <c r="E380" s="11">
        <v>1871</v>
      </c>
    </row>
    <row r="381" spans="1:5">
      <c r="A381" s="10" t="s">
        <v>403</v>
      </c>
      <c r="B381" s="11">
        <v>586</v>
      </c>
      <c r="D381" s="12" t="s">
        <v>140</v>
      </c>
      <c r="E381" s="11">
        <v>1873</v>
      </c>
    </row>
    <row r="382" spans="1:5">
      <c r="A382" s="10" t="s">
        <v>404</v>
      </c>
      <c r="B382" s="11">
        <v>1954</v>
      </c>
      <c r="D382" s="12" t="s">
        <v>172</v>
      </c>
      <c r="E382" s="11">
        <v>1875</v>
      </c>
    </row>
    <row r="383" spans="1:5">
      <c r="A383" s="10" t="s">
        <v>405</v>
      </c>
      <c r="B383" s="11">
        <v>1141</v>
      </c>
      <c r="D383" s="12" t="s">
        <v>333</v>
      </c>
      <c r="E383" s="11">
        <v>1876</v>
      </c>
    </row>
    <row r="384" spans="1:5">
      <c r="A384" s="10" t="s">
        <v>406</v>
      </c>
      <c r="B384" s="11">
        <v>494</v>
      </c>
      <c r="D384" s="12" t="s">
        <v>281</v>
      </c>
      <c r="E384" s="11">
        <v>1877</v>
      </c>
    </row>
    <row r="385" spans="1:5">
      <c r="A385" s="10" t="s">
        <v>407</v>
      </c>
      <c r="B385" s="11">
        <v>1816</v>
      </c>
      <c r="D385" s="10" t="s">
        <v>336</v>
      </c>
      <c r="E385" s="11">
        <v>1878</v>
      </c>
    </row>
    <row r="386" spans="1:5">
      <c r="A386" s="10" t="s">
        <v>408</v>
      </c>
      <c r="B386" s="11">
        <v>1538</v>
      </c>
      <c r="D386" s="10" t="s">
        <v>340</v>
      </c>
      <c r="E386" s="11">
        <v>1879</v>
      </c>
    </row>
    <row r="387" spans="1:5">
      <c r="A387" s="10" t="s">
        <v>409</v>
      </c>
      <c r="B387" s="11">
        <v>1231</v>
      </c>
      <c r="D387" s="12" t="s">
        <v>341</v>
      </c>
      <c r="E387" s="11">
        <v>1880</v>
      </c>
    </row>
    <row r="388" spans="1:5">
      <c r="A388" s="12" t="s">
        <v>410</v>
      </c>
      <c r="B388" s="11">
        <v>1957</v>
      </c>
      <c r="D388" s="12" t="s">
        <v>317</v>
      </c>
      <c r="E388" s="11">
        <v>1881</v>
      </c>
    </row>
    <row r="389" spans="1:5">
      <c r="A389" s="10" t="s">
        <v>411</v>
      </c>
      <c r="B389" s="11">
        <v>1961</v>
      </c>
      <c r="D389" s="12" t="s">
        <v>265</v>
      </c>
      <c r="E389" s="11">
        <v>1882</v>
      </c>
    </row>
    <row r="390" spans="1:5">
      <c r="A390" s="10" t="s">
        <v>412</v>
      </c>
      <c r="B390" s="11">
        <v>1078</v>
      </c>
      <c r="D390" s="12" t="s">
        <v>398</v>
      </c>
      <c r="E390" s="11">
        <v>1883</v>
      </c>
    </row>
    <row r="391" spans="1:5">
      <c r="A391" s="10" t="s">
        <v>413</v>
      </c>
      <c r="B391" s="11">
        <v>545</v>
      </c>
      <c r="D391" s="10" t="s">
        <v>453</v>
      </c>
      <c r="E391" s="11">
        <v>1886</v>
      </c>
    </row>
    <row r="392" spans="1:5">
      <c r="A392" s="10" t="s">
        <v>414</v>
      </c>
      <c r="B392" s="10" t="s">
        <v>415</v>
      </c>
      <c r="D392" s="10" t="s">
        <v>218</v>
      </c>
      <c r="E392" s="11">
        <v>1888</v>
      </c>
    </row>
    <row r="393" spans="1:5">
      <c r="A393" s="10" t="s">
        <v>416</v>
      </c>
      <c r="B393" s="11">
        <v>1355</v>
      </c>
      <c r="D393" s="10" t="s">
        <v>310</v>
      </c>
      <c r="E393" s="11">
        <v>1891</v>
      </c>
    </row>
    <row r="394" spans="1:5">
      <c r="A394" s="12" t="s">
        <v>417</v>
      </c>
      <c r="B394" s="11">
        <v>1758</v>
      </c>
      <c r="D394" s="10" t="s">
        <v>342</v>
      </c>
      <c r="E394" s="11">
        <v>1896</v>
      </c>
    </row>
    <row r="395" spans="1:5">
      <c r="A395" s="12" t="s">
        <v>418</v>
      </c>
      <c r="B395" s="11">
        <v>1819</v>
      </c>
      <c r="D395" s="10" t="s">
        <v>243</v>
      </c>
      <c r="E395" s="11">
        <v>1897</v>
      </c>
    </row>
    <row r="396" spans="1:5">
      <c r="A396" s="10" t="s">
        <v>419</v>
      </c>
      <c r="B396" s="11">
        <v>1942</v>
      </c>
      <c r="D396" s="10" t="s">
        <v>202</v>
      </c>
      <c r="E396" s="11">
        <v>1899</v>
      </c>
    </row>
    <row r="397" spans="1:5">
      <c r="A397" s="10" t="s">
        <v>421</v>
      </c>
      <c r="B397" s="11">
        <v>1967</v>
      </c>
      <c r="D397" s="12" t="s">
        <v>329</v>
      </c>
      <c r="E397" s="11">
        <v>1905</v>
      </c>
    </row>
    <row r="398" spans="1:5">
      <c r="A398" s="10" t="s">
        <v>422</v>
      </c>
      <c r="B398" s="11">
        <v>1975</v>
      </c>
      <c r="D398" s="10" t="s">
        <v>233</v>
      </c>
      <c r="E398" s="11">
        <v>1906</v>
      </c>
    </row>
    <row r="399" spans="1:5">
      <c r="A399" s="10" t="s">
        <v>423</v>
      </c>
      <c r="B399" s="11">
        <v>1763</v>
      </c>
      <c r="D399" s="12" t="s">
        <v>307</v>
      </c>
      <c r="E399" s="11">
        <v>1908</v>
      </c>
    </row>
    <row r="400" spans="1:5">
      <c r="A400" s="10" t="s">
        <v>424</v>
      </c>
      <c r="B400" s="11">
        <v>782</v>
      </c>
      <c r="D400" s="12" t="s">
        <v>77</v>
      </c>
      <c r="E400" s="11">
        <v>1926</v>
      </c>
    </row>
    <row r="401" spans="1:5">
      <c r="A401" s="10" t="s">
        <v>425</v>
      </c>
      <c r="B401" s="11">
        <v>1425</v>
      </c>
      <c r="D401" s="10" t="s">
        <v>354</v>
      </c>
      <c r="E401" s="11">
        <v>1929</v>
      </c>
    </row>
    <row r="402" spans="1:5">
      <c r="A402" s="10" t="s">
        <v>426</v>
      </c>
      <c r="B402" s="10" t="s">
        <v>128</v>
      </c>
      <c r="D402" s="12" t="s">
        <v>63</v>
      </c>
      <c r="E402" s="11">
        <v>1934</v>
      </c>
    </row>
    <row r="403" spans="1:5">
      <c r="A403" s="10" t="s">
        <v>427</v>
      </c>
      <c r="B403" s="11">
        <v>1239</v>
      </c>
      <c r="D403" s="10" t="s">
        <v>122</v>
      </c>
      <c r="E403" s="11">
        <v>1937</v>
      </c>
    </row>
    <row r="404" spans="1:5">
      <c r="A404" s="10" t="s">
        <v>428</v>
      </c>
      <c r="B404" s="11">
        <v>1000</v>
      </c>
      <c r="D404" s="10" t="s">
        <v>235</v>
      </c>
      <c r="E404" s="11">
        <v>1938</v>
      </c>
    </row>
    <row r="405" spans="1:5">
      <c r="A405" s="12" t="s">
        <v>429</v>
      </c>
      <c r="B405" s="11">
        <v>346</v>
      </c>
      <c r="D405" s="12" t="s">
        <v>178</v>
      </c>
      <c r="E405" s="11">
        <v>1939</v>
      </c>
    </row>
    <row r="406" spans="1:5">
      <c r="A406" s="12" t="s">
        <v>430</v>
      </c>
      <c r="B406" s="11">
        <v>74</v>
      </c>
      <c r="D406" s="12" t="s">
        <v>186</v>
      </c>
      <c r="E406" s="11">
        <v>1940</v>
      </c>
    </row>
    <row r="407" spans="1:5">
      <c r="A407" s="10" t="s">
        <v>431</v>
      </c>
      <c r="B407" s="11">
        <v>348</v>
      </c>
      <c r="D407" s="12" t="s">
        <v>309</v>
      </c>
      <c r="E407" s="11">
        <v>1941</v>
      </c>
    </row>
    <row r="408" spans="1:5">
      <c r="A408" s="10" t="s">
        <v>432</v>
      </c>
      <c r="B408" s="11">
        <v>391</v>
      </c>
      <c r="D408" s="10" t="s">
        <v>419</v>
      </c>
      <c r="E408" s="11">
        <v>1942</v>
      </c>
    </row>
    <row r="409" spans="1:5">
      <c r="A409" s="10" t="s">
        <v>433</v>
      </c>
      <c r="B409" s="11">
        <v>1008</v>
      </c>
      <c r="D409" s="12" t="s">
        <v>338</v>
      </c>
      <c r="E409" s="11">
        <v>1943</v>
      </c>
    </row>
    <row r="410" spans="1:5">
      <c r="A410" s="12" t="s">
        <v>434</v>
      </c>
      <c r="B410" s="11">
        <v>1256</v>
      </c>
      <c r="D410" s="12" t="s">
        <v>158</v>
      </c>
      <c r="E410" s="11">
        <v>1944</v>
      </c>
    </row>
    <row r="411" spans="1:5">
      <c r="A411" s="10" t="s">
        <v>435</v>
      </c>
      <c r="B411" s="11">
        <v>821</v>
      </c>
      <c r="D411" s="10" t="s">
        <v>375</v>
      </c>
      <c r="E411" s="11">
        <v>1945</v>
      </c>
    </row>
    <row r="412" spans="1:5">
      <c r="A412" s="12" t="s">
        <v>436</v>
      </c>
      <c r="B412" s="11">
        <v>352</v>
      </c>
      <c r="D412" s="12" t="s">
        <v>51</v>
      </c>
      <c r="E412" s="11">
        <v>1946</v>
      </c>
    </row>
    <row r="413" spans="1:5">
      <c r="A413" s="10" t="s">
        <v>437</v>
      </c>
      <c r="B413" s="11">
        <v>1754</v>
      </c>
      <c r="D413" s="12" t="s">
        <v>343</v>
      </c>
      <c r="E413" s="11">
        <v>1948</v>
      </c>
    </row>
    <row r="414" spans="1:5">
      <c r="A414" s="10" t="s">
        <v>438</v>
      </c>
      <c r="B414" s="11">
        <v>628</v>
      </c>
      <c r="D414" s="12" t="s">
        <v>199</v>
      </c>
      <c r="E414" s="11">
        <v>1949</v>
      </c>
    </row>
    <row r="415" spans="1:5">
      <c r="A415" s="10" t="s">
        <v>439</v>
      </c>
      <c r="B415" s="11">
        <v>468</v>
      </c>
      <c r="D415" s="12" t="s">
        <v>344</v>
      </c>
      <c r="E415" s="11">
        <v>1950</v>
      </c>
    </row>
    <row r="416" spans="1:5">
      <c r="A416" s="10" t="s">
        <v>440</v>
      </c>
      <c r="B416" s="11">
        <v>1318</v>
      </c>
      <c r="D416" s="12" t="s">
        <v>363</v>
      </c>
      <c r="E416" s="11">
        <v>1951</v>
      </c>
    </row>
    <row r="417" spans="1:5">
      <c r="A417" s="10" t="s">
        <v>441</v>
      </c>
      <c r="B417" s="11">
        <v>653</v>
      </c>
      <c r="D417" s="10" t="s">
        <v>90</v>
      </c>
      <c r="E417" s="11">
        <v>1952</v>
      </c>
    </row>
    <row r="418" spans="1:5">
      <c r="A418" s="10" t="s">
        <v>442</v>
      </c>
      <c r="B418" s="11">
        <v>1091</v>
      </c>
      <c r="D418" s="10" t="s">
        <v>255</v>
      </c>
      <c r="E418" s="11">
        <v>1953</v>
      </c>
    </row>
    <row r="419" spans="1:5">
      <c r="A419" s="10" t="s">
        <v>443</v>
      </c>
      <c r="B419" s="11">
        <v>1044</v>
      </c>
      <c r="D419" s="10" t="s">
        <v>404</v>
      </c>
      <c r="E419" s="11">
        <v>1954</v>
      </c>
    </row>
    <row r="420" spans="1:5">
      <c r="A420" s="10" t="s">
        <v>444</v>
      </c>
      <c r="B420" s="11">
        <v>1470</v>
      </c>
      <c r="D420" s="12" t="s">
        <v>410</v>
      </c>
      <c r="E420" s="11">
        <v>1957</v>
      </c>
    </row>
    <row r="421" spans="1:5">
      <c r="A421" s="10" t="s">
        <v>445</v>
      </c>
      <c r="B421" s="11">
        <v>256</v>
      </c>
      <c r="D421" s="12" t="s">
        <v>19</v>
      </c>
      <c r="E421" s="11">
        <v>1958</v>
      </c>
    </row>
    <row r="422" spans="1:5">
      <c r="A422" s="10" t="s">
        <v>446</v>
      </c>
      <c r="B422" s="11">
        <v>1800</v>
      </c>
      <c r="D422" s="12" t="s">
        <v>157</v>
      </c>
      <c r="E422" s="11">
        <v>1960</v>
      </c>
    </row>
    <row r="423" spans="1:5">
      <c r="A423" s="10" t="s">
        <v>447</v>
      </c>
      <c r="B423" s="11">
        <v>779</v>
      </c>
      <c r="D423" s="10" t="s">
        <v>411</v>
      </c>
      <c r="E423" s="11">
        <v>1961</v>
      </c>
    </row>
    <row r="424" spans="1:5">
      <c r="A424" s="10" t="s">
        <v>448</v>
      </c>
      <c r="B424" s="11">
        <v>353</v>
      </c>
      <c r="D424" s="10" t="s">
        <v>58</v>
      </c>
      <c r="E424" s="11">
        <v>1966</v>
      </c>
    </row>
    <row r="425" spans="1:5">
      <c r="A425" s="10" t="s">
        <v>449</v>
      </c>
      <c r="B425" s="11">
        <v>1157</v>
      </c>
      <c r="D425" s="10" t="s">
        <v>421</v>
      </c>
      <c r="E425" s="11">
        <v>1967</v>
      </c>
    </row>
    <row r="426" spans="1:5">
      <c r="A426" s="12" t="s">
        <v>450</v>
      </c>
      <c r="B426" s="11">
        <v>481</v>
      </c>
      <c r="D426" s="12" t="s">
        <v>40</v>
      </c>
      <c r="E426" s="11">
        <v>1972</v>
      </c>
    </row>
    <row r="427" spans="1:5">
      <c r="A427" s="10" t="s">
        <v>451</v>
      </c>
      <c r="B427" s="11">
        <v>1193</v>
      </c>
      <c r="D427" s="10" t="s">
        <v>138</v>
      </c>
      <c r="E427" s="11">
        <v>1973</v>
      </c>
    </row>
    <row r="428" spans="1:5">
      <c r="A428" s="10" t="s">
        <v>452</v>
      </c>
      <c r="B428" s="11">
        <v>357</v>
      </c>
      <c r="D428" s="12" t="s">
        <v>390</v>
      </c>
      <c r="E428" s="11">
        <v>1974</v>
      </c>
    </row>
    <row r="429" spans="1:5">
      <c r="A429" s="10" t="s">
        <v>453</v>
      </c>
      <c r="B429" s="11">
        <v>1886</v>
      </c>
      <c r="D429" s="10" t="s">
        <v>422</v>
      </c>
      <c r="E429" s="11">
        <v>1975</v>
      </c>
    </row>
    <row r="430" spans="1:5">
      <c r="A430" s="10" t="s">
        <v>454</v>
      </c>
      <c r="B430" s="11">
        <v>209</v>
      </c>
      <c r="D430" s="10" t="s">
        <v>81</v>
      </c>
      <c r="E430" s="11">
        <v>1978</v>
      </c>
    </row>
    <row r="431" spans="1:5">
      <c r="A431" s="10" t="s">
        <v>455</v>
      </c>
      <c r="B431" s="11">
        <v>1578</v>
      </c>
      <c r="D431" s="10" t="s">
        <v>334</v>
      </c>
      <c r="E431" s="25" t="s">
        <v>335</v>
      </c>
    </row>
    <row r="432" spans="1:5">
      <c r="A432" s="10" t="s">
        <v>456</v>
      </c>
      <c r="B432" s="11">
        <v>1792</v>
      </c>
      <c r="D432" s="10" t="s">
        <v>71</v>
      </c>
      <c r="E432" s="10" t="s">
        <v>72</v>
      </c>
    </row>
    <row r="433" spans="1:5">
      <c r="A433" s="10" t="s">
        <v>457</v>
      </c>
      <c r="B433" s="11">
        <v>1084</v>
      </c>
      <c r="D433" s="10" t="s">
        <v>127</v>
      </c>
      <c r="E433" s="10" t="s">
        <v>128</v>
      </c>
    </row>
    <row r="434" spans="1:5">
      <c r="A434" s="10" t="s">
        <v>458</v>
      </c>
      <c r="B434" s="11">
        <v>1416</v>
      </c>
      <c r="D434" s="10" t="s">
        <v>137</v>
      </c>
      <c r="E434" s="10" t="s">
        <v>128</v>
      </c>
    </row>
    <row r="435" spans="1:5">
      <c r="A435" s="10" t="s">
        <v>459</v>
      </c>
      <c r="B435" s="11">
        <v>737</v>
      </c>
      <c r="D435" s="10" t="s">
        <v>165</v>
      </c>
      <c r="E435" s="10" t="s">
        <v>128</v>
      </c>
    </row>
    <row r="436" spans="1:5">
      <c r="A436" s="10" t="s">
        <v>460</v>
      </c>
      <c r="B436" s="11">
        <v>741</v>
      </c>
      <c r="D436" s="12" t="s">
        <v>275</v>
      </c>
      <c r="E436" s="10" t="s">
        <v>72</v>
      </c>
    </row>
    <row r="437" spans="1:5">
      <c r="A437" s="10" t="s">
        <v>461</v>
      </c>
      <c r="B437" s="11">
        <v>359</v>
      </c>
      <c r="D437" s="10" t="s">
        <v>289</v>
      </c>
      <c r="E437" s="10" t="s">
        <v>72</v>
      </c>
    </row>
    <row r="438" spans="1:5">
      <c r="A438" s="17" t="s">
        <v>462</v>
      </c>
      <c r="B438" s="16">
        <v>1191</v>
      </c>
      <c r="D438" s="24" t="s">
        <v>303</v>
      </c>
      <c r="E438" s="17" t="s">
        <v>72</v>
      </c>
    </row>
    <row r="439" spans="1:5">
      <c r="A439" s="17" t="s">
        <v>463</v>
      </c>
      <c r="B439" s="16">
        <v>1774</v>
      </c>
      <c r="D439" s="17" t="s">
        <v>359</v>
      </c>
      <c r="E439" s="17" t="s">
        <v>128</v>
      </c>
    </row>
    <row r="440" spans="1:5">
      <c r="A440" s="17" t="s">
        <v>464</v>
      </c>
      <c r="B440" s="16">
        <v>1530</v>
      </c>
      <c r="D440" s="17" t="s">
        <v>414</v>
      </c>
      <c r="E440" s="17" t="s">
        <v>415</v>
      </c>
    </row>
    <row r="441" spans="1:5">
      <c r="A441" s="15" t="s">
        <v>465</v>
      </c>
      <c r="B441" s="13">
        <v>1444</v>
      </c>
      <c r="D441" s="10" t="s">
        <v>426</v>
      </c>
      <c r="E441" s="10" t="s">
        <v>128</v>
      </c>
    </row>
  </sheetData>
  <autoFilter ref="D1:E441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Copy of Table 1</vt:lpstr>
      <vt:lpstr>SABO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2021-07-21T23:49:35Z</dcterms:created>
  <dcterms:modified xsi:type="dcterms:W3CDTF">2021-08-03T03:46:57Z</dcterms:modified>
</cp:coreProperties>
</file>