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Copy of Table 1 1" sheetId="2" r:id="rId5"/>
    <sheet state="visible" name="SABO" sheetId="3" r:id="rId6"/>
  </sheets>
  <definedNames>
    <definedName hidden="1" localSheetId="2" name="_xlnm._FilterDatabase">SABO!$D$1:$E$441</definedName>
  </definedNames>
  <calcPr/>
  <extLst>
    <ext uri="GoogleSheetsCustomDataVersion1">
      <go:sheetsCustomData xmlns:go="http://customooxmlschemas.google.com/" r:id="rId7" roundtripDataSignature="AMtx7mhKn4gZmh+lJxOjDRElsRdvuPV2hA=="/>
    </ext>
  </extLst>
</workbook>
</file>

<file path=xl/sharedStrings.xml><?xml version="1.0" encoding="utf-8"?>
<sst xmlns="http://schemas.openxmlformats.org/spreadsheetml/2006/main" count="2571" uniqueCount="474">
  <si>
    <r>
      <rPr>
        <rFont val="Arial"/>
        <b/>
        <color theme="1"/>
        <sz val="11.0"/>
      </rPr>
      <t>Date</t>
    </r>
  </si>
  <si>
    <t>Org Name</t>
  </si>
  <si>
    <t>Org Category</t>
  </si>
  <si>
    <r>
      <rPr>
        <rFont val="Arial"/>
        <b/>
        <color rgb="FF000000"/>
        <sz val="11.0"/>
      </rPr>
      <t>Paid</t>
    </r>
    <r>
      <rPr>
        <rFont val="Times New Roman"/>
        <b/>
        <color rgb="FF000000"/>
        <sz val="11.0"/>
      </rPr>
      <t xml:space="preserve"> </t>
    </r>
    <r>
      <rPr>
        <rFont val="Arial"/>
        <b/>
        <color rgb="FF000000"/>
        <sz val="11.0"/>
      </rPr>
      <t>To/Transfer</t>
    </r>
    <r>
      <rPr>
        <rFont val="Times New Roman"/>
        <b/>
        <color rgb="FF000000"/>
        <sz val="11.0"/>
      </rPr>
      <t xml:space="preserve"> </t>
    </r>
    <r>
      <rPr>
        <rFont val="Arial"/>
        <b/>
        <color rgb="FF000000"/>
        <sz val="11.0"/>
      </rPr>
      <t>To/From</t>
    </r>
  </si>
  <si>
    <t>Takeback Amount</t>
  </si>
  <si>
    <t>-</t>
  </si>
  <si>
    <t>Name</t>
  </si>
  <si>
    <t>SABO #</t>
  </si>
  <si>
    <t>Category</t>
  </si>
  <si>
    <t>Total Programming Allocated</t>
  </si>
  <si>
    <t>SABO</t>
  </si>
  <si>
    <t>Total Programming</t>
  </si>
  <si>
    <t>The Anthologist</t>
  </si>
  <si>
    <t>Faith-based</t>
  </si>
  <si>
    <t>RU Choice</t>
  </si>
  <si>
    <t>Cultural</t>
  </si>
  <si>
    <t>The Ashley Lauren Foundation</t>
  </si>
  <si>
    <t>Community Service</t>
  </si>
  <si>
    <t>Cook Student Organic Garden Club</t>
  </si>
  <si>
    <t>Leisure</t>
  </si>
  <si>
    <t>Transfer Student Association</t>
  </si>
  <si>
    <t>Health Professions United</t>
  </si>
  <si>
    <t>Social Action/Political</t>
  </si>
  <si>
    <t xml:space="preserve">RU Compost </t>
  </si>
  <si>
    <t>Baby Friendly Space Club</t>
  </si>
  <si>
    <t>Performing Arts</t>
  </si>
  <si>
    <t>DECA</t>
  </si>
  <si>
    <t>Academic</t>
  </si>
  <si>
    <t>Institute for Domestic and International Affairs (IDIA - Rutgers)</t>
  </si>
  <si>
    <t>Praise Emmaus Ministry</t>
  </si>
  <si>
    <t>Philanthropic</t>
  </si>
  <si>
    <t>Association of Indians at Rutgers</t>
  </si>
  <si>
    <t xml:space="preserve">Rutgers Oasis Church Student Organization </t>
  </si>
  <si>
    <t xml:space="preserve">Fans of Philadelphia Eagles Rutgers </t>
  </si>
  <si>
    <t>Media</t>
  </si>
  <si>
    <t>Rutgers One and The Same Foundation (RUOATS)</t>
  </si>
  <si>
    <t>Oxfam</t>
  </si>
  <si>
    <t>Pre-Professional</t>
  </si>
  <si>
    <t>Association of Marketing and Strategy (Rutgers)</t>
  </si>
  <si>
    <t>Deep Treble</t>
  </si>
  <si>
    <t>Vegetarian Society</t>
  </si>
  <si>
    <t>Ratio Christi at Rutgers University</t>
  </si>
  <si>
    <t>Italian Club</t>
  </si>
  <si>
    <t>Geek</t>
  </si>
  <si>
    <t xml:space="preserve">Rutgers NO MORE </t>
  </si>
  <si>
    <t>Orphan Sporks</t>
  </si>
  <si>
    <t xml:space="preserve">Rotacact Club </t>
  </si>
  <si>
    <t>Educational Opportunity Program Student Association</t>
  </si>
  <si>
    <t>Commuter Student Association</t>
  </si>
  <si>
    <t>RU Sister2Sister</t>
  </si>
  <si>
    <t>O Beta Alpha Kappa Omicron Nu</t>
  </si>
  <si>
    <t>Building Research, Advocacy, and Innovation in Neuroscience (BRAIN)</t>
  </si>
  <si>
    <t>Sophia Club</t>
  </si>
  <si>
    <t>Save a Child's Heart</t>
  </si>
  <si>
    <t>READ, the Rutgers University Book Club</t>
  </si>
  <si>
    <t>House the Hub</t>
  </si>
  <si>
    <t xml:space="preserve">Rutgers University Chartered Financial Analyst Society </t>
  </si>
  <si>
    <t>Chess Club</t>
  </si>
  <si>
    <t>Rutgers University Mobile App Development</t>
  </si>
  <si>
    <t>Rutgers University Moot Court Association</t>
  </si>
  <si>
    <t>Rutgers Hindu Students Council</t>
  </si>
  <si>
    <t>Celebrating Latinx Arts &amp; Works</t>
  </si>
  <si>
    <t>Mishelanu (Hebrew Club)</t>
  </si>
  <si>
    <t>Q&amp;A: Queer and Asian</t>
  </si>
  <si>
    <t>Association of Punjabi Students</t>
  </si>
  <si>
    <t xml:space="preserve">IBD and IBS Association at Rutgers </t>
  </si>
  <si>
    <t xml:space="preserve">Chinese Dance Troupe </t>
  </si>
  <si>
    <t>JMED</t>
  </si>
  <si>
    <t>Seeing Eye Puppy Raising Club (Rutgers University)</t>
  </si>
  <si>
    <t>No Category</t>
  </si>
  <si>
    <t>Reach Out And Read</t>
  </si>
  <si>
    <t>Persian Cultural Club</t>
  </si>
  <si>
    <t>Rutgers University Philosophy Club</t>
  </si>
  <si>
    <t>Archaeological Society</t>
  </si>
  <si>
    <t>Phi Beta Lambda</t>
  </si>
  <si>
    <t>Belly Dance Troupe</t>
  </si>
  <si>
    <t>Carbaret Theatre</t>
  </si>
  <si>
    <t xml:space="preserve">Haru Kpop Dance Cover Club </t>
  </si>
  <si>
    <t>Klesis</t>
  </si>
  <si>
    <t xml:space="preserve">Brady Campaign Chapter at Rutgers University </t>
  </si>
  <si>
    <t>Casual Harmony</t>
  </si>
  <si>
    <t>Rocket League</t>
  </si>
  <si>
    <t>Association of International Relations(RUAIR)</t>
  </si>
  <si>
    <t>Japanese Visual Culture Association</t>
  </si>
  <si>
    <t>Scarlet Smash</t>
  </si>
  <si>
    <t>GenUN</t>
  </si>
  <si>
    <t>TEDxRutgers</t>
  </si>
  <si>
    <t>Society of Latin American Men</t>
  </si>
  <si>
    <t xml:space="preserve">Livingston Theatre Company </t>
  </si>
  <si>
    <t>Bboy Student Organization of Rutgers</t>
  </si>
  <si>
    <t>Designer Genes: Rutgers Biotechnology Club</t>
  </si>
  <si>
    <t>Adventist Students for Christ</t>
  </si>
  <si>
    <t>Bhakti - The Higher Taste</t>
  </si>
  <si>
    <t>Future Teachers Association</t>
  </si>
  <si>
    <t xml:space="preserve">Rutgers Security Club </t>
  </si>
  <si>
    <t>SEBS Governing Council</t>
  </si>
  <si>
    <t xml:space="preserve">LLEGO: The LGBTQQIA People of Color Organization at Rutgers </t>
  </si>
  <si>
    <t>Bloustein Public Service Association</t>
  </si>
  <si>
    <t xml:space="preserve">Gift of Life - Rutgers Chapter </t>
  </si>
  <si>
    <t>N/A</t>
  </si>
  <si>
    <t>Big Buddy</t>
  </si>
  <si>
    <t xml:space="preserve">The Creators </t>
  </si>
  <si>
    <t>Psychological Society</t>
  </si>
  <si>
    <t>Ascend Pan-Asian Leaders</t>
  </si>
  <si>
    <t>Riot Squad</t>
  </si>
  <si>
    <t>Nuttin  but V.O.C.A.L.S.</t>
  </si>
  <si>
    <t>Queer Caucus</t>
  </si>
  <si>
    <t xml:space="preserve">STEM Veterans USA at RU </t>
  </si>
  <si>
    <t>Rutgers Review</t>
  </si>
  <si>
    <t>KSEA-Rutgers</t>
  </si>
  <si>
    <t>Society of Physics Students</t>
  </si>
  <si>
    <t>Korean Student Association</t>
  </si>
  <si>
    <t>Kidney Disease Screening and Awareness Program</t>
  </si>
  <si>
    <t>RU Suryoyo</t>
  </si>
  <si>
    <t>Undergraduate Geography Society</t>
  </si>
  <si>
    <t xml:space="preserve">Circle K </t>
  </si>
  <si>
    <t>Thaakat Foundation</t>
  </si>
  <si>
    <t xml:space="preserve">Rutgers Yoga and Reiki Club </t>
  </si>
  <si>
    <t>Minority Association of Pre-Health Students</t>
  </si>
  <si>
    <t>Rutgers Art and Business Club</t>
  </si>
  <si>
    <t>Rutgers Cantonese Club</t>
  </si>
  <si>
    <t>Healthy Kids of New Brunswick</t>
  </si>
  <si>
    <t>International Student Association of Rutgers University</t>
  </si>
  <si>
    <t xml:space="preserve">Scarlet Knights for Israel  </t>
  </si>
  <si>
    <t xml:space="preserve"> </t>
  </si>
  <si>
    <t xml:space="preserve">STEAM (STEM + Arts) Club </t>
  </si>
  <si>
    <t>Democrats</t>
  </si>
  <si>
    <t>Chabad Jewish Student Organization</t>
  </si>
  <si>
    <t>Mexican American Student Association</t>
  </si>
  <si>
    <t>The Imaginate</t>
  </si>
  <si>
    <t>Counter-Strike Club</t>
  </si>
  <si>
    <t>Shock Wave</t>
  </si>
  <si>
    <t>All Marxist-Leninist Union</t>
  </si>
  <si>
    <t>Rutgers Association of Men in Science</t>
  </si>
  <si>
    <t>n/a</t>
  </si>
  <si>
    <t xml:space="preserve">Rutgers University Bachata Club </t>
  </si>
  <si>
    <t>Rutgers for Primate Conservation (RUPC)</t>
  </si>
  <si>
    <t>The Doctors Without Border's Student Chapter</t>
  </si>
  <si>
    <t xml:space="preserve">Rutgers University Buddhist Association </t>
  </si>
  <si>
    <t>South Asian Performing Arts</t>
  </si>
  <si>
    <t>Organization of Luso-Americans</t>
  </si>
  <si>
    <t>Kol Halayla</t>
  </si>
  <si>
    <t>Scuba Diving Club</t>
  </si>
  <si>
    <t>Swing Dance Club</t>
  </si>
  <si>
    <t xml:space="preserve">Rutgers Insurance Club </t>
  </si>
  <si>
    <t>Rutgers University Jains</t>
  </si>
  <si>
    <t xml:space="preserve">Fashion Organization of Retail and Marketing </t>
  </si>
  <si>
    <t>Hearthstone</t>
  </si>
  <si>
    <t xml:space="preserve">Rutgers Consulting </t>
  </si>
  <si>
    <t>RU Bhangra</t>
  </si>
  <si>
    <t>InterCP Campus Ministry</t>
  </si>
  <si>
    <t>Amnesty International</t>
  </si>
  <si>
    <t xml:space="preserve">Rutgers Personal Finance Club </t>
  </si>
  <si>
    <t>Rutgers University Valuating</t>
  </si>
  <si>
    <t>Orthodox Christian Fellowship</t>
  </si>
  <si>
    <t>Polish Club</t>
  </si>
  <si>
    <t>RUVETS</t>
  </si>
  <si>
    <t>Yu-Gi-Oh Club</t>
  </si>
  <si>
    <t xml:space="preserve">Information Technology &amp; Informatics Council </t>
  </si>
  <si>
    <t>Korean Language Club</t>
  </si>
  <si>
    <t xml:space="preserve">Irish Dance </t>
  </si>
  <si>
    <t>Allied Health Professions Club</t>
  </si>
  <si>
    <t>Actuarial Club</t>
  </si>
  <si>
    <t>Fusion: The Rutgers Union of Mixed People Student Organization of Rutgers</t>
  </si>
  <si>
    <t>Little Investment Bankers of Rutgers</t>
  </si>
  <si>
    <t>Active Minds at Rutgers</t>
  </si>
  <si>
    <t>Faith-Based</t>
  </si>
  <si>
    <t>Ahlul-Bayt Student Association</t>
  </si>
  <si>
    <t xml:space="preserve">Mind and Media </t>
  </si>
  <si>
    <t>Alpha Epsilon Delta (Health Preprofessional Honor Society)</t>
  </si>
  <si>
    <t>Bioethics Society</t>
  </si>
  <si>
    <t>American Sign Language Club</t>
  </si>
  <si>
    <t>Collegiate 100</t>
  </si>
  <si>
    <t xml:space="preserve">Porcelain Band </t>
  </si>
  <si>
    <t xml:space="preserve">Rutgers Tamash </t>
  </si>
  <si>
    <t>Bengali Students Association</t>
  </si>
  <si>
    <t>Habitat for Humanity</t>
  </si>
  <si>
    <t>Korea Campus Crusade for Christ</t>
  </si>
  <si>
    <t>Undergraduate Law Review</t>
  </si>
  <si>
    <t>Latino Student Council</t>
  </si>
  <si>
    <t xml:space="preserve">Nu Rho Psi </t>
  </si>
  <si>
    <t xml:space="preserve">Pilot Me </t>
  </si>
  <si>
    <t>CRU</t>
  </si>
  <si>
    <t>Dhol Effect</t>
  </si>
  <si>
    <t>Geology Club</t>
  </si>
  <si>
    <t>Rutgers North American Disease</t>
  </si>
  <si>
    <t>Rutgers Indonesian Cultural Entity</t>
  </si>
  <si>
    <t>Business Information Technology Society</t>
  </si>
  <si>
    <t>Palestine Children's Relief Fund</t>
  </si>
  <si>
    <t>Scarlet Anchor Society</t>
  </si>
  <si>
    <t>Go Club (Rutgers)</t>
  </si>
  <si>
    <t>Undergraduate Society of History</t>
  </si>
  <si>
    <t>Pokemon Trainer's Club</t>
  </si>
  <si>
    <t>Students for Justice in Palestine</t>
  </si>
  <si>
    <t>Speech and Hearing Club, a NSSLHA Chapter (Rutgers University)</t>
  </si>
  <si>
    <t>Royal Priesthood (Rutgers University)</t>
  </si>
  <si>
    <t>Into the Light</t>
  </si>
  <si>
    <t>Students for Environmental and Energy Development (SEED Club)</t>
  </si>
  <si>
    <t>Scarlet Dart Tag</t>
  </si>
  <si>
    <t xml:space="preserve">Project Sunshine </t>
  </si>
  <si>
    <t xml:space="preserve">Subcultural Fashion Association </t>
  </si>
  <si>
    <t>Rutgers Business School Blockchain Hub</t>
  </si>
  <si>
    <t>Albanian Roots</t>
  </si>
  <si>
    <t>Charity Water Rutgers</t>
  </si>
  <si>
    <t>Indian Christian Fellowship</t>
  </si>
  <si>
    <t>Rutgers Undergraduate Women in Business</t>
  </si>
  <si>
    <t>Effective Altruism</t>
  </si>
  <si>
    <t>Liberated Gospel Choir</t>
  </si>
  <si>
    <t>Black Student Union</t>
  </si>
  <si>
    <t>Chavaya</t>
  </si>
  <si>
    <t>First Light</t>
  </si>
  <si>
    <t>Pre-Law Society</t>
  </si>
  <si>
    <t>RU Progressive</t>
  </si>
  <si>
    <t xml:space="preserve">Rutgers BuildOn </t>
  </si>
  <si>
    <t xml:space="preserve">Canterbury House: the Episcopal Church at Rutgers </t>
  </si>
  <si>
    <t>Raas and Garba Association</t>
  </si>
  <si>
    <t>Queer and Christian</t>
  </si>
  <si>
    <t>Catholic Student Association</t>
  </si>
  <si>
    <t>Quantitative Finance Club</t>
  </si>
  <si>
    <t>RUHearts for the Homeless</t>
  </si>
  <si>
    <t>Phi Sigma Tau, National Honor Society in Philosophy</t>
  </si>
  <si>
    <t>RU 2020</t>
  </si>
  <si>
    <t>Outdoors Club</t>
  </si>
  <si>
    <t>Roll for Initiative: the Rutgers Dungeons &amp; Dragons Club</t>
  </si>
  <si>
    <t>Real Estate Club</t>
  </si>
  <si>
    <t xml:space="preserve">Rutgers Student Marijuana Alliance for Research and Transparency </t>
  </si>
  <si>
    <t>Sisters with Values</t>
  </si>
  <si>
    <t>Photography Club</t>
  </si>
  <si>
    <t>Out Of State Student Organization</t>
  </si>
  <si>
    <t>Hindu YUVA</t>
  </si>
  <si>
    <t>Esports</t>
  </si>
  <si>
    <t>Debate Union</t>
  </si>
  <si>
    <t>Rutgers Cares â€“ New Brunswick</t>
  </si>
  <si>
    <t>League of Legends</t>
  </si>
  <si>
    <t>Students for Environmental Awareness</t>
  </si>
  <si>
    <t>Queens Chorale</t>
  </si>
  <si>
    <t>Creative Writing Club</t>
  </si>
  <si>
    <t>Haitian Association</t>
  </si>
  <si>
    <t xml:space="preserve">Douglass Q/ummunity </t>
  </si>
  <si>
    <t>Business Association of Supply Chain Expertise</t>
  </si>
  <si>
    <t>Union Estudiantil Puertorriquen</t>
  </si>
  <si>
    <t>Orthodox Christian Campus Ministries</t>
  </si>
  <si>
    <t>Nehriyan Bhangra</t>
  </si>
  <si>
    <t>New Jersey Public Heatlh Association-Rutgers Student Chapter (NJPHA-RSC)</t>
  </si>
  <si>
    <t xml:space="preserve">Chinese Tea Culture Club </t>
  </si>
  <si>
    <t>ALIFE Ministry</t>
  </si>
  <si>
    <t>Student Society for Stem Cell Research</t>
  </si>
  <si>
    <t>Her Campus Rutgers</t>
  </si>
  <si>
    <t>Future Healthcare Administrators</t>
  </si>
  <si>
    <t>Rutgers Jumu'ah</t>
  </si>
  <si>
    <t>Sikh Student Association</t>
  </si>
  <si>
    <t xml:space="preserve">TAMID Group at Rutgers </t>
  </si>
  <si>
    <t>Society of Professional Journalists</t>
  </si>
  <si>
    <t>SEBS Pre-Medical/Pre-Dental Society</t>
  </si>
  <si>
    <t>RU Society of Human Resource Management Undergraduate Chapter</t>
  </si>
  <si>
    <t xml:space="preserve">Rutgers University Medieval Studies Association </t>
  </si>
  <si>
    <t>In Christ Alone Ministry</t>
  </si>
  <si>
    <t>Film Productions</t>
  </si>
  <si>
    <t xml:space="preserve">Rutgers Army ROTC </t>
  </si>
  <si>
    <t>Spanish Club</t>
  </si>
  <si>
    <t>Rutgers University Accounting Association</t>
  </si>
  <si>
    <t>Douglass Black Students' Congress</t>
  </si>
  <si>
    <t>Stitch for Life</t>
  </si>
  <si>
    <t>Rutgers Overwatch Club</t>
  </si>
  <si>
    <t xml:space="preserve">Rutgers University Nepalese Student Association </t>
  </si>
  <si>
    <t xml:space="preserve">Rutgers Stand-Up Society </t>
  </si>
  <si>
    <t>Society of Animal Science</t>
  </si>
  <si>
    <t>Rutgers University Student Assembly</t>
  </si>
  <si>
    <t>Scarlet Cross</t>
  </si>
  <si>
    <t>Hong Kong Student Association</t>
  </si>
  <si>
    <t xml:space="preserve">Rutgers Sales Club </t>
  </si>
  <si>
    <t>Don't Remember</t>
  </si>
  <si>
    <t>Jhoom Dynamix</t>
  </si>
  <si>
    <t>Kendama Club</t>
  </si>
  <si>
    <t>Rutgers University Supply Chain Association</t>
  </si>
  <si>
    <t>Nutrition Club of Rutgers University</t>
  </si>
  <si>
    <t>Glee Club (The Rutgers University)</t>
  </si>
  <si>
    <t>Korean Catholic Circle</t>
  </si>
  <si>
    <t>Health Occupation Students of America (HOSA)</t>
  </si>
  <si>
    <t>Kinesiology and Health</t>
  </si>
  <si>
    <t>Arab Cultural Club</t>
  </si>
  <si>
    <t xml:space="preserve">Kirkpatrick Choir </t>
  </si>
  <si>
    <t>Companion Animal Club</t>
  </si>
  <si>
    <t>Grace Extended</t>
  </si>
  <si>
    <t>German Club at Rutgers University</t>
  </si>
  <si>
    <t>Latin American Womyn's Organization</t>
  </si>
  <si>
    <t xml:space="preserve">Envision </t>
  </si>
  <si>
    <t>FeelGood</t>
  </si>
  <si>
    <t>Anime Japanese Environmental Society</t>
  </si>
  <si>
    <t>The Black Men's Collective</t>
  </si>
  <si>
    <t>Global Surgery Student Alliance at Rutgers</t>
  </si>
  <si>
    <t>Chi Alpha Christian Fraternity</t>
  </si>
  <si>
    <t xml:space="preserve">First Generation Student Union </t>
  </si>
  <si>
    <t>Pakistani Student Association</t>
  </si>
  <si>
    <t>Art History Student Association</t>
  </si>
  <si>
    <t>Pencils of Promise</t>
  </si>
  <si>
    <t>Sif Sangam</t>
  </si>
  <si>
    <t>Petey Greene</t>
  </si>
  <si>
    <t>Astronomical Society</t>
  </si>
  <si>
    <t>Rutgers University Rhythm Games Club</t>
  </si>
  <si>
    <t>Oceanography Club</t>
  </si>
  <si>
    <t>GlobeMed</t>
  </si>
  <si>
    <t>RUSA Allocations Board</t>
  </si>
  <si>
    <t>Asian Pacific American Medical Student Association</t>
  </si>
  <si>
    <t>She's the First</t>
  </si>
  <si>
    <t>Joshua Cantonese Christian Fellowship</t>
  </si>
  <si>
    <t>Statistics Club</t>
  </si>
  <si>
    <t>Association of Phillipine Students</t>
  </si>
  <si>
    <t>Central Asian Student Organization</t>
  </si>
  <si>
    <t>Pre-Student Osteopathic Medical Association</t>
  </si>
  <si>
    <t>Jewish Student Union</t>
  </si>
  <si>
    <t>Rutgers Health Guardians of America</t>
  </si>
  <si>
    <t>Craft to Cure</t>
  </si>
  <si>
    <t xml:space="preserve">Rutgers Competitive Programming </t>
  </si>
  <si>
    <t>Desi Intercultural Youth Association</t>
  </si>
  <si>
    <t xml:space="preserve">Changing Health Attitudes &amp; Actions to Recreate Girls </t>
  </si>
  <si>
    <t xml:space="preserve">Rutgers Physical Therapy Club </t>
  </si>
  <si>
    <t>Enactus of Rutgers University</t>
  </si>
  <si>
    <t>Association of Undergraduate Geneticists</t>
  </si>
  <si>
    <t>Intervarsity Multi-Ethnic Chris</t>
  </si>
  <si>
    <t>Alzheimer's Buddies</t>
  </si>
  <si>
    <t>Composers' Colloquium of Rutgers University</t>
  </si>
  <si>
    <t>Douglass Governing Council</t>
  </si>
  <si>
    <t>Rutgers University Knights for Autism Awareness</t>
  </si>
  <si>
    <t>The Medium</t>
  </si>
  <si>
    <t>Mock Trial Association</t>
  </si>
  <si>
    <t>Hellenic Cultural Association</t>
  </si>
  <si>
    <t>Russian Club</t>
  </si>
  <si>
    <t xml:space="preserve">Rutgers Biology Club </t>
  </si>
  <si>
    <t>BAPS Campus Fellowship</t>
  </si>
  <si>
    <t>Korean Christian Fellowship</t>
  </si>
  <si>
    <t>Rutgers Hillel</t>
  </si>
  <si>
    <t>Chi Alpha Epsilon</t>
  </si>
  <si>
    <t>College Avenue Players</t>
  </si>
  <si>
    <t>Skateboarding Club</t>
  </si>
  <si>
    <t>Taiwanese American Student Association</t>
  </si>
  <si>
    <t>Cap and Skull Senior Honor Society</t>
  </si>
  <si>
    <t>Queer Student Alliance</t>
  </si>
  <si>
    <t>Rutgers Business Governing Association</t>
  </si>
  <si>
    <t xml:space="preserve">GlamourGals: Rutgers University Chapter </t>
  </si>
  <si>
    <t>Chinese Student Organization</t>
  </si>
  <si>
    <t>Jewish Allies and Queers</t>
  </si>
  <si>
    <t>Scarlet Strikers Bowling Club</t>
  </si>
  <si>
    <t>Criminal Justice Organization</t>
  </si>
  <si>
    <t>RU Curly</t>
  </si>
  <si>
    <t xml:space="preserve">Rutgers Chinese Students and Scholars Association </t>
  </si>
  <si>
    <t xml:space="preserve">Parkinson's Student Alliance </t>
  </si>
  <si>
    <t>The Society for the Advancement of Chicanos and Native Americans in Science (SACNAS)</t>
  </si>
  <si>
    <t>Ronald McDonald House Charities Club (RMHC)</t>
  </si>
  <si>
    <t>Rutgers Armenian Students Association</t>
  </si>
  <si>
    <t>Kier's Kidz</t>
  </si>
  <si>
    <t>STEM Ambassadors</t>
  </si>
  <si>
    <t>Operation Smile</t>
  </si>
  <si>
    <t>Sociedad Estudiantil Dominicana</t>
  </si>
  <si>
    <t>Asian Student Council</t>
  </si>
  <si>
    <t xml:space="preserve">Rutgers Juggling Club </t>
  </si>
  <si>
    <t>J-BIZ: The Jewish Career Network at Rutgers</t>
  </si>
  <si>
    <t>DotA Club</t>
  </si>
  <si>
    <t>Rutgers Red Cross</t>
  </si>
  <si>
    <t>LASO (Latin American Student Organization)</t>
  </si>
  <si>
    <t xml:space="preserve">Meteorology Club at Rutgers University </t>
  </si>
  <si>
    <t>Rutgers Pre PA club</t>
  </si>
  <si>
    <t>PERIOD</t>
  </si>
  <si>
    <t xml:space="preserve">Asian Acapella Group </t>
  </si>
  <si>
    <t>Christians on Campus</t>
  </si>
  <si>
    <t>Green Print</t>
  </si>
  <si>
    <t>Blueprint</t>
  </si>
  <si>
    <t>Foundation for International Medical Relief of Children</t>
  </si>
  <si>
    <t>Rutgers Art and Design</t>
  </si>
  <si>
    <t xml:space="preserve">Rutgers Entrepreneurial Society </t>
  </si>
  <si>
    <t>Pre-Nursing Society</t>
  </si>
  <si>
    <t>Student Organized Rutgers Against Hunger</t>
  </si>
  <si>
    <t>First Love Rutgers Fellowship</t>
  </si>
  <si>
    <t>Chinese Christian Fellowship</t>
  </si>
  <si>
    <t>Rutgers Landscape Architecture Club (Rutgers Student Chapter of the ASLA)</t>
  </si>
  <si>
    <t>Public Speaking Organization</t>
  </si>
  <si>
    <t>Collegiate 4-H Club</t>
  </si>
  <si>
    <t>Public Relations Student Society of America</t>
  </si>
  <si>
    <t>FizzBuzz</t>
  </si>
  <si>
    <t xml:space="preserve">Ravens Booster Club </t>
  </si>
  <si>
    <t>Chemistry Society</t>
  </si>
  <si>
    <t>Culinary Club</t>
  </si>
  <si>
    <t>Prescription Drug Abuse and Overprescription Awareness Organization</t>
  </si>
  <si>
    <t xml:space="preserve">The Herpetology Program of Rutgers </t>
  </si>
  <si>
    <t>N/a</t>
  </si>
  <si>
    <t>Cell Biology and Neuroscience Society</t>
  </si>
  <si>
    <t>Cognitive Science Club</t>
  </si>
  <si>
    <t xml:space="preserve">The G.O.Y.A. Project </t>
  </si>
  <si>
    <t>Rutgers Animation Club</t>
  </si>
  <si>
    <t xml:space="preserve">Dental Knights Association </t>
  </si>
  <si>
    <t>Meeting Point</t>
  </si>
  <si>
    <t>Academic Team</t>
  </si>
  <si>
    <t>90.3 The Core</t>
  </si>
  <si>
    <t>G.H. Cook Biochemistry and Microbiology Club</t>
  </si>
  <si>
    <t>National Society of Leadership and Success</t>
  </si>
  <si>
    <t xml:space="preserve">Loree Courtyard Organization </t>
  </si>
  <si>
    <t>National Association for the Advancement of Colored People</t>
  </si>
  <si>
    <t>Native American Culture Association</t>
  </si>
  <si>
    <t>The Examiner: Pre-Health Journal</t>
  </si>
  <si>
    <t xml:space="preserve">Rutgers Future Scholars Dream Team </t>
  </si>
  <si>
    <t>Muslim Student Association</t>
  </si>
  <si>
    <t>oSTEM at Rutgers</t>
  </si>
  <si>
    <t xml:space="preserve">Rutgers Economics Society </t>
  </si>
  <si>
    <t xml:space="preserve">National Society of Collegiate Scholars </t>
  </si>
  <si>
    <t>Alpha Omega</t>
  </si>
  <si>
    <t>Molecular Biology &amp; Biochemistry Society</t>
  </si>
  <si>
    <t>Muslim Feminists for the Arts</t>
  </si>
  <si>
    <t>Pre-Dental Society of Rutgers University</t>
  </si>
  <si>
    <t>Muslim Public Relations Council</t>
  </si>
  <si>
    <t xml:space="preserve">Data Science Club </t>
  </si>
  <si>
    <t>ACDA</t>
  </si>
  <si>
    <t>Alternative Breaks (Rutgers University)</t>
  </si>
  <si>
    <t>Muggle Mayhem</t>
  </si>
  <si>
    <t>American Cancer Society on RU Campus</t>
  </si>
  <si>
    <t>Association of Latino Professionals for America</t>
  </si>
  <si>
    <t>Mounted Patrol</t>
  </si>
  <si>
    <t>National Black Law Students Association</t>
  </si>
  <si>
    <t xml:space="preserve">Black Business Association </t>
  </si>
  <si>
    <t xml:space="preserve">RU Natya </t>
  </si>
  <si>
    <t>Creation of Games Society</t>
  </si>
  <si>
    <t>Pre-Optometry Professions Society</t>
  </si>
  <si>
    <t>American Medical Student Association</t>
  </si>
  <si>
    <t>F.A.C.E Modeling Team</t>
  </si>
  <si>
    <t>Douglass D.I.V.A.S</t>
  </si>
  <si>
    <t xml:space="preserve">Ahmadiyya Muslim Students Association for Women </t>
  </si>
  <si>
    <t xml:space="preserve">The Rutgers Sports Business Association </t>
  </si>
  <si>
    <t xml:space="preserve">The Rutgers University Step Team </t>
  </si>
  <si>
    <t>The Wildlife Society, Rutgers Student Chapter</t>
  </si>
  <si>
    <t>Toastmasters</t>
  </si>
  <si>
    <t>Transmissions</t>
  </si>
  <si>
    <t xml:space="preserve">Triota, Womenâ€™s and Gender Studies Honor Society </t>
  </si>
  <si>
    <t>Troop RU</t>
  </si>
  <si>
    <t>Turf Club (Rutgers)</t>
  </si>
  <si>
    <t>Turkish Culture Club</t>
  </si>
  <si>
    <t>Twese The Organization for Africans and Friends of Africa</t>
  </si>
  <si>
    <t>Ukrainian Students Club (Rutgers)</t>
  </si>
  <si>
    <t>Undergraduate Anthropology Club</t>
  </si>
  <si>
    <t>Undergraduate Food Science Club</t>
  </si>
  <si>
    <t>Undergraduate Math Association</t>
  </si>
  <si>
    <t>Undergraduate Social Work Organization</t>
  </si>
  <si>
    <t>Undergraduate Students Alliance of Computer Science</t>
  </si>
  <si>
    <t>UndocRutgers</t>
  </si>
  <si>
    <t>UNICEF</t>
  </si>
  <si>
    <t>United Black Council</t>
  </si>
  <si>
    <t>United Muslim Relief</t>
  </si>
  <si>
    <t>University Choir</t>
  </si>
  <si>
    <t>Unplugged - The Board Gaming Club</t>
  </si>
  <si>
    <t>Value Creating Society of Nichiren Buddhism</t>
  </si>
  <si>
    <t>Venture Capital Club of Rutgers University</t>
  </si>
  <si>
    <t>Verbal Mayhem Poetry Collective</t>
  </si>
  <si>
    <t xml:space="preserve">Verse One </t>
  </si>
  <si>
    <t>Veterinary Science Club (Rutgers University)</t>
  </si>
  <si>
    <t>Vietnamese Student Association</t>
  </si>
  <si>
    <t xml:space="preserve">Vivekananda Youth Group </t>
  </si>
  <si>
    <t xml:space="preserve">Rutgers University Voorhees Choir </t>
  </si>
  <si>
    <t>Wanawake</t>
  </si>
  <si>
    <t>West Indian Student Organization</t>
  </si>
  <si>
    <t>Women Empowerment Through Health and Self-Love</t>
  </si>
  <si>
    <t>Women in Computer Science</t>
  </si>
  <si>
    <t>Women in Information Technology</t>
  </si>
  <si>
    <t xml:space="preserve">Women in Mathematical Sciences </t>
  </si>
  <si>
    <t>Women in the Health Professions</t>
  </si>
  <si>
    <t>Women Organizing Against Harassment</t>
  </si>
  <si>
    <t>Women's Center Coalition</t>
  </si>
  <si>
    <t>Women's Political Caucus</t>
  </si>
  <si>
    <t>WRSU-FM New Brunswick</t>
  </si>
  <si>
    <t>Young Americans for Liberty</t>
  </si>
  <si>
    <t xml:space="preserve">Young Life </t>
  </si>
  <si>
    <t>Youth Empowerment Club</t>
  </si>
  <si>
    <t>Figure Skating Club</t>
  </si>
  <si>
    <r>
      <rPr>
        <rFont val="Arial"/>
        <b/>
        <color theme="1"/>
        <sz val="11.0"/>
      </rPr>
      <t>Date</t>
    </r>
  </si>
  <si>
    <r>
      <rPr>
        <rFont val="Arial"/>
        <b/>
        <color rgb="FF000000"/>
        <sz val="11.0"/>
      </rPr>
      <t>Paid</t>
    </r>
    <r>
      <rPr>
        <rFont val="Times New Roman"/>
        <b/>
        <color rgb="FF000000"/>
        <sz val="11.0"/>
      </rPr>
      <t xml:space="preserve"> </t>
    </r>
    <r>
      <rPr>
        <rFont val="Arial"/>
        <b/>
        <color rgb="FF000000"/>
        <sz val="11.0"/>
      </rPr>
      <t>To/Transfer</t>
    </r>
    <r>
      <rPr>
        <rFont val="Times New Roman"/>
        <b/>
        <color rgb="FF000000"/>
        <sz val="11.0"/>
      </rPr>
      <t xml:space="preserve"> </t>
    </r>
    <r>
      <rPr>
        <rFont val="Arial"/>
        <b/>
        <color rgb="FF000000"/>
        <sz val="11.0"/>
      </rPr>
      <t>To/From</t>
    </r>
  </si>
  <si>
    <r>
      <rPr>
        <rFont val="Arial"/>
        <b/>
        <color theme="1"/>
        <sz val="11.0"/>
      </rPr>
      <t>Amount</t>
    </r>
  </si>
  <si>
    <t>Sabo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</si>
</sst>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$0.00"/>
    <numFmt numFmtId="166" formatCode="&quot;$&quot;#,##0.00"/>
    <numFmt numFmtId="167" formatCode="$#,##0.00"/>
  </numFmts>
  <fonts count="16">
    <font>
      <sz val="10.0"/>
      <color rgb="FF000000"/>
      <name val="Times New Roman"/>
    </font>
    <font>
      <b/>
      <sz val="11.0"/>
      <color theme="1"/>
      <name val="Arial"/>
    </font>
    <font>
      <b/>
      <sz val="11.0"/>
      <color rgb="FF000000"/>
      <name val="Calibri"/>
    </font>
    <font>
      <b/>
      <sz val="11.0"/>
      <color rgb="FF000000"/>
      <name val="Times New Roman"/>
    </font>
    <font/>
    <font>
      <color theme="1"/>
      <name val="Arial"/>
    </font>
    <font>
      <b/>
      <color theme="1"/>
      <name val="Arial"/>
    </font>
    <font>
      <b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Times New Roman"/>
    </font>
    <font>
      <color rgb="FF000000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Inconsolata"/>
    </font>
    <font>
      <b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7C3"/>
        <bgColor rgb="FFF4C7C3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right"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vertical="top"/>
    </xf>
    <xf borderId="0" fillId="2" fontId="7" numFmtId="0" xfId="0" applyAlignment="1" applyFill="1" applyFont="1">
      <alignment horizontal="left" shrinkToFit="0" vertical="bottom" wrapText="1"/>
    </xf>
    <xf borderId="2" fillId="2" fontId="6" numFmtId="0" xfId="0" applyAlignment="1" applyBorder="1" applyFont="1">
      <alignment horizontal="left" vertical="bottom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vertical="bottom"/>
    </xf>
    <xf borderId="0" fillId="2" fontId="6" numFmtId="0" xfId="0" applyAlignment="1" applyFont="1">
      <alignment horizontal="left" readingOrder="0" vertical="bottom"/>
    </xf>
    <xf borderId="0" fillId="0" fontId="8" numFmtId="164" xfId="0" applyAlignment="1" applyFont="1" applyNumberFormat="1">
      <alignment horizontal="left" shrinkToFit="1" vertical="top" wrapText="0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center" readingOrder="0" shrinkToFit="0" vertical="top" wrapText="1"/>
    </xf>
    <xf borderId="0" fillId="0" fontId="8" numFmtId="165" xfId="0" applyAlignment="1" applyFont="1" applyNumberFormat="1">
      <alignment horizontal="right" shrinkToFit="1" vertical="top" wrapText="0"/>
    </xf>
    <xf borderId="0" fillId="0" fontId="11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right" vertical="bottom"/>
    </xf>
    <xf borderId="0" fillId="0" fontId="5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horizontal="right" readingOrder="0" vertical="bottom"/>
    </xf>
    <xf borderId="0" fillId="3" fontId="8" numFmtId="164" xfId="0" applyAlignment="1" applyFill="1" applyFont="1" applyNumberFormat="1">
      <alignment horizontal="left" shrinkToFit="1" vertical="top" wrapText="0"/>
    </xf>
    <xf borderId="0" fillId="3" fontId="9" numFmtId="0" xfId="0" applyAlignment="1" applyFont="1">
      <alignment horizontal="left" shrinkToFit="0" vertical="top" wrapText="1"/>
    </xf>
    <xf borderId="0" fillId="3" fontId="10" numFmtId="0" xfId="0" applyAlignment="1" applyFont="1">
      <alignment horizontal="center" readingOrder="0" shrinkToFit="0" vertical="top" wrapText="1"/>
    </xf>
    <xf borderId="0" fillId="3" fontId="8" numFmtId="165" xfId="0" applyAlignment="1" applyFont="1" applyNumberFormat="1">
      <alignment horizontal="right" shrinkToFit="1" vertical="top" wrapText="0"/>
    </xf>
    <xf borderId="0" fillId="3" fontId="11" numFmtId="0" xfId="0" applyAlignment="1" applyFont="1">
      <alignment horizontal="left" shrinkToFit="0" vertical="bottom" wrapText="1"/>
    </xf>
    <xf borderId="0" fillId="3" fontId="12" numFmtId="0" xfId="0" applyAlignment="1" applyFont="1">
      <alignment horizontal="right" vertical="bottom"/>
    </xf>
    <xf borderId="0" fillId="3" fontId="5" numFmtId="0" xfId="0" applyAlignment="1" applyFont="1">
      <alignment horizontal="left" shrinkToFit="0" vertical="bottom" wrapText="1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3" fontId="5" numFmtId="166" xfId="0" applyAlignment="1" applyFont="1" applyNumberFormat="1">
      <alignment horizontal="right" readingOrder="0" vertical="bottom"/>
    </xf>
    <xf borderId="0" fillId="0" fontId="5" numFmtId="166" xfId="0" applyAlignment="1" applyFont="1" applyNumberFormat="1">
      <alignment horizontal="right" vertical="bottom"/>
    </xf>
    <xf borderId="0" fillId="3" fontId="12" numFmtId="0" xfId="0" applyAlignment="1" applyFont="1">
      <alignment horizontal="left" shrinkToFit="0" vertical="bottom" wrapText="1"/>
    </xf>
    <xf borderId="0" fillId="3" fontId="13" numFmtId="0" xfId="0" applyAlignment="1" applyFont="1">
      <alignment horizontal="left" shrinkToFit="0" vertical="top" wrapText="1"/>
    </xf>
    <xf borderId="0" fillId="3" fontId="13" numFmtId="0" xfId="0" applyAlignment="1" applyFont="1">
      <alignment horizontal="left" vertical="top"/>
    </xf>
    <xf borderId="0" fillId="3" fontId="13" numFmtId="0" xfId="0" applyAlignment="1" applyFont="1">
      <alignment horizontal="left" readingOrder="0" vertical="top"/>
    </xf>
    <xf borderId="0" fillId="3" fontId="13" numFmtId="166" xfId="0" applyAlignment="1" applyFont="1" applyNumberFormat="1">
      <alignment horizontal="left" readingOrder="0" vertical="top"/>
    </xf>
    <xf borderId="0" fillId="3" fontId="8" numFmtId="167" xfId="0" applyAlignment="1" applyFont="1" applyNumberFormat="1">
      <alignment horizontal="right" shrinkToFit="1" vertical="top" wrapText="0"/>
    </xf>
    <xf borderId="0" fillId="0" fontId="8" numFmtId="167" xfId="0" applyAlignment="1" applyFont="1" applyNumberFormat="1">
      <alignment horizontal="right" shrinkToFit="1" vertical="top" wrapText="0"/>
    </xf>
    <xf borderId="0" fillId="4" fontId="8" numFmtId="164" xfId="0" applyAlignment="1" applyFill="1" applyFont="1" applyNumberFormat="1">
      <alignment horizontal="left" shrinkToFit="1" vertical="top" wrapText="0"/>
    </xf>
    <xf borderId="0" fillId="4" fontId="9" numFmtId="0" xfId="0" applyAlignment="1" applyFont="1">
      <alignment horizontal="left" shrinkToFit="0" vertical="top" wrapText="1"/>
    </xf>
    <xf borderId="0" fillId="4" fontId="10" numFmtId="0" xfId="0" applyAlignment="1" applyFont="1">
      <alignment horizontal="center" readingOrder="0" shrinkToFit="0" vertical="top" wrapText="1"/>
    </xf>
    <xf borderId="0" fillId="4" fontId="8" numFmtId="165" xfId="0" applyAlignment="1" applyFont="1" applyNumberFormat="1">
      <alignment horizontal="right" shrinkToFit="1" vertical="top" wrapText="0"/>
    </xf>
    <xf borderId="0" fillId="4" fontId="12" numFmtId="0" xfId="0" applyAlignment="1" applyFont="1">
      <alignment horizontal="left" shrinkToFit="0" vertical="bottom" wrapText="1"/>
    </xf>
    <xf borderId="0" fillId="4" fontId="12" numFmtId="0" xfId="0" applyAlignment="1" applyFont="1">
      <alignment horizontal="right" vertical="bottom"/>
    </xf>
    <xf borderId="0" fillId="4" fontId="5" numFmtId="0" xfId="0" applyAlignment="1" applyFont="1">
      <alignment horizontal="left" shrinkToFit="0" vertical="bottom" wrapText="1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horizontal="right" readingOrder="0" vertical="bottom"/>
    </xf>
    <xf borderId="0" fillId="4" fontId="5" numFmtId="166" xfId="0" applyAlignment="1" applyFont="1" applyNumberFormat="1">
      <alignment horizontal="right" readingOrder="0" vertical="bottom"/>
    </xf>
    <xf borderId="0" fillId="4" fontId="11" numFmtId="0" xfId="0" applyAlignment="1" applyFont="1">
      <alignment horizontal="left" shrinkToFit="0" vertical="bottom" wrapText="1"/>
    </xf>
    <xf borderId="0" fillId="4" fontId="13" numFmtId="0" xfId="0" applyAlignment="1" applyFont="1">
      <alignment horizontal="left" shrinkToFit="0" vertical="top" wrapText="1"/>
    </xf>
    <xf borderId="0" fillId="4" fontId="13" numFmtId="0" xfId="0" applyAlignment="1" applyFont="1">
      <alignment horizontal="left" vertical="top"/>
    </xf>
    <xf borderId="0" fillId="4" fontId="13" numFmtId="0" xfId="0" applyAlignment="1" applyFont="1">
      <alignment horizontal="left" readingOrder="0" vertical="top"/>
    </xf>
    <xf borderId="0" fillId="4" fontId="13" numFmtId="167" xfId="0" applyAlignment="1" applyFont="1" applyNumberFormat="1">
      <alignment horizontal="left" readingOrder="0" vertical="top"/>
    </xf>
    <xf borderId="0" fillId="4" fontId="8" numFmtId="167" xfId="0" applyAlignment="1" applyFont="1" applyNumberFormat="1">
      <alignment horizontal="right" shrinkToFit="1" vertical="top" wrapText="0"/>
    </xf>
    <xf borderId="0" fillId="5" fontId="8" numFmtId="164" xfId="0" applyAlignment="1" applyFill="1" applyFont="1" applyNumberFormat="1">
      <alignment horizontal="left" shrinkToFit="1" vertical="top" wrapText="0"/>
    </xf>
    <xf borderId="0" fillId="5" fontId="9" numFmtId="0" xfId="0" applyAlignment="1" applyFont="1">
      <alignment horizontal="left" shrinkToFit="0" vertical="top" wrapText="1"/>
    </xf>
    <xf borderId="0" fillId="5" fontId="10" numFmtId="0" xfId="0" applyAlignment="1" applyFont="1">
      <alignment horizontal="center" readingOrder="0" shrinkToFit="0" vertical="top" wrapText="1"/>
    </xf>
    <xf borderId="0" fillId="5" fontId="8" numFmtId="165" xfId="0" applyAlignment="1" applyFont="1" applyNumberFormat="1">
      <alignment horizontal="right" shrinkToFit="1" vertical="top" wrapText="0"/>
    </xf>
    <xf borderId="0" fillId="5" fontId="12" numFmtId="0" xfId="0" applyAlignment="1" applyFont="1">
      <alignment horizontal="left" shrinkToFit="0" vertical="bottom" wrapText="1"/>
    </xf>
    <xf borderId="0" fillId="5" fontId="12" numFmtId="0" xfId="0" applyAlignment="1" applyFont="1">
      <alignment horizontal="right" vertical="bottom"/>
    </xf>
    <xf borderId="0" fillId="5" fontId="11" numFmtId="0" xfId="0" applyAlignment="1" applyFont="1">
      <alignment horizontal="left" shrinkToFit="0" vertical="bottom" wrapText="1"/>
    </xf>
    <xf borderId="0" fillId="5" fontId="5" numFmtId="0" xfId="0" applyAlignment="1" applyFont="1">
      <alignment horizontal="right" vertical="bottom"/>
    </xf>
    <xf borderId="0" fillId="5" fontId="5" numFmtId="0" xfId="0" applyAlignment="1" applyFont="1">
      <alignment horizontal="right" readingOrder="0" vertical="bottom"/>
    </xf>
    <xf borderId="0" fillId="5" fontId="5" numFmtId="166" xfId="0" applyAlignment="1" applyFont="1" applyNumberFormat="1">
      <alignment horizontal="right" readingOrder="0" vertical="bottom"/>
    </xf>
    <xf borderId="0" fillId="5" fontId="5" numFmtId="0" xfId="0" applyAlignment="1" applyFont="1">
      <alignment horizontal="left" shrinkToFit="0" vertical="bottom" wrapText="1"/>
    </xf>
    <xf borderId="0" fillId="5" fontId="12" numFmtId="0" xfId="0" applyAlignment="1" applyFont="1">
      <alignment horizontal="left" vertical="bottom"/>
    </xf>
    <xf borderId="0" fillId="5" fontId="13" numFmtId="0" xfId="0" applyAlignment="1" applyFont="1">
      <alignment horizontal="left" shrinkToFit="0" vertical="top" wrapText="1"/>
    </xf>
    <xf borderId="0" fillId="5" fontId="13" numFmtId="0" xfId="0" applyAlignment="1" applyFont="1">
      <alignment horizontal="left" vertical="top"/>
    </xf>
    <xf borderId="0" fillId="5" fontId="13" numFmtId="0" xfId="0" applyAlignment="1" applyFont="1">
      <alignment horizontal="left" readingOrder="0" vertical="top"/>
    </xf>
    <xf borderId="0" fillId="5" fontId="13" numFmtId="166" xfId="0" applyAlignment="1" applyFont="1" applyNumberFormat="1">
      <alignment horizontal="left" readingOrder="0" vertical="top"/>
    </xf>
    <xf borderId="0" fillId="6" fontId="14" numFmtId="166" xfId="0" applyAlignment="1" applyFill="1" applyFont="1" applyNumberFormat="1">
      <alignment horizontal="left" vertical="top"/>
    </xf>
    <xf borderId="0" fillId="5" fontId="8" numFmtId="167" xfId="0" applyAlignment="1" applyFont="1" applyNumberFormat="1">
      <alignment horizontal="right" shrinkToFit="1" vertical="top" wrapText="0"/>
    </xf>
    <xf borderId="0" fillId="7" fontId="8" numFmtId="164" xfId="0" applyAlignment="1" applyFill="1" applyFont="1" applyNumberFormat="1">
      <alignment horizontal="left" shrinkToFit="1" vertical="top" wrapText="0"/>
    </xf>
    <xf borderId="0" fillId="7" fontId="9" numFmtId="0" xfId="0" applyAlignment="1" applyFont="1">
      <alignment horizontal="left" shrinkToFit="0" vertical="top" wrapText="1"/>
    </xf>
    <xf borderId="0" fillId="7" fontId="10" numFmtId="0" xfId="0" applyAlignment="1" applyFont="1">
      <alignment horizontal="center" readingOrder="0" shrinkToFit="0" vertical="top" wrapText="1"/>
    </xf>
    <xf borderId="0" fillId="7" fontId="8" numFmtId="165" xfId="0" applyAlignment="1" applyFont="1" applyNumberFormat="1">
      <alignment horizontal="right" shrinkToFit="1" vertical="top" wrapText="0"/>
    </xf>
    <xf borderId="0" fillId="7" fontId="12" numFmtId="0" xfId="0" applyAlignment="1" applyFont="1">
      <alignment horizontal="left" shrinkToFit="0" vertical="bottom" wrapText="1"/>
    </xf>
    <xf borderId="0" fillId="7" fontId="12" numFmtId="0" xfId="0" applyAlignment="1" applyFont="1">
      <alignment horizontal="right" vertical="bottom"/>
    </xf>
    <xf borderId="0" fillId="7" fontId="5" numFmtId="0" xfId="0" applyAlignment="1" applyFont="1">
      <alignment horizontal="left" shrinkToFit="0" vertical="bottom" wrapText="1"/>
    </xf>
    <xf borderId="0" fillId="7" fontId="5" numFmtId="0" xfId="0" applyAlignment="1" applyFont="1">
      <alignment horizontal="right" vertical="bottom"/>
    </xf>
    <xf borderId="0" fillId="7" fontId="5" numFmtId="0" xfId="0" applyAlignment="1" applyFont="1">
      <alignment horizontal="right" readingOrder="0" vertical="bottom"/>
    </xf>
    <xf borderId="0" fillId="7" fontId="5" numFmtId="166" xfId="0" applyAlignment="1" applyFont="1" applyNumberFormat="1">
      <alignment horizontal="right" readingOrder="0" vertical="bottom"/>
    </xf>
    <xf borderId="0" fillId="7" fontId="11" numFmtId="0" xfId="0" applyAlignment="1" applyFont="1">
      <alignment horizontal="left" shrinkToFit="0" vertical="bottom" wrapText="1"/>
    </xf>
    <xf borderId="0" fillId="7" fontId="13" numFmtId="0" xfId="0" applyAlignment="1" applyFont="1">
      <alignment horizontal="left" shrinkToFit="0" vertical="top" wrapText="1"/>
    </xf>
    <xf borderId="0" fillId="7" fontId="13" numFmtId="0" xfId="0" applyAlignment="1" applyFont="1">
      <alignment horizontal="left" vertical="top"/>
    </xf>
    <xf borderId="0" fillId="7" fontId="13" numFmtId="0" xfId="0" applyAlignment="1" applyFont="1">
      <alignment horizontal="left" readingOrder="0" vertical="top"/>
    </xf>
    <xf borderId="0" fillId="7" fontId="13" numFmtId="166" xfId="0" applyAlignment="1" applyFont="1" applyNumberFormat="1">
      <alignment horizontal="left" readingOrder="0" vertical="top"/>
    </xf>
    <xf borderId="0" fillId="7" fontId="8" numFmtId="167" xfId="0" applyAlignment="1" applyFont="1" applyNumberFormat="1">
      <alignment horizontal="right" shrinkToFit="1" vertical="top" wrapText="0"/>
    </xf>
    <xf borderId="0" fillId="7" fontId="12" numFmtId="0" xfId="0" applyAlignment="1" applyFont="1">
      <alignment horizontal="left" vertical="bottom"/>
    </xf>
    <xf borderId="0" fillId="8" fontId="8" numFmtId="164" xfId="0" applyAlignment="1" applyFill="1" applyFont="1" applyNumberFormat="1">
      <alignment horizontal="left" shrinkToFit="1" vertical="top" wrapText="0"/>
    </xf>
    <xf borderId="0" fillId="8" fontId="9" numFmtId="0" xfId="0" applyAlignment="1" applyFont="1">
      <alignment horizontal="left" shrinkToFit="0" vertical="top" wrapText="1"/>
    </xf>
    <xf borderId="0" fillId="8" fontId="10" numFmtId="0" xfId="0" applyAlignment="1" applyFont="1">
      <alignment horizontal="center" readingOrder="0" shrinkToFit="0" vertical="top" wrapText="1"/>
    </xf>
    <xf borderId="0" fillId="8" fontId="8" numFmtId="165" xfId="0" applyAlignment="1" applyFont="1" applyNumberFormat="1">
      <alignment horizontal="right" shrinkToFit="1" vertical="top" wrapText="0"/>
    </xf>
    <xf borderId="0" fillId="8" fontId="11" numFmtId="0" xfId="0" applyAlignment="1" applyFont="1">
      <alignment horizontal="left" shrinkToFit="0" vertical="bottom" wrapText="1"/>
    </xf>
    <xf borderId="0" fillId="8" fontId="12" numFmtId="0" xfId="0" applyAlignment="1" applyFont="1">
      <alignment horizontal="right" vertical="bottom"/>
    </xf>
    <xf borderId="0" fillId="8" fontId="5" numFmtId="0" xfId="0" applyAlignment="1" applyFont="1">
      <alignment horizontal="left" shrinkToFit="0" vertical="bottom" wrapText="1"/>
    </xf>
    <xf borderId="0" fillId="8" fontId="5" numFmtId="0" xfId="0" applyAlignment="1" applyFont="1">
      <alignment horizontal="right" vertical="bottom"/>
    </xf>
    <xf borderId="0" fillId="8" fontId="5" numFmtId="0" xfId="0" applyAlignment="1" applyFont="1">
      <alignment horizontal="right" readingOrder="0" vertical="bottom"/>
    </xf>
    <xf borderId="0" fillId="8" fontId="5" numFmtId="166" xfId="0" applyAlignment="1" applyFont="1" applyNumberFormat="1">
      <alignment horizontal="right" readingOrder="0" vertical="bottom"/>
    </xf>
    <xf borderId="0" fillId="8" fontId="12" numFmtId="0" xfId="0" applyAlignment="1" applyFont="1">
      <alignment horizontal="left" shrinkToFit="0" vertical="bottom" wrapText="1"/>
    </xf>
    <xf borderId="0" fillId="8" fontId="12" numFmtId="0" xfId="0" applyAlignment="1" applyFont="1">
      <alignment horizontal="left" vertical="bottom"/>
    </xf>
    <xf borderId="0" fillId="8" fontId="8" numFmtId="167" xfId="0" applyAlignment="1" applyFont="1" applyNumberFormat="1">
      <alignment horizontal="right" shrinkToFit="1" vertical="top" wrapText="0"/>
    </xf>
    <xf borderId="0" fillId="9" fontId="8" numFmtId="164" xfId="0" applyAlignment="1" applyFill="1" applyFont="1" applyNumberFormat="1">
      <alignment horizontal="left" shrinkToFit="1" vertical="top" wrapText="0"/>
    </xf>
    <xf borderId="0" fillId="9" fontId="9" numFmtId="0" xfId="0" applyAlignment="1" applyFont="1">
      <alignment horizontal="left" shrinkToFit="0" vertical="top" wrapText="1"/>
    </xf>
    <xf borderId="0" fillId="9" fontId="10" numFmtId="0" xfId="0" applyAlignment="1" applyFont="1">
      <alignment horizontal="center" readingOrder="0" shrinkToFit="0" vertical="top" wrapText="1"/>
    </xf>
    <xf borderId="0" fillId="9" fontId="8" numFmtId="165" xfId="0" applyAlignment="1" applyFont="1" applyNumberFormat="1">
      <alignment horizontal="right" shrinkToFit="1" vertical="top" wrapText="0"/>
    </xf>
    <xf borderId="0" fillId="9" fontId="12" numFmtId="0" xfId="0" applyAlignment="1" applyFont="1">
      <alignment horizontal="left" shrinkToFit="0" vertical="bottom" wrapText="1"/>
    </xf>
    <xf borderId="0" fillId="9" fontId="12" numFmtId="0" xfId="0" applyAlignment="1" applyFont="1">
      <alignment horizontal="right" vertical="bottom"/>
    </xf>
    <xf borderId="0" fillId="9" fontId="5" numFmtId="0" xfId="0" applyAlignment="1" applyFont="1">
      <alignment horizontal="left" shrinkToFit="0" vertical="bottom" wrapText="1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horizontal="right" readingOrder="0" vertical="bottom"/>
    </xf>
    <xf borderId="0" fillId="9" fontId="5" numFmtId="166" xfId="0" applyAlignment="1" applyFont="1" applyNumberFormat="1">
      <alignment horizontal="right" readingOrder="0" vertical="bottom"/>
    </xf>
    <xf borderId="0" fillId="9" fontId="11" numFmtId="0" xfId="0" applyAlignment="1" applyFont="1">
      <alignment horizontal="left" shrinkToFit="0" vertical="bottom" wrapText="1"/>
    </xf>
    <xf borderId="0" fillId="9" fontId="8" numFmtId="167" xfId="0" applyAlignment="1" applyFont="1" applyNumberFormat="1">
      <alignment horizontal="right" shrinkToFit="1" vertical="top" wrapText="0"/>
    </xf>
    <xf borderId="0" fillId="10" fontId="8" numFmtId="164" xfId="0" applyAlignment="1" applyFill="1" applyFont="1" applyNumberFormat="1">
      <alignment horizontal="left" shrinkToFit="1" vertical="top" wrapText="0"/>
    </xf>
    <xf borderId="0" fillId="10" fontId="9" numFmtId="0" xfId="0" applyAlignment="1" applyFont="1">
      <alignment horizontal="left" shrinkToFit="0" vertical="top" wrapText="1"/>
    </xf>
    <xf borderId="0" fillId="10" fontId="10" numFmtId="0" xfId="0" applyAlignment="1" applyFont="1">
      <alignment horizontal="center" readingOrder="0" shrinkToFit="0" vertical="top" wrapText="1"/>
    </xf>
    <xf borderId="0" fillId="10" fontId="8" numFmtId="165" xfId="0" applyAlignment="1" applyFont="1" applyNumberFormat="1">
      <alignment horizontal="right" shrinkToFit="1" vertical="top" wrapText="0"/>
    </xf>
    <xf borderId="0" fillId="10" fontId="12" numFmtId="0" xfId="0" applyAlignment="1" applyFont="1">
      <alignment horizontal="left" shrinkToFit="0" vertical="bottom" wrapText="1"/>
    </xf>
    <xf borderId="0" fillId="10" fontId="12" numFmtId="0" xfId="0" applyAlignment="1" applyFont="1">
      <alignment horizontal="right" vertical="bottom"/>
    </xf>
    <xf borderId="0" fillId="10" fontId="5" numFmtId="0" xfId="0" applyAlignment="1" applyFont="1">
      <alignment horizontal="left" shrinkToFit="0" vertical="bottom" wrapText="1"/>
    </xf>
    <xf borderId="0" fillId="10" fontId="5" numFmtId="0" xfId="0" applyAlignment="1" applyFont="1">
      <alignment horizontal="right" vertical="bottom"/>
    </xf>
    <xf borderId="0" fillId="10" fontId="5" numFmtId="0" xfId="0" applyAlignment="1" applyFont="1">
      <alignment horizontal="right" readingOrder="0" vertical="bottom"/>
    </xf>
    <xf borderId="0" fillId="10" fontId="11" numFmtId="0" xfId="0" applyAlignment="1" applyFont="1">
      <alignment horizontal="left" shrinkToFit="0" vertical="bottom" wrapText="1"/>
    </xf>
    <xf borderId="0" fillId="10" fontId="5" numFmtId="166" xfId="0" applyAlignment="1" applyFont="1" applyNumberFormat="1">
      <alignment horizontal="right" readingOrder="0" vertical="bottom"/>
    </xf>
    <xf borderId="0" fillId="10" fontId="13" numFmtId="0" xfId="0" applyAlignment="1" applyFont="1">
      <alignment horizontal="left" shrinkToFit="0" vertical="top" wrapText="1"/>
    </xf>
    <xf borderId="0" fillId="10" fontId="13" numFmtId="0" xfId="0" applyAlignment="1" applyFont="1">
      <alignment horizontal="left" vertical="top"/>
    </xf>
    <xf borderId="0" fillId="10" fontId="13" numFmtId="0" xfId="0" applyAlignment="1" applyFont="1">
      <alignment horizontal="left" readingOrder="0" vertical="top"/>
    </xf>
    <xf borderId="0" fillId="10" fontId="13" numFmtId="166" xfId="0" applyAlignment="1" applyFont="1" applyNumberFormat="1">
      <alignment horizontal="left" readingOrder="0" vertical="top"/>
    </xf>
    <xf borderId="0" fillId="10" fontId="8" numFmtId="167" xfId="0" applyAlignment="1" applyFont="1" applyNumberFormat="1">
      <alignment horizontal="right" shrinkToFit="1" vertical="top" wrapText="0"/>
    </xf>
    <xf borderId="0" fillId="11" fontId="8" numFmtId="164" xfId="0" applyAlignment="1" applyFill="1" applyFont="1" applyNumberFormat="1">
      <alignment horizontal="left" shrinkToFit="1" vertical="top" wrapText="0"/>
    </xf>
    <xf borderId="0" fillId="11" fontId="9" numFmtId="0" xfId="0" applyAlignment="1" applyFont="1">
      <alignment horizontal="left" shrinkToFit="0" vertical="top" wrapText="1"/>
    </xf>
    <xf borderId="0" fillId="11" fontId="10" numFmtId="0" xfId="0" applyAlignment="1" applyFont="1">
      <alignment horizontal="center" readingOrder="0" shrinkToFit="0" vertical="top" wrapText="1"/>
    </xf>
    <xf borderId="0" fillId="11" fontId="8" numFmtId="165" xfId="0" applyAlignment="1" applyFont="1" applyNumberFormat="1">
      <alignment horizontal="right" shrinkToFit="1" vertical="top" wrapText="0"/>
    </xf>
    <xf borderId="0" fillId="11" fontId="12" numFmtId="0" xfId="0" applyAlignment="1" applyFont="1">
      <alignment horizontal="left" shrinkToFit="0" vertical="bottom" wrapText="1"/>
    </xf>
    <xf borderId="0" fillId="11" fontId="12" numFmtId="0" xfId="0" applyAlignment="1" applyFont="1">
      <alignment horizontal="right" vertical="bottom"/>
    </xf>
    <xf borderId="0" fillId="11" fontId="5" numFmtId="0" xfId="0" applyAlignment="1" applyFont="1">
      <alignment horizontal="left" shrinkToFit="0" vertical="bottom" wrapText="1"/>
    </xf>
    <xf borderId="0" fillId="11" fontId="5" numFmtId="0" xfId="0" applyAlignment="1" applyFont="1">
      <alignment horizontal="right" vertical="bottom"/>
    </xf>
    <xf borderId="0" fillId="11" fontId="5" numFmtId="0" xfId="0" applyAlignment="1" applyFont="1">
      <alignment horizontal="right" readingOrder="0" vertical="bottom"/>
    </xf>
    <xf borderId="0" fillId="11" fontId="5" numFmtId="166" xfId="0" applyAlignment="1" applyFont="1" applyNumberFormat="1">
      <alignment horizontal="right" readingOrder="0" vertical="bottom"/>
    </xf>
    <xf borderId="0" fillId="11" fontId="11" numFmtId="0" xfId="0" applyAlignment="1" applyFont="1">
      <alignment horizontal="left" shrinkToFit="0" vertical="bottom" wrapText="1"/>
    </xf>
    <xf borderId="0" fillId="12" fontId="8" numFmtId="164" xfId="0" applyAlignment="1" applyFill="1" applyFont="1" applyNumberFormat="1">
      <alignment horizontal="left" shrinkToFit="1" vertical="top" wrapText="0"/>
    </xf>
    <xf borderId="0" fillId="12" fontId="9" numFmtId="0" xfId="0" applyAlignment="1" applyFont="1">
      <alignment horizontal="left" shrinkToFit="0" vertical="top" wrapText="1"/>
    </xf>
    <xf borderId="0" fillId="12" fontId="10" numFmtId="0" xfId="0" applyAlignment="1" applyFont="1">
      <alignment horizontal="center" readingOrder="0" shrinkToFit="0" vertical="top" wrapText="1"/>
    </xf>
    <xf borderId="0" fillId="12" fontId="8" numFmtId="165" xfId="0" applyAlignment="1" applyFont="1" applyNumberFormat="1">
      <alignment horizontal="right" shrinkToFit="1" vertical="top" wrapText="0"/>
    </xf>
    <xf borderId="0" fillId="12" fontId="12" numFmtId="0" xfId="0" applyAlignment="1" applyFont="1">
      <alignment horizontal="left" shrinkToFit="0" vertical="bottom" wrapText="1"/>
    </xf>
    <xf borderId="0" fillId="12" fontId="12" numFmtId="0" xfId="0" applyAlignment="1" applyFont="1">
      <alignment horizontal="right" vertical="bottom"/>
    </xf>
    <xf borderId="0" fillId="12" fontId="5" numFmtId="0" xfId="0" applyAlignment="1" applyFont="1">
      <alignment horizontal="left" shrinkToFit="0" vertical="bottom" wrapText="1"/>
    </xf>
    <xf borderId="0" fillId="12" fontId="5" numFmtId="0" xfId="0" applyAlignment="1" applyFont="1">
      <alignment horizontal="right" vertical="bottom"/>
    </xf>
    <xf borderId="0" fillId="12" fontId="5" numFmtId="0" xfId="0" applyAlignment="1" applyFont="1">
      <alignment horizontal="right" readingOrder="0" vertical="bottom"/>
    </xf>
    <xf borderId="0" fillId="12" fontId="11" numFmtId="0" xfId="0" applyAlignment="1" applyFont="1">
      <alignment horizontal="left" shrinkToFit="0" vertical="bottom" wrapText="1"/>
    </xf>
    <xf borderId="0" fillId="12" fontId="5" numFmtId="166" xfId="0" applyAlignment="1" applyFont="1" applyNumberFormat="1">
      <alignment horizontal="right" readingOrder="0" vertical="bottom"/>
    </xf>
    <xf borderId="0" fillId="12" fontId="13" numFmtId="0" xfId="0" applyAlignment="1" applyFont="1">
      <alignment horizontal="left" shrinkToFit="0" vertical="top" wrapText="1"/>
    </xf>
    <xf borderId="0" fillId="12" fontId="13" numFmtId="0" xfId="0" applyAlignment="1" applyFont="1">
      <alignment horizontal="left" vertical="top"/>
    </xf>
    <xf borderId="0" fillId="12" fontId="13" numFmtId="0" xfId="0" applyAlignment="1" applyFont="1">
      <alignment horizontal="left" readingOrder="0" vertical="top"/>
    </xf>
    <xf borderId="0" fillId="12" fontId="13" numFmtId="166" xfId="0" applyAlignment="1" applyFont="1" applyNumberFormat="1">
      <alignment horizontal="left" readingOrder="0" vertical="top"/>
    </xf>
    <xf borderId="0" fillId="12" fontId="12" numFmtId="0" xfId="0" applyAlignment="1" applyFont="1">
      <alignment horizontal="left" vertical="bottom"/>
    </xf>
    <xf borderId="0" fillId="12" fontId="12" numFmtId="0" xfId="0" applyAlignment="1" applyFont="1">
      <alignment horizontal="left" shrinkToFit="0" vertical="bottom" wrapText="0"/>
    </xf>
    <xf borderId="0" fillId="12" fontId="8" numFmtId="167" xfId="0" applyAlignment="1" applyFont="1" applyNumberFormat="1">
      <alignment horizontal="right" shrinkToFit="1" vertical="top" wrapText="0"/>
    </xf>
    <xf borderId="0" fillId="13" fontId="8" numFmtId="164" xfId="0" applyAlignment="1" applyFill="1" applyFont="1" applyNumberFormat="1">
      <alignment horizontal="left" shrinkToFit="1" vertical="top" wrapText="0"/>
    </xf>
    <xf borderId="0" fillId="13" fontId="9" numFmtId="0" xfId="0" applyAlignment="1" applyFont="1">
      <alignment horizontal="left" shrinkToFit="0" vertical="top" wrapText="1"/>
    </xf>
    <xf borderId="0" fillId="13" fontId="10" numFmtId="0" xfId="0" applyAlignment="1" applyFont="1">
      <alignment horizontal="center" readingOrder="0" shrinkToFit="0" vertical="top" wrapText="1"/>
    </xf>
    <xf borderId="0" fillId="13" fontId="8" numFmtId="165" xfId="0" applyAlignment="1" applyFont="1" applyNumberFormat="1">
      <alignment horizontal="right" shrinkToFit="1" vertical="top" wrapText="0"/>
    </xf>
    <xf borderId="0" fillId="13" fontId="11" numFmtId="0" xfId="0" applyAlignment="1" applyFont="1">
      <alignment horizontal="left" shrinkToFit="0" vertical="bottom" wrapText="1"/>
    </xf>
    <xf borderId="0" fillId="13" fontId="12" numFmtId="0" xfId="0" applyAlignment="1" applyFont="1">
      <alignment horizontal="right" vertical="bottom"/>
    </xf>
    <xf borderId="0" fillId="13" fontId="5" numFmtId="0" xfId="0" applyAlignment="1" applyFont="1">
      <alignment horizontal="left" shrinkToFit="0" vertical="bottom" wrapText="1"/>
    </xf>
    <xf borderId="0" fillId="13" fontId="5" numFmtId="0" xfId="0" applyAlignment="1" applyFont="1">
      <alignment horizontal="right" vertical="bottom"/>
    </xf>
    <xf borderId="0" fillId="13" fontId="5" numFmtId="0" xfId="0" applyAlignment="1" applyFont="1">
      <alignment horizontal="right" readingOrder="0" vertical="bottom"/>
    </xf>
    <xf borderId="0" fillId="13" fontId="5" numFmtId="166" xfId="0" applyAlignment="1" applyFont="1" applyNumberFormat="1">
      <alignment horizontal="right" readingOrder="0" vertical="bottom"/>
    </xf>
    <xf borderId="0" fillId="13" fontId="12" numFmtId="0" xfId="0" applyAlignment="1" applyFont="1">
      <alignment horizontal="left" shrinkToFit="0" vertical="bottom" wrapText="1"/>
    </xf>
    <xf borderId="0" fillId="6" fontId="14" numFmtId="167" xfId="0" applyAlignment="1" applyFont="1" applyNumberFormat="1">
      <alignment horizontal="left" vertical="top"/>
    </xf>
    <xf borderId="0" fillId="13" fontId="8" numFmtId="167" xfId="0" applyAlignment="1" applyFont="1" applyNumberFormat="1">
      <alignment horizontal="right" shrinkToFit="1" vertical="top" wrapText="0"/>
    </xf>
    <xf borderId="0" fillId="14" fontId="8" numFmtId="164" xfId="0" applyAlignment="1" applyFill="1" applyFont="1" applyNumberFormat="1">
      <alignment horizontal="left" shrinkToFit="1" vertical="top" wrapText="0"/>
    </xf>
    <xf borderId="0" fillId="14" fontId="9" numFmtId="0" xfId="0" applyAlignment="1" applyFont="1">
      <alignment horizontal="left" shrinkToFit="0" vertical="top" wrapText="1"/>
    </xf>
    <xf borderId="0" fillId="14" fontId="10" numFmtId="0" xfId="0" applyAlignment="1" applyFont="1">
      <alignment horizontal="center" readingOrder="0" shrinkToFit="0" vertical="top" wrapText="1"/>
    </xf>
    <xf borderId="0" fillId="14" fontId="8" numFmtId="165" xfId="0" applyAlignment="1" applyFont="1" applyNumberFormat="1">
      <alignment horizontal="right" shrinkToFit="1" vertical="top" wrapText="0"/>
    </xf>
    <xf borderId="0" fillId="14" fontId="12" numFmtId="0" xfId="0" applyAlignment="1" applyFont="1">
      <alignment horizontal="left" shrinkToFit="0" vertical="bottom" wrapText="1"/>
    </xf>
    <xf borderId="0" fillId="14" fontId="12" numFmtId="0" xfId="0" applyAlignment="1" applyFont="1">
      <alignment horizontal="right" vertical="bottom"/>
    </xf>
    <xf borderId="0" fillId="14" fontId="5" numFmtId="0" xfId="0" applyAlignment="1" applyFont="1">
      <alignment horizontal="left" shrinkToFit="0" vertical="bottom" wrapText="1"/>
    </xf>
    <xf borderId="0" fillId="14" fontId="5" numFmtId="0" xfId="0" applyAlignment="1" applyFont="1">
      <alignment horizontal="right" vertical="bottom"/>
    </xf>
    <xf borderId="0" fillId="14" fontId="11" numFmtId="0" xfId="0" applyAlignment="1" applyFont="1">
      <alignment horizontal="left" shrinkToFit="0" vertical="bottom" wrapText="1"/>
    </xf>
    <xf borderId="0" fillId="14" fontId="13" numFmtId="0" xfId="0" applyAlignment="1" applyFont="1">
      <alignment horizontal="left" shrinkToFit="0" vertical="top" wrapText="1"/>
    </xf>
    <xf borderId="0" fillId="14" fontId="13" numFmtId="0" xfId="0" applyAlignment="1" applyFont="1">
      <alignment horizontal="left" vertical="top"/>
    </xf>
    <xf borderId="0" fillId="14" fontId="13" numFmtId="165" xfId="0" applyAlignment="1" applyFont="1" applyNumberFormat="1">
      <alignment horizontal="left" vertical="top"/>
    </xf>
    <xf borderId="2" fillId="14" fontId="12" numFmtId="0" xfId="0" applyAlignment="1" applyBorder="1" applyFont="1">
      <alignment horizontal="right" vertical="bottom"/>
    </xf>
    <xf borderId="2" fillId="14" fontId="12" numFmtId="0" xfId="0" applyAlignment="1" applyBorder="1" applyFont="1">
      <alignment horizontal="left" shrinkToFit="0" vertical="bottom" wrapText="1"/>
    </xf>
    <xf borderId="0" fillId="14" fontId="8" numFmtId="167" xfId="0" applyAlignment="1" applyFont="1" applyNumberFormat="1">
      <alignment horizontal="right" shrinkToFit="1" vertical="top" wrapText="0"/>
    </xf>
    <xf borderId="0" fillId="15" fontId="8" numFmtId="164" xfId="0" applyAlignment="1" applyFill="1" applyFont="1" applyNumberFormat="1">
      <alignment horizontal="left" shrinkToFit="1" vertical="top" wrapText="0"/>
    </xf>
    <xf borderId="0" fillId="15" fontId="9" numFmtId="0" xfId="0" applyAlignment="1" applyFont="1">
      <alignment horizontal="left" shrinkToFit="0" vertical="top" wrapText="1"/>
    </xf>
    <xf borderId="0" fillId="15" fontId="10" numFmtId="0" xfId="0" applyAlignment="1" applyFont="1">
      <alignment horizontal="center" readingOrder="0" shrinkToFit="0" vertical="top" wrapText="1"/>
    </xf>
    <xf borderId="0" fillId="15" fontId="8" numFmtId="165" xfId="0" applyAlignment="1" applyFont="1" applyNumberFormat="1">
      <alignment horizontal="right" shrinkToFit="1" vertical="top" wrapText="0"/>
    </xf>
    <xf borderId="0" fillId="15" fontId="11" numFmtId="0" xfId="0" applyAlignment="1" applyFont="1">
      <alignment horizontal="left" shrinkToFit="0" vertical="bottom" wrapText="1"/>
    </xf>
    <xf borderId="0" fillId="15" fontId="12" numFmtId="0" xfId="0" applyAlignment="1" applyFont="1">
      <alignment horizontal="right" vertical="bottom"/>
    </xf>
    <xf borderId="0" fillId="15" fontId="5" numFmtId="0" xfId="0" applyAlignment="1" applyFont="1">
      <alignment horizontal="left" shrinkToFit="0" vertical="bottom" wrapText="1"/>
    </xf>
    <xf borderId="0" fillId="15" fontId="5" numFmtId="0" xfId="0" applyAlignment="1" applyFont="1">
      <alignment horizontal="right" vertical="bottom"/>
    </xf>
    <xf borderId="0" fillId="15" fontId="12" numFmtId="0" xfId="0" applyAlignment="1" applyFont="1">
      <alignment horizontal="left" shrinkToFit="0" vertical="bottom" wrapText="1"/>
    </xf>
    <xf borderId="0" fillId="15" fontId="13" numFmtId="0" xfId="0" applyAlignment="1" applyFont="1">
      <alignment horizontal="left" shrinkToFit="0" vertical="top" wrapText="1"/>
    </xf>
    <xf borderId="0" fillId="15" fontId="13" numFmtId="0" xfId="0" applyAlignment="1" applyFont="1">
      <alignment horizontal="left" vertical="top"/>
    </xf>
    <xf borderId="0" fillId="15" fontId="12" numFmtId="0" xfId="0" applyAlignment="1" applyFont="1">
      <alignment horizontal="left" vertical="bottom"/>
    </xf>
    <xf borderId="0" fillId="15" fontId="13" numFmtId="167" xfId="0" applyAlignment="1" applyFont="1" applyNumberFormat="1">
      <alignment horizontal="left" vertical="top"/>
    </xf>
    <xf borderId="0" fillId="15" fontId="8" numFmtId="167" xfId="0" applyAlignment="1" applyFont="1" applyNumberFormat="1">
      <alignment horizontal="right" shrinkToFit="1" vertical="top" wrapText="0"/>
    </xf>
    <xf borderId="0" fillId="15" fontId="8" numFmtId="167" xfId="0" applyAlignment="1" applyFont="1" applyNumberFormat="1">
      <alignment horizontal="right" readingOrder="0" shrinkToFit="1" vertical="top" wrapText="0"/>
    </xf>
    <xf borderId="0" fillId="0" fontId="8" numFmtId="167" xfId="0" applyAlignment="1" applyFont="1" applyNumberFormat="1">
      <alignment horizontal="right" readingOrder="0" shrinkToFit="1" vertical="top" wrapText="0"/>
    </xf>
    <xf borderId="0" fillId="0" fontId="12" numFmtId="0" xfId="0" applyAlignment="1" applyFont="1">
      <alignment horizontal="left" shrinkToFit="0" vertical="bottom" wrapText="1"/>
    </xf>
    <xf borderId="2" fillId="0" fontId="5" numFmtId="0" xfId="0" applyAlignment="1" applyBorder="1" applyFont="1">
      <alignment horizontal="left" shrinkToFit="0" vertical="bottom" wrapText="1"/>
    </xf>
    <xf borderId="2" fillId="0" fontId="5" numFmtId="0" xfId="0" applyAlignment="1" applyBorder="1" applyFont="1">
      <alignment horizontal="right" vertical="bottom"/>
    </xf>
    <xf borderId="0" fillId="0" fontId="13" numFmtId="0" xfId="0" applyAlignment="1" applyFont="1">
      <alignment horizontal="left" shrinkToFit="0" vertical="top" wrapText="1"/>
    </xf>
    <xf borderId="0" fillId="0" fontId="13" numFmtId="0" xfId="0" applyAlignment="1" applyFont="1">
      <alignment horizontal="center" vertical="top"/>
    </xf>
    <xf borderId="0" fillId="0" fontId="13" numFmtId="165" xfId="0" applyAlignment="1" applyFont="1" applyNumberFormat="1">
      <alignment horizontal="left" vertical="top"/>
    </xf>
    <xf borderId="0" fillId="0" fontId="13" numFmtId="0" xfId="0" applyAlignment="1" applyFont="1">
      <alignment horizontal="left" vertical="top"/>
    </xf>
    <xf borderId="0" fillId="0" fontId="13" numFmtId="166" xfId="0" applyAlignment="1" applyFont="1" applyNumberFormat="1">
      <alignment horizontal="left" vertical="top"/>
    </xf>
    <xf borderId="0" fillId="0" fontId="12" numFmtId="0" xfId="0" applyAlignment="1" applyFont="1">
      <alignment horizontal="left" vertical="bottom"/>
    </xf>
    <xf borderId="2" fillId="0" fontId="12" numFmtId="0" xfId="0" applyAlignment="1" applyBorder="1" applyFont="1">
      <alignment horizontal="left" shrinkToFit="0" vertical="bottom" wrapText="1"/>
    </xf>
    <xf borderId="2" fillId="0" fontId="12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shrinkToFit="0" vertical="top" wrapText="1"/>
    </xf>
    <xf borderId="0" fillId="0" fontId="5" numFmtId="0" xfId="0" applyAlignment="1" applyFont="1">
      <alignment horizontal="left" readingOrder="0" vertical="top"/>
    </xf>
    <xf borderId="0" fillId="2" fontId="7" numFmtId="0" xfId="0" applyAlignment="1" applyFont="1">
      <alignment horizontal="left" vertical="bottom"/>
    </xf>
    <xf borderId="0" fillId="5" fontId="5" numFmtId="0" xfId="0" applyAlignment="1" applyFont="1">
      <alignment horizontal="left" vertical="bottom"/>
    </xf>
    <xf borderId="0" fillId="10" fontId="11" numFmtId="0" xfId="0" applyAlignment="1" applyFont="1">
      <alignment horizontal="left" vertical="bottom"/>
    </xf>
    <xf borderId="0" fillId="5" fontId="11" numFmtId="0" xfId="0" applyAlignment="1" applyFont="1">
      <alignment horizontal="left" vertical="bottom"/>
    </xf>
    <xf borderId="0" fillId="15" fontId="5" numFmtId="0" xfId="0" applyAlignment="1" applyFont="1">
      <alignment horizontal="left" vertical="bottom"/>
    </xf>
    <xf borderId="0" fillId="15" fontId="11" numFmtId="0" xfId="0" applyAlignment="1" applyFont="1">
      <alignment horizontal="left" vertical="bottom"/>
    </xf>
    <xf borderId="0" fillId="14" fontId="11" numFmtId="0" xfId="0" applyAlignment="1" applyFont="1">
      <alignment horizontal="left" vertical="bottom"/>
    </xf>
    <xf borderId="0" fillId="14" fontId="5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4" fontId="11" numFmtId="0" xfId="0" applyAlignment="1" applyFont="1">
      <alignment horizontal="left" vertical="bottom"/>
    </xf>
    <xf borderId="0" fillId="4" fontId="5" numFmtId="0" xfId="0" applyAlignment="1" applyFont="1">
      <alignment horizontal="left" vertical="bottom"/>
    </xf>
    <xf borderId="0" fillId="4" fontId="12" numFmtId="0" xfId="0" applyAlignment="1" applyFont="1">
      <alignment horizontal="left" vertical="bottom"/>
    </xf>
    <xf borderId="0" fillId="14" fontId="12" numFmtId="0" xfId="0" applyAlignment="1" applyFont="1">
      <alignment horizontal="left" vertical="bottom"/>
    </xf>
    <xf borderId="0" fillId="7" fontId="5" numFmtId="0" xfId="0" applyAlignment="1" applyFont="1">
      <alignment horizontal="left" vertical="bottom"/>
    </xf>
    <xf borderId="0" fillId="10" fontId="5" numFmtId="0" xfId="0" applyAlignment="1" applyFont="1">
      <alignment horizontal="left" vertical="bottom"/>
    </xf>
    <xf borderId="0" fillId="10" fontId="12" numFmtId="0" xfId="0" applyAlignment="1" applyFont="1">
      <alignment horizontal="left" vertical="bottom"/>
    </xf>
    <xf borderId="0" fillId="7" fontId="11" numFmtId="0" xfId="0" applyAlignment="1" applyFont="1">
      <alignment horizontal="left" vertical="bottom"/>
    </xf>
    <xf borderId="0" fillId="12" fontId="5" numFmtId="0" xfId="0" applyAlignment="1" applyFont="1">
      <alignment horizontal="left" vertical="bottom"/>
    </xf>
    <xf borderId="0" fillId="12" fontId="11" numFmtId="0" xfId="0" applyAlignment="1" applyFont="1">
      <alignment horizontal="left" vertical="bottom"/>
    </xf>
    <xf borderId="0" fillId="3" fontId="11" numFmtId="0" xfId="0" applyAlignment="1" applyFont="1">
      <alignment horizontal="left" vertical="bottom"/>
    </xf>
    <xf borderId="0" fillId="9" fontId="12" numFmtId="0" xfId="0" applyAlignment="1" applyFont="1">
      <alignment horizontal="left" vertical="bottom"/>
    </xf>
    <xf borderId="0" fillId="9" fontId="5" numFmtId="0" xfId="0" applyAlignment="1" applyFont="1">
      <alignment horizontal="left" vertical="bottom"/>
    </xf>
    <xf borderId="0" fillId="13" fontId="12" numFmtId="0" xfId="0" applyAlignment="1" applyFont="1">
      <alignment horizontal="left" vertical="bottom"/>
    </xf>
    <xf borderId="0" fillId="13" fontId="5" numFmtId="0" xfId="0" applyAlignment="1" applyFont="1">
      <alignment horizontal="left" vertical="bottom"/>
    </xf>
    <xf borderId="0" fillId="3" fontId="12" numFmtId="0" xfId="0" applyAlignment="1" applyFont="1">
      <alignment horizontal="left" vertical="bottom"/>
    </xf>
    <xf borderId="0" fillId="3" fontId="5" numFmtId="0" xfId="0" applyAlignment="1" applyFont="1">
      <alignment horizontal="left" vertical="bottom"/>
    </xf>
    <xf borderId="0" fillId="9" fontId="11" numFmtId="0" xfId="0" applyAlignment="1" applyFont="1">
      <alignment horizontal="left" vertical="bottom"/>
    </xf>
    <xf borderId="0" fillId="13" fontId="11" numFmtId="0" xfId="0" applyAlignment="1" applyFont="1">
      <alignment horizontal="left" vertical="bottom"/>
    </xf>
    <xf borderId="0" fillId="8" fontId="5" numFmtId="0" xfId="0" applyAlignment="1" applyFont="1">
      <alignment horizontal="left" vertical="bottom"/>
    </xf>
    <xf borderId="0" fillId="0" fontId="11" numFmtId="0" xfId="0" applyAlignment="1" applyFont="1">
      <alignment horizontal="left" vertical="bottom"/>
    </xf>
    <xf borderId="0" fillId="8" fontId="11" numFmtId="0" xfId="0" applyAlignment="1" applyFont="1">
      <alignment horizontal="left" vertical="bottom"/>
    </xf>
    <xf borderId="2" fillId="15" fontId="12" numFmtId="0" xfId="0" applyAlignment="1" applyBorder="1" applyFont="1">
      <alignment horizontal="right" vertical="bottom"/>
    </xf>
    <xf borderId="2" fillId="15" fontId="12" numFmtId="0" xfId="0" applyAlignment="1" applyBorder="1" applyFont="1">
      <alignment horizontal="left" vertical="bottom"/>
    </xf>
    <xf borderId="0" fillId="11" fontId="12" numFmtId="0" xfId="0" applyAlignment="1" applyFont="1">
      <alignment horizontal="left" vertical="bottom"/>
    </xf>
    <xf borderId="0" fillId="11" fontId="5" numFmtId="0" xfId="0" applyAlignment="1" applyFont="1">
      <alignment horizontal="left" vertical="bottom"/>
    </xf>
    <xf borderId="2" fillId="5" fontId="5" numFmtId="0" xfId="0" applyAlignment="1" applyBorder="1" applyFont="1">
      <alignment horizontal="left" vertical="bottom"/>
    </xf>
    <xf borderId="2" fillId="5" fontId="5" numFmtId="0" xfId="0" applyAlignment="1" applyBorder="1" applyFont="1">
      <alignment horizontal="right" vertical="bottom"/>
    </xf>
    <xf borderId="0" fillId="11" fontId="11" numFmtId="0" xfId="0" applyAlignment="1" applyFont="1">
      <alignment horizontal="left" vertical="bottom"/>
    </xf>
    <xf borderId="2" fillId="0" fontId="12" numFmtId="0" xfId="0" applyAlignment="1" applyBorder="1" applyFont="1">
      <alignment horizontal="left" vertical="bottom"/>
    </xf>
    <xf borderId="0" fillId="0" fontId="1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2" fillId="0" fontId="12" numFmtId="0" xfId="0" applyAlignment="1" applyBorder="1" applyFont="1">
      <alignment horizontal="left" shrinkToFit="0" vertical="bottom" wrapText="0"/>
    </xf>
    <xf borderId="2" fillId="0" fontId="11" numFmtId="0" xfId="0" applyAlignment="1" applyBorder="1" applyFont="1">
      <alignment horizontal="left" vertical="bottom"/>
    </xf>
    <xf borderId="0" fillId="0" fontId="12" numFmtId="0" xfId="0" applyAlignment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57"/>
    <col customWidth="1" min="2" max="2" width="23.29"/>
    <col customWidth="1" min="3" max="4" width="26.57"/>
    <col customWidth="1" min="5" max="5" width="0.43"/>
    <col customWidth="1" min="6" max="7" width="12.86"/>
    <col customWidth="1" min="8" max="8" width="23.86"/>
    <col customWidth="1" min="9" max="9" width="8.71"/>
    <col customWidth="1" min="10" max="10" width="12.14"/>
    <col customWidth="1" min="11" max="11" width="8.71"/>
    <col customWidth="1" min="12" max="12" width="16.14"/>
    <col customWidth="1" min="13" max="14" width="8.71"/>
    <col customWidth="1" min="15" max="16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1" t="s">
        <v>7</v>
      </c>
      <c r="L1" s="12" t="s">
        <v>9</v>
      </c>
      <c r="M1" s="13"/>
      <c r="N1" s="14" t="s">
        <v>10</v>
      </c>
      <c r="O1" s="14" t="s">
        <v>11</v>
      </c>
      <c r="P1" s="14"/>
    </row>
    <row r="2">
      <c r="A2" s="15">
        <v>44371.0</v>
      </c>
      <c r="B2" s="16" t="str">
        <f>IFERROR(__xludf.DUMMYFUNCTION("FILTER($H$2:$H$445,$I$2:$I$445=D2)"),"Transfer Student Association")</f>
        <v>Transfer Student Association</v>
      </c>
      <c r="C2" s="16" t="str">
        <f>IFERROR(__xludf.DUMMYFUNCTION("filter($J$1:$J$500, $K$1:$K$500=D2)")," ")</f>
        <v> </v>
      </c>
      <c r="D2" s="17">
        <v>1950.0</v>
      </c>
      <c r="F2" s="18">
        <v>150.0</v>
      </c>
      <c r="G2" s="18"/>
      <c r="H2" s="19" t="s">
        <v>12</v>
      </c>
      <c r="I2" s="20">
        <v>17.0</v>
      </c>
      <c r="J2" s="21" t="s">
        <v>13</v>
      </c>
      <c r="K2" s="22">
        <v>84.0</v>
      </c>
      <c r="L2" s="22" t="str">
        <f>IFERROR(__xludf.DUMMYFUNCTION("filter($O$1:$O$200,$K$1:$K$200=N2)"),"#N/A")</f>
        <v>#N/A</v>
      </c>
      <c r="M2" s="22"/>
      <c r="N2" s="23">
        <v>405.0</v>
      </c>
      <c r="O2" s="24">
        <v>1550.0</v>
      </c>
      <c r="P2" s="24"/>
    </row>
    <row r="3">
      <c r="A3" s="25">
        <v>44371.0</v>
      </c>
      <c r="B3" s="26" t="str">
        <f>IFERROR(__xludf.DUMMYFUNCTION("FILTER($H$2:$H$445,$I$2:$I$445=D3)"),"TEDxRutgers")</f>
        <v>TEDxRutgers</v>
      </c>
      <c r="C3" s="26" t="str">
        <f>IFERROR(__xludf.DUMMYFUNCTION("filter($J$1:$J$500, $K$1:$K$500=D3)"),"Academic")</f>
        <v>Academic</v>
      </c>
      <c r="D3" s="27">
        <v>1538.0</v>
      </c>
      <c r="F3" s="28">
        <v>5.01</v>
      </c>
      <c r="G3" s="18"/>
      <c r="H3" s="29" t="s">
        <v>14</v>
      </c>
      <c r="I3" s="30">
        <v>624.0</v>
      </c>
      <c r="J3" s="31" t="s">
        <v>15</v>
      </c>
      <c r="K3" s="32">
        <v>1615.0</v>
      </c>
      <c r="L3" s="22" t="str">
        <f>IFERROR(__xludf.DUMMYFUNCTION("filter($O$1:$O$200,$K$1:$K$200=N3)"),"#N/A")</f>
        <v>#N/A</v>
      </c>
      <c r="M3" s="22"/>
      <c r="N3" s="33">
        <v>675.0</v>
      </c>
      <c r="O3" s="34">
        <v>0.0</v>
      </c>
      <c r="P3" s="34"/>
    </row>
    <row r="4">
      <c r="A4" s="25">
        <v>44371.0</v>
      </c>
      <c r="B4" s="26" t="str">
        <f>IFERROR(__xludf.DUMMYFUNCTION("FILTER($H$2:$H$445,$I$2:$I$445=D4)"),"Korean Language Club")</f>
        <v>Korean Language Club</v>
      </c>
      <c r="C4" s="26" t="str">
        <f>IFERROR(__xludf.DUMMYFUNCTION("filter($J$1:$J$500, $K$1:$K$500=D4)"),"Academic")</f>
        <v>Academic</v>
      </c>
      <c r="D4" s="27">
        <v>1940.0</v>
      </c>
      <c r="F4" s="28">
        <v>16.81</v>
      </c>
      <c r="G4" s="18"/>
      <c r="H4" s="29" t="s">
        <v>16</v>
      </c>
      <c r="I4" s="30">
        <v>1486.0</v>
      </c>
      <c r="J4" s="29" t="s">
        <v>17</v>
      </c>
      <c r="K4" s="32">
        <v>115.0</v>
      </c>
      <c r="L4" s="22">
        <f>IFERROR(__xludf.DUMMYFUNCTION("filter($O$1:$O$200,$K$1:$K$200=N4)"),850.0)</f>
        <v>850</v>
      </c>
      <c r="M4" s="22"/>
      <c r="N4" s="33">
        <v>196.0</v>
      </c>
      <c r="O4" s="33">
        <v>2000.0</v>
      </c>
      <c r="P4" s="33"/>
    </row>
    <row r="5">
      <c r="A5" s="25">
        <v>44371.0</v>
      </c>
      <c r="B5" s="26" t="str">
        <f>IFERROR(__xludf.DUMMYFUNCTION("FILTER($H$2:$H$445,$I$2:$I$445=D5)"),"Geology Club")</f>
        <v>Geology Club</v>
      </c>
      <c r="C5" s="26" t="str">
        <f>IFERROR(__xludf.DUMMYFUNCTION("filter($J$1:$J$500, $K$1:$K$500=D5)"),"Academic")</f>
        <v>Academic</v>
      </c>
      <c r="D5" s="27">
        <v>1320.0</v>
      </c>
      <c r="F5" s="28">
        <v>50.0</v>
      </c>
      <c r="G5" s="18"/>
      <c r="H5" s="29" t="s">
        <v>18</v>
      </c>
      <c r="I5" s="30">
        <v>749.0</v>
      </c>
      <c r="J5" s="31" t="s">
        <v>19</v>
      </c>
      <c r="K5" s="32">
        <v>414.0</v>
      </c>
      <c r="L5" s="35">
        <f>IFERROR(__xludf.DUMMYFUNCTION("filter($O$1:$O$200,$K$1:$K$200=N5)"),0.0)</f>
        <v>0</v>
      </c>
      <c r="M5" s="22"/>
      <c r="N5" s="33">
        <v>1433.0</v>
      </c>
      <c r="O5" s="34">
        <v>0.0</v>
      </c>
      <c r="P5" s="34"/>
    </row>
    <row r="6">
      <c r="A6" s="25">
        <v>44371.0</v>
      </c>
      <c r="B6" s="26" t="str">
        <f>IFERROR(__xludf.DUMMYFUNCTION("FILTER($H$2:$H$445,$I$2:$I$445=D6)"),"Society of Physics Students")</f>
        <v>Society of Physics Students</v>
      </c>
      <c r="C6" s="26" t="str">
        <f>IFERROR(__xludf.DUMMYFUNCTION("filter($J$1:$J$500, $K$1:$K$500=D6)"),"Academic")</f>
        <v>Academic</v>
      </c>
      <c r="D6" s="27">
        <v>615.0</v>
      </c>
      <c r="F6" s="28">
        <v>51.76</v>
      </c>
      <c r="G6" s="18"/>
      <c r="H6" s="29" t="s">
        <v>20</v>
      </c>
      <c r="I6" s="30">
        <v>1950.0</v>
      </c>
      <c r="J6" s="31" t="s">
        <v>19</v>
      </c>
      <c r="K6" s="32">
        <v>1879.0</v>
      </c>
      <c r="L6" s="35">
        <f>IFERROR(__xludf.DUMMYFUNCTION("filter($O$1:$O$200,$K$1:$K$200=N6)"),0.0)</f>
        <v>0</v>
      </c>
      <c r="M6" s="22"/>
      <c r="N6" s="33">
        <v>1541.0</v>
      </c>
      <c r="O6" s="34">
        <v>0.0</v>
      </c>
      <c r="P6" s="34"/>
    </row>
    <row r="7">
      <c r="A7" s="25">
        <v>44371.0</v>
      </c>
      <c r="B7" s="26" t="str">
        <f>IFERROR(__xludf.DUMMYFUNCTION("FILTER($H$2:$H$445,$I$2:$I$445=D7)"),"Chemistry Society")</f>
        <v>Chemistry Society</v>
      </c>
      <c r="C7" s="26" t="str">
        <f>IFERROR(__xludf.DUMMYFUNCTION("filter($J$1:$J$500, $K$1:$K$500=D7)"),"Academic")</f>
        <v>Academic</v>
      </c>
      <c r="D7" s="27">
        <v>512.0</v>
      </c>
      <c r="F7" s="28">
        <v>54.0</v>
      </c>
      <c r="G7" s="18"/>
      <c r="H7" s="36" t="s">
        <v>21</v>
      </c>
      <c r="I7" s="30">
        <v>48.0</v>
      </c>
      <c r="J7" s="31" t="s">
        <v>22</v>
      </c>
      <c r="K7" s="32">
        <v>733.0</v>
      </c>
      <c r="L7" s="35">
        <f>IFERROR(__xludf.DUMMYFUNCTION("filter($O$1:$O$200,$K$1:$K$200=N7)"),150.0)</f>
        <v>150</v>
      </c>
      <c r="M7" s="22"/>
      <c r="N7" s="33">
        <v>26.0</v>
      </c>
      <c r="O7" s="34">
        <v>50.0</v>
      </c>
      <c r="P7" s="34"/>
    </row>
    <row r="8">
      <c r="A8" s="25">
        <v>44371.0</v>
      </c>
      <c r="B8" s="26" t="str">
        <f>IFERROR(__xludf.DUMMYFUNCTION("FILTER($H$2:$H$445,$I$2:$I$445=D8)"),"Kidney Disease Screening and Awareness Program")</f>
        <v>Kidney Disease Screening and Awareness Program</v>
      </c>
      <c r="C8" s="26" t="str">
        <f>IFERROR(__xludf.DUMMYFUNCTION("filter($J$1:$J$500, $K$1:$K$500=D8)"),"Academic")</f>
        <v>Academic</v>
      </c>
      <c r="D8" s="27">
        <v>1542.0</v>
      </c>
      <c r="F8" s="28">
        <v>93.0</v>
      </c>
      <c r="G8" s="18"/>
      <c r="H8" s="36" t="s">
        <v>23</v>
      </c>
      <c r="I8" s="30">
        <v>1749.0</v>
      </c>
      <c r="J8" s="31" t="s">
        <v>17</v>
      </c>
      <c r="K8" s="32">
        <v>1602.0</v>
      </c>
      <c r="L8" s="22" t="str">
        <f>IFERROR(__xludf.DUMMYFUNCTION("filter($O$1:$O$200,$K$1:$K$200=N8)"),"#N/A")</f>
        <v>#N/A</v>
      </c>
      <c r="M8" s="22"/>
      <c r="N8" s="33">
        <v>1410.0</v>
      </c>
      <c r="O8" s="34">
        <v>299.7</v>
      </c>
      <c r="P8" s="34"/>
    </row>
    <row r="9">
      <c r="A9" s="25">
        <v>44371.0</v>
      </c>
      <c r="B9" s="26" t="str">
        <f>IFERROR(__xludf.DUMMYFUNCTION("FILTER($H$2:$H$445,$I$2:$I$445=D9)"),"Archaeological Society")</f>
        <v>Archaeological Society</v>
      </c>
      <c r="C9" s="26" t="str">
        <f>IFERROR(__xludf.DUMMYFUNCTION("filter($J$1:$J$500, $K$1:$K$500=D9)"),"Academic")</f>
        <v>Academic</v>
      </c>
      <c r="D9" s="27">
        <v>1845.0</v>
      </c>
      <c r="F9" s="28">
        <v>100.0</v>
      </c>
      <c r="G9" s="18"/>
      <c r="H9" s="29" t="s">
        <v>24</v>
      </c>
      <c r="I9" s="30">
        <v>1946.0</v>
      </c>
      <c r="J9" s="31" t="s">
        <v>25</v>
      </c>
      <c r="K9" s="32">
        <v>159.0</v>
      </c>
      <c r="L9" s="35">
        <f>IFERROR(__xludf.DUMMYFUNCTION("filter($O$1:$O$200,$K$1:$K$200=N9)"),390.0)</f>
        <v>390</v>
      </c>
      <c r="M9" s="22"/>
      <c r="N9" s="33">
        <v>1203.0</v>
      </c>
      <c r="O9" s="34">
        <v>0.0</v>
      </c>
      <c r="P9" s="34"/>
    </row>
    <row r="10">
      <c r="A10" s="25">
        <v>44371.0</v>
      </c>
      <c r="B10" s="26" t="str">
        <f>IFERROR(__xludf.DUMMYFUNCTION("FILTER($H$2:$H$445,$I$2:$I$445=D10)"),"Undergraduate Math Association")</f>
        <v>Undergraduate Math Association</v>
      </c>
      <c r="C10" s="26" t="str">
        <f>IFERROR(__xludf.DUMMYFUNCTION("filter($J$1:$J$500, $K$1:$K$500=D10)"),"Academic")</f>
        <v>Academic</v>
      </c>
      <c r="D10" s="27">
        <v>1256.0</v>
      </c>
      <c r="F10" s="28">
        <v>100.0</v>
      </c>
      <c r="G10" s="18"/>
      <c r="H10" s="36" t="s">
        <v>26</v>
      </c>
      <c r="I10" s="30">
        <v>1611.0</v>
      </c>
      <c r="J10" s="31" t="s">
        <v>27</v>
      </c>
      <c r="K10" s="32">
        <v>492.0</v>
      </c>
      <c r="L10" s="22">
        <f>IFERROR(__xludf.DUMMYFUNCTION("filter($O$1:$O$200,$K$1:$K$200=N10)"),1440.0)</f>
        <v>1440</v>
      </c>
      <c r="M10" s="22"/>
      <c r="N10" s="33">
        <v>1877.0</v>
      </c>
      <c r="O10" s="34">
        <v>470.0</v>
      </c>
      <c r="P10" s="34"/>
    </row>
    <row r="11">
      <c r="A11" s="25">
        <v>44371.0</v>
      </c>
      <c r="B11" s="26" t="str">
        <f>IFERROR(__xludf.DUMMYFUNCTION("FILTER($H$2:$H$445,$I$2:$I$445=D11)"),"Undergraduate Students Alliance of Computer Science")</f>
        <v>Undergraduate Students Alliance of Computer Science</v>
      </c>
      <c r="C11" s="26" t="str">
        <f>IFERROR(__xludf.DUMMYFUNCTION("filter($J$1:$J$500, $K$1:$K$500=D11)"),"Academic")</f>
        <v>Academic</v>
      </c>
      <c r="D11" s="27">
        <v>352.0</v>
      </c>
      <c r="F11" s="28">
        <v>100.0</v>
      </c>
      <c r="G11" s="18"/>
      <c r="H11" s="36" t="s">
        <v>28</v>
      </c>
      <c r="I11" s="30">
        <v>660.0</v>
      </c>
      <c r="J11" s="31" t="s">
        <v>17</v>
      </c>
      <c r="K11" s="32">
        <v>1013.0</v>
      </c>
      <c r="L11" s="35">
        <f>IFERROR(__xludf.DUMMYFUNCTION("filter($O$1:$O$200,$K$1:$K$200=N11)"),729.57)</f>
        <v>729.57</v>
      </c>
      <c r="M11" s="22"/>
      <c r="N11" s="33">
        <v>1845.0</v>
      </c>
      <c r="O11" s="34">
        <v>100.0</v>
      </c>
      <c r="P11" s="34"/>
    </row>
    <row r="12">
      <c r="A12" s="25">
        <v>44371.0</v>
      </c>
      <c r="B12" s="26" t="str">
        <f>IFERROR(__xludf.DUMMYFUNCTION("FILTER($H$2:$H$445,$I$2:$I$445=D12)"),"Spanish Club")</f>
        <v>Spanish Club</v>
      </c>
      <c r="C12" s="26" t="str">
        <f>IFERROR(__xludf.DUMMYFUNCTION("filter($J$1:$J$500, $K$1:$K$500=D12)"),"Academic")</f>
        <v>Academic</v>
      </c>
      <c r="D12" s="27">
        <v>1795.0</v>
      </c>
      <c r="F12" s="28">
        <v>113.0</v>
      </c>
      <c r="G12" s="18"/>
      <c r="H12" s="36" t="s">
        <v>29</v>
      </c>
      <c r="I12" s="30">
        <v>1897.0</v>
      </c>
      <c r="J12" s="31" t="s">
        <v>30</v>
      </c>
      <c r="K12" s="32">
        <v>1490.0</v>
      </c>
      <c r="L12" s="35">
        <f>IFERROR(__xludf.DUMMYFUNCTION("filter($O$1:$O$200,$K$1:$K$200=N12)"),100.0)</f>
        <v>100</v>
      </c>
      <c r="M12" s="22"/>
      <c r="N12" s="33">
        <v>452.0</v>
      </c>
      <c r="O12" s="34">
        <v>0.0</v>
      </c>
      <c r="P12" s="34"/>
    </row>
    <row r="13">
      <c r="A13" s="25">
        <v>44371.0</v>
      </c>
      <c r="B13" s="26" t="str">
        <f>IFERROR(__xludf.DUMMYFUNCTION("FILTER($H$2:$H$445,$I$2:$I$445=D13)"),"Rutgers Health Guardians of America")</f>
        <v>Rutgers Health Guardians of America</v>
      </c>
      <c r="C13" s="26" t="str">
        <f>IFERROR(__xludf.DUMMYFUNCTION("filter($J$1:$J$500, $K$1:$K$500=D13)"),"Academic")</f>
        <v>Academic</v>
      </c>
      <c r="D13" s="27">
        <v>1908.0</v>
      </c>
      <c r="F13" s="28">
        <v>114.57</v>
      </c>
      <c r="G13" s="18"/>
      <c r="H13" s="36" t="s">
        <v>31</v>
      </c>
      <c r="I13" s="30">
        <v>22.0</v>
      </c>
      <c r="J13" s="31" t="s">
        <v>15</v>
      </c>
      <c r="K13" s="32">
        <v>136.0</v>
      </c>
      <c r="L13" s="35">
        <f>IFERROR(__xludf.DUMMYFUNCTION("filter($O$1:$O$200,$K$1:$K$200=N13)"),920.0)</f>
        <v>920</v>
      </c>
      <c r="M13" s="22"/>
      <c r="N13" s="33">
        <v>1655.0</v>
      </c>
      <c r="O13" s="34">
        <v>2882.48</v>
      </c>
      <c r="P13" s="34"/>
    </row>
    <row r="14">
      <c r="A14" s="25">
        <v>44371.0</v>
      </c>
      <c r="B14" s="26" t="str">
        <f>IFERROR(__xludf.DUMMYFUNCTION("FILTER($H$2:$H$445,$I$2:$I$445=D14)"),"Undergraduate Social Work Organization")</f>
        <v>Undergraduate Social Work Organization</v>
      </c>
      <c r="C14" s="26" t="str">
        <f>IFERROR(__xludf.DUMMYFUNCTION("filter($J$1:$J$500, $K$1:$K$500=D14)"),"Academic")</f>
        <v>Academic</v>
      </c>
      <c r="D14" s="27">
        <v>821.0</v>
      </c>
      <c r="F14" s="28">
        <v>168.0</v>
      </c>
      <c r="G14" s="18"/>
      <c r="H14" s="36" t="s">
        <v>32</v>
      </c>
      <c r="I14" s="30">
        <v>0.0</v>
      </c>
      <c r="J14" s="31" t="s">
        <v>27</v>
      </c>
      <c r="K14" s="32">
        <v>1822.0</v>
      </c>
      <c r="L14" s="35">
        <f>IFERROR(__xludf.DUMMYFUNCTION("filter($O$1:$O$200,$K$1:$K$200=N14)"),0.0)</f>
        <v>0</v>
      </c>
      <c r="M14" s="22"/>
      <c r="N14" s="33">
        <v>1108.0</v>
      </c>
      <c r="O14" s="34">
        <v>0.0</v>
      </c>
      <c r="P14" s="34"/>
    </row>
    <row r="15">
      <c r="A15" s="25">
        <v>44371.0</v>
      </c>
      <c r="B15" s="26" t="str">
        <f>IFERROR(__xludf.DUMMYFUNCTION("FILTER($H$2:$H$445,$I$2:$I$445=D15)"),"Undergraduate Social Work Organization")</f>
        <v>Undergraduate Social Work Organization</v>
      </c>
      <c r="C15" s="26" t="str">
        <f>IFERROR(__xludf.DUMMYFUNCTION("filter($J$1:$J$500, $K$1:$K$500=D15)"),"Academic")</f>
        <v>Academic</v>
      </c>
      <c r="D15" s="27">
        <v>821.0</v>
      </c>
      <c r="F15" s="28">
        <v>170.0</v>
      </c>
      <c r="G15" s="18"/>
      <c r="H15" s="36" t="s">
        <v>33</v>
      </c>
      <c r="I15" s="30">
        <v>1937.0</v>
      </c>
      <c r="J15" s="31" t="s">
        <v>34</v>
      </c>
      <c r="K15" s="32">
        <v>588.0</v>
      </c>
      <c r="L15" s="22" t="str">
        <f>IFERROR(__xludf.DUMMYFUNCTION("filter($O$1:$O$200,$K$1:$K$200=N15)"),"#N/A")</f>
        <v>#N/A</v>
      </c>
      <c r="M15" s="22"/>
      <c r="N15" s="33">
        <v>1103.0</v>
      </c>
      <c r="O15" s="34">
        <v>0.0</v>
      </c>
      <c r="P15" s="34"/>
    </row>
    <row r="16">
      <c r="A16" s="25">
        <v>44371.0</v>
      </c>
      <c r="B16" s="26" t="str">
        <f>IFERROR(__xludf.DUMMYFUNCTION("FILTER($H$2:$H$445,$I$2:$I$445=D16)"),"Toastmasters")</f>
        <v>Toastmasters</v>
      </c>
      <c r="C16" s="26" t="str">
        <f>IFERROR(__xludf.DUMMYFUNCTION("filter($J$1:$J$500, $K$1:$K$500=D16)"),"Academic")</f>
        <v>Academic</v>
      </c>
      <c r="D16" s="27">
        <v>782.0</v>
      </c>
      <c r="F16" s="28">
        <v>185.0</v>
      </c>
      <c r="G16" s="18"/>
      <c r="H16" s="29" t="s">
        <v>35</v>
      </c>
      <c r="I16" s="30">
        <v>1663.0</v>
      </c>
      <c r="J16" s="31" t="s">
        <v>13</v>
      </c>
      <c r="K16" s="32">
        <v>1823.0</v>
      </c>
      <c r="L16" s="35">
        <f>IFERROR(__xludf.DUMMYFUNCTION("filter($O$1:$O$200,$K$1:$K$200=N16)"),50.0)</f>
        <v>50</v>
      </c>
      <c r="M16" s="22"/>
      <c r="N16" s="33">
        <v>25.0</v>
      </c>
      <c r="O16" s="34">
        <v>500.0</v>
      </c>
      <c r="P16" s="34"/>
    </row>
    <row r="17">
      <c r="A17" s="25">
        <v>44371.0</v>
      </c>
      <c r="B17" s="26" t="str">
        <f>IFERROR(__xludf.DUMMYFUNCTION("FILTER($H$2:$H$445,$I$2:$I$445=D17)"),"Rutgers University Moot Court Association")</f>
        <v>Rutgers University Moot Court Association</v>
      </c>
      <c r="C17" s="26" t="str">
        <f>IFERROR(__xludf.DUMMYFUNCTION("filter($J$1:$J$500, $K$1:$K$500=D17)"),"Academic")</f>
        <v>Academic</v>
      </c>
      <c r="D17" s="27">
        <v>1881.0</v>
      </c>
      <c r="F17" s="28">
        <v>196.0</v>
      </c>
      <c r="G17" s="18"/>
      <c r="H17" s="36" t="s">
        <v>36</v>
      </c>
      <c r="I17" s="30">
        <v>630.0</v>
      </c>
      <c r="J17" s="31" t="s">
        <v>37</v>
      </c>
      <c r="K17" s="32">
        <v>1433.0</v>
      </c>
      <c r="L17" s="35">
        <f>IFERROR(__xludf.DUMMYFUNCTION("filter($O$1:$O$200,$K$1:$K$200=N17)"),8000.0)</f>
        <v>8000</v>
      </c>
      <c r="M17" s="22"/>
      <c r="N17" s="33">
        <v>1972.0</v>
      </c>
      <c r="O17" s="34">
        <v>0.0</v>
      </c>
      <c r="P17" s="34"/>
    </row>
    <row r="18">
      <c r="A18" s="25">
        <v>44371.0</v>
      </c>
      <c r="B18" s="26" t="str">
        <f>IFERROR(__xludf.DUMMYFUNCTION("FILTER($H$2:$H$445,$I$2:$I$445=D18)"),"Rutgers University Moot Court Association")</f>
        <v>Rutgers University Moot Court Association</v>
      </c>
      <c r="C18" s="26" t="str">
        <f>IFERROR(__xludf.DUMMYFUNCTION("filter($J$1:$J$500, $K$1:$K$500=D18)"),"Academic")</f>
        <v>Academic</v>
      </c>
      <c r="D18" s="27">
        <v>1881.0</v>
      </c>
      <c r="F18" s="28">
        <v>200.0</v>
      </c>
      <c r="G18" s="18"/>
      <c r="H18" s="36" t="s">
        <v>38</v>
      </c>
      <c r="I18" s="30">
        <v>1057.0</v>
      </c>
      <c r="J18" s="31" t="s">
        <v>13</v>
      </c>
      <c r="K18" s="32">
        <v>145.0</v>
      </c>
      <c r="L18" s="35">
        <f>IFERROR(__xludf.DUMMYFUNCTION("filter($O$1:$O$200,$K$1:$K$200=N18)"),210.0)</f>
        <v>210</v>
      </c>
      <c r="M18" s="22"/>
      <c r="N18" s="33">
        <v>1054.0</v>
      </c>
      <c r="O18" s="34">
        <v>375.0</v>
      </c>
      <c r="P18" s="34"/>
    </row>
    <row r="19">
      <c r="A19" s="25">
        <v>44371.0</v>
      </c>
      <c r="B19" s="26" t="str">
        <f>IFERROR(__xludf.DUMMYFUNCTION("FILTER($H$2:$H$445,$I$2:$I$445=D19)"),"Real Estate Club")</f>
        <v>Real Estate Club</v>
      </c>
      <c r="C19" s="26" t="str">
        <f>IFERROR(__xludf.DUMMYFUNCTION("filter($J$1:$J$500, $K$1:$K$500=D19)"),"Academic")</f>
        <v>Academic</v>
      </c>
      <c r="D19" s="27">
        <v>1220.0</v>
      </c>
      <c r="F19" s="28">
        <v>210.0</v>
      </c>
      <c r="G19" s="18"/>
      <c r="H19" s="36" t="s">
        <v>39</v>
      </c>
      <c r="I19" s="30">
        <v>320.0</v>
      </c>
      <c r="J19" s="31" t="s">
        <v>34</v>
      </c>
      <c r="K19" s="32">
        <v>493.0</v>
      </c>
      <c r="L19" s="22" t="str">
        <f>IFERROR(__xludf.DUMMYFUNCTION("filter($O$1:$O$200,$K$1:$K$200=N19)"),"#N/A")</f>
        <v>#N/A</v>
      </c>
      <c r="M19" s="22"/>
      <c r="N19" s="33">
        <v>748.0</v>
      </c>
      <c r="O19" s="34">
        <v>100.0</v>
      </c>
      <c r="P19" s="34"/>
    </row>
    <row r="20">
      <c r="A20" s="25">
        <v>44371.0</v>
      </c>
      <c r="B20" s="26" t="str">
        <f>IFERROR(__xludf.DUMMYFUNCTION("FILTER($H$2:$H$445,$I$2:$I$445=D20)"),"Undergraduate Students Alliance of Computer Science")</f>
        <v>Undergraduate Students Alliance of Computer Science</v>
      </c>
      <c r="C20" s="26" t="str">
        <f>IFERROR(__xludf.DUMMYFUNCTION("filter($J$1:$J$500, $K$1:$K$500=D20)"),"Academic")</f>
        <v>Academic</v>
      </c>
      <c r="D20" s="27">
        <v>352.0</v>
      </c>
      <c r="F20" s="28">
        <v>257.04</v>
      </c>
      <c r="G20" s="18"/>
      <c r="H20" s="29" t="s">
        <v>40</v>
      </c>
      <c r="I20" s="30">
        <v>1391.0</v>
      </c>
      <c r="J20" s="31" t="s">
        <v>19</v>
      </c>
      <c r="K20" s="32">
        <v>1943.0</v>
      </c>
      <c r="L20" s="22" t="str">
        <f>IFERROR(__xludf.DUMMYFUNCTION("filter($O$1:$O$200,$K$1:$K$200=N20)"),"#N/A")</f>
        <v>#N/A</v>
      </c>
      <c r="M20" s="22"/>
      <c r="N20" s="33">
        <v>1926.0</v>
      </c>
      <c r="O20" s="34">
        <v>0.0</v>
      </c>
      <c r="P20" s="34"/>
    </row>
    <row r="21">
      <c r="A21" s="25">
        <v>44371.0</v>
      </c>
      <c r="B21" s="26" t="str">
        <f>IFERROR(__xludf.DUMMYFUNCTION("FILTER($H$2:$H$445,$I$2:$I$445=D21)"),"Rutgers Security Club ")</f>
        <v>Rutgers Security Club </v>
      </c>
      <c r="C21" s="26" t="str">
        <f>IFERROR(__xludf.DUMMYFUNCTION("filter($J$1:$J$500, $K$1:$K$500=D21)"),"Academic")</f>
        <v>Academic</v>
      </c>
      <c r="D21" s="27">
        <v>1674.0</v>
      </c>
      <c r="F21" s="28">
        <v>297.0</v>
      </c>
      <c r="G21" s="18"/>
      <c r="H21" s="36" t="s">
        <v>41</v>
      </c>
      <c r="I21" s="30">
        <v>1328.0</v>
      </c>
      <c r="J21" s="31" t="s">
        <v>13</v>
      </c>
      <c r="K21" s="32">
        <v>1568.0</v>
      </c>
      <c r="L21" s="35">
        <f>IFERROR(__xludf.DUMMYFUNCTION("filter($O$1:$O$200,$K$1:$K$200=N21)"),200.0)</f>
        <v>200</v>
      </c>
      <c r="M21" s="22"/>
      <c r="N21" s="33">
        <v>22.0</v>
      </c>
      <c r="O21" s="34">
        <v>10915.0</v>
      </c>
      <c r="P21" s="34"/>
    </row>
    <row r="22">
      <c r="A22" s="25">
        <v>44371.0</v>
      </c>
      <c r="B22" s="26" t="str">
        <f>IFERROR(__xludf.DUMMYFUNCTION("FILTER($H$2:$H$445,$I$2:$I$445=D22)"),"READ, the Rutgers University Book Club")</f>
        <v>READ, the Rutgers University Book Club</v>
      </c>
      <c r="C22" s="26" t="str">
        <f>IFERROR(__xludf.DUMMYFUNCTION("filter($J$1:$J$500, $K$1:$K$500=D22)"),"Academic")</f>
        <v>Academic</v>
      </c>
      <c r="D22" s="27">
        <v>1186.0</v>
      </c>
      <c r="F22" s="28">
        <v>309.0</v>
      </c>
      <c r="G22" s="18"/>
      <c r="H22" s="29" t="s">
        <v>42</v>
      </c>
      <c r="I22" s="30">
        <v>148.0</v>
      </c>
      <c r="J22" s="31" t="s">
        <v>43</v>
      </c>
      <c r="K22" s="32">
        <v>1786.0</v>
      </c>
      <c r="L22" s="22" t="str">
        <f>IFERROR(__xludf.DUMMYFUNCTION("filter($O$1:$O$200,$K$1:$K$200=N22)"),"#N/A")</f>
        <v>#N/A</v>
      </c>
      <c r="M22" s="22"/>
      <c r="N22" s="33">
        <v>697.0</v>
      </c>
      <c r="O22" s="33">
        <v>0.0</v>
      </c>
      <c r="P22" s="33"/>
    </row>
    <row r="23">
      <c r="A23" s="25">
        <v>44371.0</v>
      </c>
      <c r="B23" s="26" t="str">
        <f>IFERROR(__xludf.DUMMYFUNCTION("FILTER($H$2:$H$445,$I$2:$I$445=D23)"),"Cell Biology and Neuroscience Society")</f>
        <v>Cell Biology and Neuroscience Society</v>
      </c>
      <c r="C23" s="26" t="str">
        <f>IFERROR(__xludf.DUMMYFUNCTION("filter($J$1:$J$500, $K$1:$K$500=D23)"),"Academic")</f>
        <v>Academic</v>
      </c>
      <c r="D23" s="27">
        <v>1030.0</v>
      </c>
      <c r="F23" s="28">
        <v>326.0</v>
      </c>
      <c r="G23" s="18"/>
      <c r="H23" s="36" t="s">
        <v>44</v>
      </c>
      <c r="I23" s="30">
        <v>1772.0</v>
      </c>
      <c r="J23" s="31" t="s">
        <v>13</v>
      </c>
      <c r="K23" s="32">
        <v>1818.0</v>
      </c>
      <c r="L23" s="35">
        <f>IFERROR(__xludf.DUMMYFUNCTION("filter($O$1:$O$200,$K$1:$K$200=N23)"),54.0)</f>
        <v>54</v>
      </c>
      <c r="M23" s="22"/>
      <c r="N23" s="33">
        <v>170.0</v>
      </c>
      <c r="O23" s="34">
        <v>225.0</v>
      </c>
      <c r="P23" s="34"/>
    </row>
    <row r="24">
      <c r="A24" s="25">
        <v>44371.0</v>
      </c>
      <c r="B24" s="26" t="str">
        <f>IFERROR(__xludf.DUMMYFUNCTION("FILTER($H$2:$H$445,$I$2:$I$445=D24)"),"Rutgers Health Guardians of America")</f>
        <v>Rutgers Health Guardians of America</v>
      </c>
      <c r="C24" s="26" t="str">
        <f>IFERROR(__xludf.DUMMYFUNCTION("filter($J$1:$J$500, $K$1:$K$500=D24)"),"Academic")</f>
        <v>Academic</v>
      </c>
      <c r="D24" s="27">
        <v>1908.0</v>
      </c>
      <c r="F24" s="28">
        <v>337.0</v>
      </c>
      <c r="G24" s="18"/>
      <c r="H24" s="36" t="s">
        <v>45</v>
      </c>
      <c r="I24" s="30">
        <v>407.0</v>
      </c>
      <c r="J24" s="31" t="s">
        <v>37</v>
      </c>
      <c r="K24" s="32">
        <v>1415.0</v>
      </c>
      <c r="L24" s="35">
        <f>IFERROR(__xludf.DUMMYFUNCTION("filter($O$1:$O$200,$K$1:$K$200=N24)"),130.0)</f>
        <v>130</v>
      </c>
      <c r="M24" s="22"/>
      <c r="N24" s="33">
        <v>98.0</v>
      </c>
      <c r="O24" s="33">
        <v>5150.0</v>
      </c>
      <c r="P24" s="33"/>
    </row>
    <row r="25">
      <c r="A25" s="25">
        <v>44371.0</v>
      </c>
      <c r="B25" s="26" t="str">
        <f>IFERROR(__xludf.DUMMYFUNCTION("FILTER($H$2:$H$445,$I$2:$I$445=D25)"),"KSEA-Rutgers")</f>
        <v>KSEA-Rutgers</v>
      </c>
      <c r="C25" s="26" t="str">
        <f>IFERROR(__xludf.DUMMYFUNCTION("filter($J$1:$J$500, $K$1:$K$500=D25)"),"Academic")</f>
        <v>Academic</v>
      </c>
      <c r="D25" s="27">
        <v>1574.0</v>
      </c>
      <c r="F25" s="28">
        <v>337.0</v>
      </c>
      <c r="G25" s="18"/>
      <c r="H25" s="29" t="s">
        <v>46</v>
      </c>
      <c r="I25" s="30">
        <v>1514.0</v>
      </c>
      <c r="J25" s="31" t="s">
        <v>15</v>
      </c>
      <c r="K25" s="32">
        <v>1592.0</v>
      </c>
      <c r="L25" s="22" t="str">
        <f>IFERROR(__xludf.DUMMYFUNCTION("filter($O$1:$O$200,$K$1:$K$200=N25)"),"#N/A")</f>
        <v>#N/A</v>
      </c>
      <c r="M25" s="22"/>
      <c r="N25" s="33">
        <v>295.0</v>
      </c>
      <c r="O25" s="34">
        <v>10700.0</v>
      </c>
      <c r="P25" s="34"/>
    </row>
    <row r="26">
      <c r="A26" s="25">
        <v>44371.0</v>
      </c>
      <c r="B26" s="26" t="str">
        <f>IFERROR(__xludf.DUMMYFUNCTION("FILTER($H$2:$H$445,$I$2:$I$445=D26)"),"Actuarial Club")</f>
        <v>Actuarial Club</v>
      </c>
      <c r="C26" s="26" t="str">
        <f>IFERROR(__xludf.DUMMYFUNCTION("filter($J$1:$J$500, $K$1:$K$500=D26)"),"Academic")</f>
        <v>Academic</v>
      </c>
      <c r="D26" s="27">
        <v>1054.0</v>
      </c>
      <c r="F26" s="28">
        <v>375.0</v>
      </c>
      <c r="G26" s="18"/>
      <c r="H26" s="36" t="s">
        <v>47</v>
      </c>
      <c r="I26" s="30">
        <v>57.0</v>
      </c>
      <c r="J26" s="31" t="s">
        <v>13</v>
      </c>
      <c r="K26" s="32">
        <v>568.0</v>
      </c>
      <c r="L26" s="35">
        <f>IFERROR(__xludf.DUMMYFUNCTION("filter($O$1:$O$200,$K$1:$K$200=N26)"),500.0)</f>
        <v>500</v>
      </c>
      <c r="M26" s="22"/>
      <c r="N26" s="33">
        <v>291.0</v>
      </c>
      <c r="O26" s="34">
        <v>3890.0</v>
      </c>
      <c r="P26" s="34"/>
    </row>
    <row r="27">
      <c r="A27" s="25">
        <v>44371.0</v>
      </c>
      <c r="B27" s="26" t="str">
        <f>IFERROR(__xludf.DUMMYFUNCTION("FILTER($H$2:$H$445,$I$2:$I$445=D27)"),"Geology Club")</f>
        <v>Geology Club</v>
      </c>
      <c r="C27" s="26" t="str">
        <f>IFERROR(__xludf.DUMMYFUNCTION("filter($J$1:$J$500, $K$1:$K$500=D27)"),"Academic")</f>
        <v>Academic</v>
      </c>
      <c r="D27" s="27">
        <v>1320.0</v>
      </c>
      <c r="F27" s="28">
        <v>453.0</v>
      </c>
      <c r="G27" s="18"/>
      <c r="H27" s="29" t="s">
        <v>48</v>
      </c>
      <c r="I27" s="30">
        <v>211.0</v>
      </c>
      <c r="J27" s="31" t="s">
        <v>27</v>
      </c>
      <c r="K27" s="32">
        <v>1748.0</v>
      </c>
      <c r="L27" s="22" t="str">
        <f>IFERROR(__xludf.DUMMYFUNCTION("filter($O$1:$O$200,$K$1:$K$200=N27)"),"#N/A")</f>
        <v>#N/A</v>
      </c>
      <c r="M27" s="22"/>
      <c r="N27" s="33">
        <v>1946.0</v>
      </c>
      <c r="O27" s="34">
        <v>130.0</v>
      </c>
      <c r="P27" s="34"/>
    </row>
    <row r="28">
      <c r="A28" s="25">
        <v>44371.0</v>
      </c>
      <c r="B28" s="26" t="str">
        <f>IFERROR(__xludf.DUMMYFUNCTION("FILTER($H$2:$H$445,$I$2:$I$445=D28)"),"Undergraduate Anthropology Club")</f>
        <v>Undergraduate Anthropology Club</v>
      </c>
      <c r="C28" s="26" t="str">
        <f>IFERROR(__xludf.DUMMYFUNCTION("filter($J$1:$J$500, $K$1:$K$500=D28)"),"Academic")</f>
        <v>Academic</v>
      </c>
      <c r="D28" s="27">
        <v>391.0</v>
      </c>
      <c r="F28" s="28">
        <v>483.71</v>
      </c>
      <c r="G28" s="18"/>
      <c r="H28" s="29" t="s">
        <v>49</v>
      </c>
      <c r="I28" s="30">
        <v>1951.0</v>
      </c>
      <c r="J28" s="31" t="s">
        <v>19</v>
      </c>
      <c r="K28" s="32">
        <v>1937.0</v>
      </c>
      <c r="L28" s="22" t="str">
        <f>IFERROR(__xludf.DUMMYFUNCTION("filter($O$1:$O$200,$K$1:$K$200=N28)"),"#N/A")</f>
        <v>#N/A</v>
      </c>
      <c r="M28" s="22"/>
      <c r="N28" s="33">
        <v>226.0</v>
      </c>
      <c r="O28" s="34">
        <v>1000.0</v>
      </c>
      <c r="P28" s="34"/>
    </row>
    <row r="29">
      <c r="A29" s="25">
        <v>44371.0</v>
      </c>
      <c r="B29" s="26" t="str">
        <f>IFERROR(__xludf.DUMMYFUNCTION("FILTER($H$2:$H$445,$I$2:$I$445=D29)"),"Korean Language Club")</f>
        <v>Korean Language Club</v>
      </c>
      <c r="C29" s="26" t="str">
        <f>IFERROR(__xludf.DUMMYFUNCTION("filter($J$1:$J$500, $K$1:$K$500=D29)"),"Academic")</f>
        <v>Academic</v>
      </c>
      <c r="D29" s="27">
        <v>1940.0</v>
      </c>
      <c r="F29" s="28">
        <v>513.08</v>
      </c>
      <c r="G29" s="18"/>
      <c r="H29" s="36" t="s">
        <v>50</v>
      </c>
      <c r="I29" s="30">
        <v>1150.0</v>
      </c>
      <c r="J29" s="31" t="s">
        <v>43</v>
      </c>
      <c r="K29" s="32">
        <v>1399.0</v>
      </c>
      <c r="L29" s="22" t="str">
        <f>IFERROR(__xludf.DUMMYFUNCTION("filter($O$1:$O$200,$K$1:$K$200=N29)"),"#N/A")</f>
        <v>#N/A</v>
      </c>
      <c r="M29" s="22"/>
      <c r="N29" s="33">
        <v>746.0</v>
      </c>
      <c r="O29" s="34">
        <v>0.0</v>
      </c>
      <c r="P29" s="34"/>
    </row>
    <row r="30">
      <c r="A30" s="25">
        <v>44371.0</v>
      </c>
      <c r="B30" s="26" t="str">
        <f>IFERROR(__xludf.DUMMYFUNCTION("FILTER($H$2:$H$445,$I$2:$I$445=D30)"),"Public Speaking Organization")</f>
        <v>Public Speaking Organization</v>
      </c>
      <c r="C30" s="26" t="str">
        <f>IFERROR(__xludf.DUMMYFUNCTION("filter($J$1:$J$500, $K$1:$K$500=D30)"),"Academic")</f>
        <v>Academic</v>
      </c>
      <c r="D30" s="27">
        <v>1748.0</v>
      </c>
      <c r="F30" s="28">
        <v>590.0</v>
      </c>
      <c r="G30" s="18"/>
      <c r="H30" s="29" t="s">
        <v>51</v>
      </c>
      <c r="I30" s="30">
        <v>1541.0</v>
      </c>
      <c r="J30" s="31" t="s">
        <v>30</v>
      </c>
      <c r="K30" s="32">
        <v>232.0</v>
      </c>
      <c r="L30" s="22" t="str">
        <f>IFERROR(__xludf.DUMMYFUNCTION("filter($O$1:$O$200,$K$1:$K$200=N30)"),"#N/A")</f>
        <v>#N/A</v>
      </c>
      <c r="M30" s="22"/>
      <c r="N30" s="33">
        <v>1369.0</v>
      </c>
      <c r="O30" s="34">
        <v>13060.0</v>
      </c>
      <c r="P30" s="34"/>
    </row>
    <row r="31">
      <c r="A31" s="25">
        <v>44371.0</v>
      </c>
      <c r="B31" s="26" t="str">
        <f>IFERROR(__xludf.DUMMYFUNCTION("FILTER($H$2:$H$445,$I$2:$I$445=D31)"),"Debate Union")</f>
        <v>Debate Union</v>
      </c>
      <c r="C31" s="26" t="str">
        <f>IFERROR(__xludf.DUMMYFUNCTION("filter($J$1:$J$500, $K$1:$K$500=D31)"),"Academic")</f>
        <v>Academic</v>
      </c>
      <c r="D31" s="27">
        <v>157.0</v>
      </c>
      <c r="F31" s="28">
        <v>595.0</v>
      </c>
      <c r="G31" s="18"/>
      <c r="H31" s="29" t="s">
        <v>52</v>
      </c>
      <c r="I31" s="30">
        <v>733.0</v>
      </c>
      <c r="J31" s="37"/>
      <c r="K31" s="38"/>
      <c r="L31" s="35">
        <f>IFERROR(__xludf.DUMMYFUNCTION("filter($O$1:$O$200,$K$1:$K$200=N31)"),20.0)</f>
        <v>20</v>
      </c>
      <c r="M31" s="22"/>
      <c r="N31" s="39">
        <v>1871.0</v>
      </c>
      <c r="O31" s="40">
        <v>0.0</v>
      </c>
      <c r="P31" s="40" t="str">
        <f>AVERAGE(#REF!)</f>
        <v>#REF!</v>
      </c>
    </row>
    <row r="32">
      <c r="A32" s="25">
        <v>44371.0</v>
      </c>
      <c r="B32" s="26" t="str">
        <f>IFERROR(__xludf.DUMMYFUNCTION("FILTER($H$2:$H$445,$I$2:$I$445=D32)"),"Astronomical Society")</f>
        <v>Astronomical Society</v>
      </c>
      <c r="C32" s="26" t="str">
        <f>IFERROR(__xludf.DUMMYFUNCTION("filter($J$1:$J$500, $K$1:$K$500=D32)"),"Academic")</f>
        <v>Academic</v>
      </c>
      <c r="D32" s="27">
        <v>675.0</v>
      </c>
      <c r="F32" s="28">
        <v>614.0</v>
      </c>
      <c r="G32" s="18"/>
      <c r="H32" s="36" t="s">
        <v>53</v>
      </c>
      <c r="I32" s="30">
        <v>1878.0</v>
      </c>
      <c r="J32" s="31" t="s">
        <v>30</v>
      </c>
      <c r="K32" s="32">
        <v>1866.0</v>
      </c>
      <c r="L32" s="22" t="str">
        <f>IFERROR(__xludf.DUMMYFUNCTION("filter($O$1:$O$200,$K$1:$K$200=N32)"),"#N/A")</f>
        <v>#N/A</v>
      </c>
      <c r="M32" s="22"/>
      <c r="N32" s="33">
        <v>1934.0</v>
      </c>
      <c r="O32" s="34">
        <v>2340.0</v>
      </c>
      <c r="P32" s="34"/>
    </row>
    <row r="33">
      <c r="A33" s="25">
        <v>44371.0</v>
      </c>
      <c r="B33" s="26" t="str">
        <f>IFERROR(__xludf.DUMMYFUNCTION("FILTER($H$2:$H$445,$I$2:$I$445=D33)"),"Active Minds at Rutgers")</f>
        <v>Active Minds at Rutgers</v>
      </c>
      <c r="C33" s="26" t="str">
        <f>IFERROR(__xludf.DUMMYFUNCTION("filter($J$1:$J$500, $K$1:$K$500=D33)"),"Academic")</f>
        <v>Academic</v>
      </c>
      <c r="D33" s="27">
        <v>1655.0</v>
      </c>
      <c r="F33" s="28">
        <v>622.0</v>
      </c>
      <c r="G33" s="18"/>
      <c r="H33" s="36" t="s">
        <v>54</v>
      </c>
      <c r="I33" s="30">
        <v>1186.0</v>
      </c>
      <c r="J33" s="31" t="s">
        <v>27</v>
      </c>
      <c r="K33" s="32">
        <v>1574.0</v>
      </c>
      <c r="L33" s="22" t="str">
        <f>IFERROR(__xludf.DUMMYFUNCTION("filter($O$1:$O$200,$K$1:$K$200=N33)"),"#N/A")</f>
        <v>#N/A</v>
      </c>
      <c r="M33" s="22"/>
      <c r="N33" s="33">
        <v>154.0</v>
      </c>
      <c r="O33" s="34">
        <v>955.0</v>
      </c>
      <c r="P33" s="34"/>
    </row>
    <row r="34">
      <c r="A34" s="25">
        <v>44371.0</v>
      </c>
      <c r="B34" s="26" t="str">
        <f>IFERROR(__xludf.DUMMYFUNCTION("FILTER($H$2:$H$445,$I$2:$I$445=D34)"),"Academic Team")</f>
        <v>Academic Team</v>
      </c>
      <c r="C34" s="26" t="str">
        <f>IFERROR(__xludf.DUMMYFUNCTION("filter($J$1:$J$500, $K$1:$K$500=D34)"),"Academic")</f>
        <v>Academic</v>
      </c>
      <c r="D34" s="27">
        <v>405.0</v>
      </c>
      <c r="F34" s="28">
        <v>750.0</v>
      </c>
      <c r="G34" s="18"/>
      <c r="H34" s="36" t="s">
        <v>55</v>
      </c>
      <c r="I34" s="30">
        <v>1594.0</v>
      </c>
      <c r="J34" s="31" t="s">
        <v>17</v>
      </c>
      <c r="K34" s="32">
        <v>768.0</v>
      </c>
      <c r="L34" s="22" t="str">
        <f>IFERROR(__xludf.DUMMYFUNCTION("filter($O$1:$O$200,$K$1:$K$200=N34)"),"#N/A")</f>
        <v>#N/A</v>
      </c>
      <c r="M34" s="22"/>
      <c r="N34" s="33">
        <v>767.0</v>
      </c>
      <c r="O34" s="34">
        <v>860.0</v>
      </c>
      <c r="P34" s="34"/>
    </row>
    <row r="35">
      <c r="A35" s="25">
        <v>44371.0</v>
      </c>
      <c r="B35" s="26" t="str">
        <f>IFERROR(__xludf.DUMMYFUNCTION("FILTER($H$2:$H$445,$I$2:$I$445=D35)"),"Psychological Society")</f>
        <v>Psychological Society</v>
      </c>
      <c r="C35" s="26" t="str">
        <f>IFERROR(__xludf.DUMMYFUNCTION("filter($J$1:$J$500, $K$1:$K$500=D35)"),"Academic")</f>
        <v>Academic</v>
      </c>
      <c r="D35" s="27">
        <v>492.0</v>
      </c>
      <c r="F35" s="28">
        <v>791.0</v>
      </c>
      <c r="G35" s="18"/>
      <c r="H35" s="36" t="s">
        <v>56</v>
      </c>
      <c r="I35" s="30">
        <v>1929.0</v>
      </c>
      <c r="J35" s="31" t="s">
        <v>30</v>
      </c>
      <c r="K35" s="32">
        <v>1906.0</v>
      </c>
      <c r="L35" s="35">
        <f>IFERROR(__xludf.DUMMYFUNCTION("filter($O$1:$O$200,$K$1:$K$200=N35)"),400.0)</f>
        <v>400</v>
      </c>
      <c r="M35" s="22"/>
      <c r="N35" s="33">
        <v>1023.0</v>
      </c>
      <c r="O35" s="33">
        <v>3900.0</v>
      </c>
      <c r="P35" s="33"/>
    </row>
    <row r="36">
      <c r="A36" s="25">
        <v>44371.0</v>
      </c>
      <c r="B36" s="26" t="str">
        <f>IFERROR(__xludf.DUMMYFUNCTION("FILTER($H$2:$H$445,$I$2:$I$445=D36)"),"Kidney Disease Screening and Awareness Program")</f>
        <v>Kidney Disease Screening and Awareness Program</v>
      </c>
      <c r="C36" s="26" t="str">
        <f>IFERROR(__xludf.DUMMYFUNCTION("filter($J$1:$J$500, $K$1:$K$500=D36)"),"Academic")</f>
        <v>Academic</v>
      </c>
      <c r="D36" s="27">
        <v>1542.0</v>
      </c>
      <c r="F36" s="28">
        <v>900.0</v>
      </c>
      <c r="G36" s="18"/>
      <c r="H36" s="29" t="s">
        <v>57</v>
      </c>
      <c r="I36" s="30">
        <v>414.0</v>
      </c>
      <c r="J36" s="31" t="s">
        <v>15</v>
      </c>
      <c r="K36" s="32">
        <v>344.0</v>
      </c>
      <c r="L36" s="22" t="str">
        <f>IFERROR(__xludf.DUMMYFUNCTION("filter($O$1:$O$200,$K$1:$K$200=N36)"),"#N/A")</f>
        <v>#N/A</v>
      </c>
      <c r="M36" s="22"/>
      <c r="N36" s="33">
        <v>1312.0</v>
      </c>
      <c r="O36" s="34">
        <v>0.0</v>
      </c>
      <c r="P36" s="34"/>
    </row>
    <row r="37">
      <c r="A37" s="25">
        <v>44371.0</v>
      </c>
      <c r="B37" s="26" t="str">
        <f>IFERROR(__xludf.DUMMYFUNCTION("FILTER($H$2:$H$445,$I$2:$I$445=D37)"),"American Sign Language Club")</f>
        <v>American Sign Language Club</v>
      </c>
      <c r="C37" s="26" t="str">
        <f>IFERROR(__xludf.DUMMYFUNCTION("filter($J$1:$J$500, $K$1:$K$500=D37)"),"Academic")</f>
        <v>Academic</v>
      </c>
      <c r="D37" s="27">
        <v>1103.0</v>
      </c>
      <c r="F37" s="28">
        <v>973.0</v>
      </c>
      <c r="G37" s="18"/>
      <c r="H37" s="29" t="s">
        <v>58</v>
      </c>
      <c r="I37" s="30">
        <v>1324.0</v>
      </c>
      <c r="J37" s="31" t="s">
        <v>15</v>
      </c>
      <c r="K37" s="32">
        <v>1801.0</v>
      </c>
      <c r="L37" s="35">
        <f>IFERROR(__xludf.DUMMYFUNCTION("filter($O$1:$O$200,$K$1:$K$200=N37)"),300.0)</f>
        <v>300</v>
      </c>
      <c r="M37" s="22"/>
      <c r="N37" s="33">
        <v>712.0</v>
      </c>
      <c r="O37" s="33">
        <v>47.32</v>
      </c>
      <c r="P37" s="33"/>
    </row>
    <row r="38">
      <c r="A38" s="25">
        <v>44371.0</v>
      </c>
      <c r="B38" s="26" t="str">
        <f>IFERROR(__xludf.DUMMYFUNCTION("FILTER($H$2:$H$445,$I$2:$I$445=D38)"),"Actuarial Club")</f>
        <v>Actuarial Club</v>
      </c>
      <c r="C38" s="26" t="str">
        <f>IFERROR(__xludf.DUMMYFUNCTION("filter($J$1:$J$500, $K$1:$K$500=D38)"),"Academic")</f>
        <v>Academic</v>
      </c>
      <c r="D38" s="27">
        <v>1054.0</v>
      </c>
      <c r="F38" s="41">
        <v>1042.0</v>
      </c>
      <c r="G38" s="42"/>
      <c r="H38" s="29" t="s">
        <v>59</v>
      </c>
      <c r="I38" s="30">
        <v>1881.0</v>
      </c>
      <c r="J38" s="31" t="s">
        <v>15</v>
      </c>
      <c r="K38" s="32">
        <v>1812.0</v>
      </c>
      <c r="L38" s="22" t="str">
        <f>IFERROR(__xludf.DUMMYFUNCTION("filter($O$1:$O$200,$K$1:$K$200=N38)"),"#N/A")</f>
        <v>#N/A</v>
      </c>
      <c r="M38" s="22"/>
      <c r="N38" s="33">
        <v>63.0</v>
      </c>
      <c r="O38" s="34">
        <v>0.0</v>
      </c>
      <c r="P38" s="34"/>
    </row>
    <row r="39">
      <c r="A39" s="25">
        <v>44371.0</v>
      </c>
      <c r="B39" s="26" t="str">
        <f>IFERROR(__xludf.DUMMYFUNCTION("FILTER($H$2:$H$445,$I$2:$I$445=D39)"),"Real Estate Club")</f>
        <v>Real Estate Club</v>
      </c>
      <c r="C39" s="26" t="str">
        <f>IFERROR(__xludf.DUMMYFUNCTION("filter($J$1:$J$500, $K$1:$K$500=D39)"),"Academic")</f>
        <v>Academic</v>
      </c>
      <c r="D39" s="27">
        <v>1220.0</v>
      </c>
      <c r="F39" s="41">
        <v>1544.84</v>
      </c>
      <c r="G39" s="42"/>
      <c r="H39" s="36" t="s">
        <v>60</v>
      </c>
      <c r="I39" s="30">
        <v>75.0</v>
      </c>
      <c r="J39" s="31" t="s">
        <v>22</v>
      </c>
      <c r="K39" s="32">
        <v>1773.0</v>
      </c>
      <c r="L39" s="35">
        <f>IFERROR(__xludf.DUMMYFUNCTION("filter($O$1:$O$200,$K$1:$K$200=N39)"),0.0)</f>
        <v>0</v>
      </c>
      <c r="M39" s="22"/>
      <c r="N39" s="33">
        <v>1155.0</v>
      </c>
      <c r="O39" s="34">
        <v>300.0</v>
      </c>
      <c r="P39" s="34"/>
    </row>
    <row r="40">
      <c r="A40" s="25">
        <v>44371.0</v>
      </c>
      <c r="B40" s="26" t="str">
        <f>IFERROR(__xludf.DUMMYFUNCTION("FILTER($H$2:$H$445,$I$2:$I$445=D40)"),"Active Minds at Rutgers")</f>
        <v>Active Minds at Rutgers</v>
      </c>
      <c r="C40" s="26" t="str">
        <f>IFERROR(__xludf.DUMMYFUNCTION("filter($J$1:$J$500, $K$1:$K$500=D40)"),"Academic")</f>
        <v>Academic</v>
      </c>
      <c r="D40" s="27">
        <v>1655.0</v>
      </c>
      <c r="F40" s="41">
        <v>1982.48</v>
      </c>
      <c r="G40" s="42"/>
      <c r="H40" s="29" t="s">
        <v>61</v>
      </c>
      <c r="I40" s="30">
        <v>1926.0</v>
      </c>
      <c r="J40" s="31" t="s">
        <v>27</v>
      </c>
      <c r="K40" s="32">
        <v>293.0</v>
      </c>
      <c r="L40" s="35">
        <f>IFERROR(__xludf.DUMMYFUNCTION("filter($O$1:$O$200,$K$1:$K$200=N40)"),300.0)</f>
        <v>300</v>
      </c>
      <c r="M40" s="22"/>
      <c r="N40" s="33">
        <v>1958.0</v>
      </c>
      <c r="O40" s="34">
        <v>1100.0</v>
      </c>
      <c r="P40" s="34"/>
    </row>
    <row r="41">
      <c r="A41" s="25">
        <v>44371.0</v>
      </c>
      <c r="B41" s="26" t="str">
        <f>IFERROR(__xludf.DUMMYFUNCTION("FILTER($H$2:$H$445,$I$2:$I$445=D41)"),"Psychological Society")</f>
        <v>Psychological Society</v>
      </c>
      <c r="C41" s="26" t="str">
        <f>IFERROR(__xludf.DUMMYFUNCTION("filter($J$1:$J$500, $K$1:$K$500=D41)"),"Academic")</f>
        <v>Academic</v>
      </c>
      <c r="D41" s="27">
        <v>492.0</v>
      </c>
      <c r="F41" s="41">
        <v>2550.0</v>
      </c>
      <c r="G41" s="42"/>
      <c r="H41" s="29" t="s">
        <v>62</v>
      </c>
      <c r="I41" s="30">
        <v>1412.0</v>
      </c>
      <c r="J41" s="31" t="s">
        <v>43</v>
      </c>
      <c r="K41" s="32">
        <v>745.0</v>
      </c>
      <c r="L41" s="35">
        <f>IFERROR(__xludf.DUMMYFUNCTION("filter($O$1:$O$200,$K$1:$K$200=N41)"),30.0)</f>
        <v>30</v>
      </c>
      <c r="M41" s="22"/>
      <c r="N41" s="33">
        <v>745.0</v>
      </c>
      <c r="O41" s="34">
        <v>30.0</v>
      </c>
      <c r="P41" s="34"/>
    </row>
    <row r="42">
      <c r="A42" s="43">
        <v>44371.0</v>
      </c>
      <c r="B42" s="44" t="str">
        <f>IFERROR(__xludf.DUMMYFUNCTION("FILTER($H$2:$H$445,$I$2:$I$445=D42)"),"Rutgers North American Disease")</f>
        <v>Rutgers North American Disease</v>
      </c>
      <c r="C42" s="44" t="str">
        <f>IFERROR(__xludf.DUMMYFUNCTION("filter($J$1:$J$500, $K$1:$K$500=D42)"),"Community Service")</f>
        <v>Community Service</v>
      </c>
      <c r="D42" s="45">
        <v>1753.0</v>
      </c>
      <c r="F42" s="46">
        <v>0.26</v>
      </c>
      <c r="G42" s="18"/>
      <c r="H42" s="47" t="s">
        <v>63</v>
      </c>
      <c r="I42" s="48">
        <v>1495.0</v>
      </c>
      <c r="J42" s="49" t="s">
        <v>43</v>
      </c>
      <c r="K42" s="50">
        <v>1529.0</v>
      </c>
      <c r="L42" s="35">
        <f>IFERROR(__xludf.DUMMYFUNCTION("filter($O$1:$O$200,$K$1:$K$200=N42)"),50.0)</f>
        <v>50</v>
      </c>
      <c r="M42" s="22"/>
      <c r="N42" s="51">
        <v>1819.0</v>
      </c>
      <c r="O42" s="52">
        <v>0.0</v>
      </c>
      <c r="P42" s="52"/>
    </row>
    <row r="43">
      <c r="A43" s="43">
        <v>44371.0</v>
      </c>
      <c r="B43" s="44" t="str">
        <f>IFERROR(__xludf.DUMMYFUNCTION("FILTER($H$2:$H$445,$I$2:$I$445=D43)"),"#N/A")</f>
        <v>#N/A</v>
      </c>
      <c r="C43" s="44" t="str">
        <f>IFERROR(__xludf.DUMMYFUNCTION("filter($J$1:$J$500, $K$1:$K$500=D43)"),"Community Service")</f>
        <v>Community Service</v>
      </c>
      <c r="D43" s="45">
        <v>1874.0</v>
      </c>
      <c r="F43" s="46">
        <v>4.0</v>
      </c>
      <c r="G43" s="18"/>
      <c r="H43" s="53" t="s">
        <v>64</v>
      </c>
      <c r="I43" s="48">
        <v>1410.0</v>
      </c>
      <c r="J43" s="49" t="s">
        <v>15</v>
      </c>
      <c r="K43" s="50">
        <v>149.0</v>
      </c>
      <c r="L43" s="22" t="str">
        <f>IFERROR(__xludf.DUMMYFUNCTION("filter($O$1:$O$200,$K$1:$K$200=N43)"),"#N/A")</f>
        <v>#N/A</v>
      </c>
      <c r="M43" s="22"/>
      <c r="N43" s="51">
        <v>1831.0</v>
      </c>
      <c r="O43" s="52">
        <v>300.0</v>
      </c>
      <c r="P43" s="52"/>
    </row>
    <row r="44">
      <c r="A44" s="43">
        <v>44371.0</v>
      </c>
      <c r="B44" s="44" t="str">
        <f>IFERROR(__xludf.DUMMYFUNCTION("FILTER($H$2:$H$445,$I$2:$I$445=D44)"),"Circle K ")</f>
        <v>Circle K </v>
      </c>
      <c r="C44" s="44" t="str">
        <f>IFERROR(__xludf.DUMMYFUNCTION("filter($J$1:$J$500, $K$1:$K$500=D44)"),"Community Service")</f>
        <v>Community Service</v>
      </c>
      <c r="D44" s="45">
        <v>401.0</v>
      </c>
      <c r="F44" s="46">
        <v>25.0</v>
      </c>
      <c r="G44" s="18"/>
      <c r="H44" s="47" t="s">
        <v>65</v>
      </c>
      <c r="I44" s="48">
        <v>1599.0</v>
      </c>
      <c r="J44" s="49" t="s">
        <v>13</v>
      </c>
      <c r="K44" s="50">
        <v>769.0</v>
      </c>
      <c r="L44" s="35">
        <f>IFERROR(__xludf.DUMMYFUNCTION("filter($O$1:$O$200,$K$1:$K$200=N44)"),0.0)</f>
        <v>0</v>
      </c>
      <c r="M44" s="22"/>
      <c r="N44" s="51">
        <v>338.0</v>
      </c>
      <c r="O44" s="52">
        <v>0.0</v>
      </c>
      <c r="P44" s="52"/>
    </row>
    <row r="45">
      <c r="A45" s="43">
        <v>44371.0</v>
      </c>
      <c r="B45" s="44" t="str">
        <f>IFERROR(__xludf.DUMMYFUNCTION("FILTER($H$2:$H$445,$I$2:$I$445=D45)"),"Craft to Cure")</f>
        <v>Craft to Cure</v>
      </c>
      <c r="C45" s="44" t="str">
        <f>IFERROR(__xludf.DUMMYFUNCTION("filter($J$1:$J$500, $K$1:$K$500=D45)"),"Community Service")</f>
        <v>Community Service</v>
      </c>
      <c r="D45" s="45">
        <v>1474.0</v>
      </c>
      <c r="F45" s="46">
        <v>51.93</v>
      </c>
      <c r="G45" s="18"/>
      <c r="H45" s="53" t="s">
        <v>66</v>
      </c>
      <c r="I45" s="48">
        <v>178.0</v>
      </c>
      <c r="J45" s="49" t="s">
        <v>27</v>
      </c>
      <c r="K45" s="50">
        <v>352.0</v>
      </c>
      <c r="L45" s="35">
        <f>IFERROR(__xludf.DUMMYFUNCTION("filter($O$1:$O$200,$K$1:$K$200=N45)"),3250.0)</f>
        <v>3250</v>
      </c>
      <c r="M45" s="22"/>
      <c r="N45" s="51">
        <v>178.0</v>
      </c>
      <c r="O45" s="51">
        <v>2780.0</v>
      </c>
      <c r="P45" s="51"/>
    </row>
    <row r="46">
      <c r="A46" s="43">
        <v>44371.0</v>
      </c>
      <c r="B46" s="44" t="str">
        <f>IFERROR(__xludf.DUMMYFUNCTION("FILTER($H$2:$H$445,$I$2:$I$445=D46)"),"Reach Out And Read")</f>
        <v>Reach Out And Read</v>
      </c>
      <c r="C46" s="44" t="str">
        <f>IFERROR(__xludf.DUMMYFUNCTION("filter($J$1:$J$500, $K$1:$K$500=D46)"),"Community Service")</f>
        <v>Community Service</v>
      </c>
      <c r="D46" s="45">
        <v>244.0</v>
      </c>
      <c r="F46" s="46">
        <v>61.47</v>
      </c>
      <c r="G46" s="18"/>
      <c r="H46" s="53" t="s">
        <v>67</v>
      </c>
      <c r="I46" s="48">
        <v>1143.0</v>
      </c>
      <c r="J46" s="49" t="s">
        <v>37</v>
      </c>
      <c r="K46" s="50">
        <v>1084.0</v>
      </c>
      <c r="L46" s="35">
        <f>IFERROR(__xludf.DUMMYFUNCTION("filter($O$1:$O$200,$K$1:$K$200=N46)"),0.0)</f>
        <v>0</v>
      </c>
      <c r="M46" s="22"/>
      <c r="N46" s="51">
        <v>1478.0</v>
      </c>
      <c r="O46" s="52">
        <v>400.0</v>
      </c>
      <c r="P46" s="52"/>
    </row>
    <row r="47">
      <c r="A47" s="43">
        <v>44371.0</v>
      </c>
      <c r="B47" s="44" t="str">
        <f>IFERROR(__xludf.DUMMYFUNCTION("FILTER($H$2:$H$445,$I$2:$I$445=D47)"),"Reach Out And Read")</f>
        <v>Reach Out And Read</v>
      </c>
      <c r="C47" s="44" t="str">
        <f>IFERROR(__xludf.DUMMYFUNCTION("filter($J$1:$J$500, $K$1:$K$500=D47)"),"Community Service")</f>
        <v>Community Service</v>
      </c>
      <c r="D47" s="45">
        <v>244.0</v>
      </c>
      <c r="F47" s="46">
        <v>84.0</v>
      </c>
      <c r="G47" s="18"/>
      <c r="H47" s="47" t="s">
        <v>68</v>
      </c>
      <c r="I47" s="48">
        <v>833.0</v>
      </c>
      <c r="J47" s="49" t="s">
        <v>69</v>
      </c>
      <c r="K47" s="50">
        <v>1956.0</v>
      </c>
      <c r="L47" s="22" t="str">
        <f>IFERROR(__xludf.DUMMYFUNCTION("filter($O$1:$O$200,$K$1:$K$200=N47)"),"#N/A")</f>
        <v>#N/A</v>
      </c>
      <c r="M47" s="22"/>
      <c r="N47" s="51">
        <v>1662.0</v>
      </c>
      <c r="O47" s="52">
        <v>0.0</v>
      </c>
      <c r="P47" s="52"/>
    </row>
    <row r="48">
      <c r="A48" s="43">
        <v>44371.0</v>
      </c>
      <c r="B48" s="44" t="str">
        <f>IFERROR(__xludf.DUMMYFUNCTION("FILTER($H$2:$H$445,$I$2:$I$445=D48)"),"Dental Knights Association ")</f>
        <v>Dental Knights Association </v>
      </c>
      <c r="C48" s="44" t="str">
        <f>IFERROR(__xludf.DUMMYFUNCTION("filter($J$1:$J$500, $K$1:$K$500=D48)"),"Community Service")</f>
        <v>Community Service</v>
      </c>
      <c r="D48" s="45">
        <v>1662.0</v>
      </c>
      <c r="F48" s="46">
        <v>100.0</v>
      </c>
      <c r="G48" s="18"/>
      <c r="H48" s="47" t="s">
        <v>70</v>
      </c>
      <c r="I48" s="48">
        <v>244.0</v>
      </c>
      <c r="J48" s="49" t="s">
        <v>27</v>
      </c>
      <c r="K48" s="50">
        <v>1572.0</v>
      </c>
      <c r="L48" s="22" t="str">
        <f>IFERROR(__xludf.DUMMYFUNCTION("filter($O$1:$O$200,$K$1:$K$200=N48)"),"#N/A")</f>
        <v>#N/A</v>
      </c>
      <c r="M48" s="22"/>
      <c r="N48" s="51">
        <v>1483.0</v>
      </c>
      <c r="O48" s="52">
        <v>0.0</v>
      </c>
      <c r="P48" s="52"/>
    </row>
    <row r="49">
      <c r="A49" s="43">
        <v>44371.0</v>
      </c>
      <c r="B49" s="44" t="str">
        <f>IFERROR(__xludf.DUMMYFUNCTION("FILTER($H$2:$H$445,$I$2:$I$445=D49)"),"Petey Greene")</f>
        <v>Petey Greene</v>
      </c>
      <c r="C49" s="44" t="str">
        <f>IFERROR(__xludf.DUMMYFUNCTION("filter($J$1:$J$500, $K$1:$K$500=D49)"),"Community Service")</f>
        <v>Community Service</v>
      </c>
      <c r="D49" s="45">
        <v>1835.0</v>
      </c>
      <c r="F49" s="46">
        <v>122.0</v>
      </c>
      <c r="G49" s="18"/>
      <c r="H49" s="47" t="s">
        <v>71</v>
      </c>
      <c r="I49" s="48">
        <v>504.0</v>
      </c>
      <c r="J49" s="49" t="s">
        <v>17</v>
      </c>
      <c r="K49" s="50">
        <v>1474.0</v>
      </c>
      <c r="L49" s="22" t="str">
        <f>IFERROR(__xludf.DUMMYFUNCTION("filter($O$1:$O$200,$K$1:$K$200=N49)"),"#N/A")</f>
        <v>#N/A</v>
      </c>
      <c r="M49" s="22"/>
      <c r="N49" s="51">
        <v>1688.0</v>
      </c>
      <c r="O49" s="52">
        <v>320.0</v>
      </c>
      <c r="P49" s="52"/>
    </row>
    <row r="50">
      <c r="A50" s="43">
        <v>44371.0</v>
      </c>
      <c r="B50" s="44" t="str">
        <f>IFERROR(__xludf.DUMMYFUNCTION("FILTER($H$2:$H$445,$I$2:$I$445=D50)"),"Circle K ")</f>
        <v>Circle K </v>
      </c>
      <c r="C50" s="44" t="str">
        <f>IFERROR(__xludf.DUMMYFUNCTION("filter($J$1:$J$500, $K$1:$K$500=D50)"),"Community Service")</f>
        <v>Community Service</v>
      </c>
      <c r="D50" s="45">
        <v>401.0</v>
      </c>
      <c r="F50" s="46">
        <v>134.05</v>
      </c>
      <c r="G50" s="18"/>
      <c r="H50" s="47" t="s">
        <v>72</v>
      </c>
      <c r="I50" s="48">
        <v>516.0</v>
      </c>
      <c r="J50" s="49" t="s">
        <v>69</v>
      </c>
      <c r="K50" s="50">
        <v>1936.0</v>
      </c>
      <c r="L50" s="22" t="str">
        <f>IFERROR(__xludf.DUMMYFUNCTION("filter($O$1:$O$200,$K$1:$K$200=N50)"),"#N/A")</f>
        <v>#N/A</v>
      </c>
      <c r="M50" s="22"/>
      <c r="N50" s="51">
        <v>1611.0</v>
      </c>
      <c r="O50" s="52">
        <v>0.0</v>
      </c>
      <c r="P50" s="52"/>
    </row>
    <row r="51">
      <c r="A51" s="43">
        <v>44371.0</v>
      </c>
      <c r="B51" s="44" t="str">
        <f>IFERROR(__xludf.DUMMYFUNCTION("FILTER($H$2:$H$445,$I$2:$I$445=D51)"),"Craft to Cure")</f>
        <v>Craft to Cure</v>
      </c>
      <c r="C51" s="44" t="str">
        <f>IFERROR(__xludf.DUMMYFUNCTION("filter($J$1:$J$500, $K$1:$K$500=D51)"),"Community Service")</f>
        <v>Community Service</v>
      </c>
      <c r="D51" s="45">
        <v>1474.0</v>
      </c>
      <c r="F51" s="46">
        <v>178.7</v>
      </c>
      <c r="G51" s="18"/>
      <c r="H51" s="53" t="s">
        <v>73</v>
      </c>
      <c r="I51" s="48">
        <v>1845.0</v>
      </c>
      <c r="J51" s="49" t="s">
        <v>27</v>
      </c>
      <c r="K51" s="50">
        <v>1674.0</v>
      </c>
      <c r="L51" s="22" t="str">
        <f>IFERROR(__xludf.DUMMYFUNCTION("filter($O$1:$O$200,$K$1:$K$200=N51)"),"#N/A")</f>
        <v>#N/A</v>
      </c>
      <c r="M51" s="22"/>
      <c r="N51" s="51">
        <v>1273.0</v>
      </c>
      <c r="O51" s="52">
        <v>3000.0</v>
      </c>
      <c r="P51" s="52"/>
    </row>
    <row r="52">
      <c r="A52" s="43">
        <v>44371.0</v>
      </c>
      <c r="B52" s="44" t="str">
        <f>IFERROR(__xludf.DUMMYFUNCTION("FILTER($H$2:$H$445,$I$2:$I$445=D52)"),"Charity Water Rutgers")</f>
        <v>Charity Water Rutgers</v>
      </c>
      <c r="C52" s="44" t="str">
        <f>IFERROR(__xludf.DUMMYFUNCTION("filter($J$1:$J$500, $K$1:$K$500=D52)"),"Community Service")</f>
        <v>Community Service</v>
      </c>
      <c r="D52" s="45">
        <v>1831.0</v>
      </c>
      <c r="F52" s="46">
        <v>182.0</v>
      </c>
      <c r="G52" s="18"/>
      <c r="H52" s="47" t="s">
        <v>74</v>
      </c>
      <c r="I52" s="48">
        <v>708.0</v>
      </c>
      <c r="J52" s="49" t="s">
        <v>22</v>
      </c>
      <c r="K52" s="50">
        <v>1475.0</v>
      </c>
      <c r="L52" s="35">
        <f>IFERROR(__xludf.DUMMYFUNCTION("filter($O$1:$O$200,$K$1:$K$200=N52)"),320.0)</f>
        <v>320</v>
      </c>
      <c r="M52" s="22"/>
      <c r="N52" s="51">
        <v>1474.0</v>
      </c>
      <c r="O52" s="52">
        <v>170.0</v>
      </c>
      <c r="P52" s="52"/>
    </row>
    <row r="53">
      <c r="A53" s="43">
        <v>44371.0</v>
      </c>
      <c r="B53" s="44" t="str">
        <f>IFERROR(__xludf.DUMMYFUNCTION("FILTER($H$2:$H$445,$I$2:$I$445=D53)"),"Charity Water Rutgers")</f>
        <v>Charity Water Rutgers</v>
      </c>
      <c r="C53" s="44" t="str">
        <f>IFERROR(__xludf.DUMMYFUNCTION("filter($J$1:$J$500, $K$1:$K$500=D53)"),"Community Service")</f>
        <v>Community Service</v>
      </c>
      <c r="D53" s="45">
        <v>1831.0</v>
      </c>
      <c r="F53" s="46">
        <v>200.0</v>
      </c>
      <c r="G53" s="18"/>
      <c r="H53" s="53" t="s">
        <v>75</v>
      </c>
      <c r="I53" s="48">
        <v>712.0</v>
      </c>
      <c r="J53" s="49" t="s">
        <v>17</v>
      </c>
      <c r="K53" s="50">
        <v>170.0</v>
      </c>
      <c r="L53" s="35">
        <f>IFERROR(__xludf.DUMMYFUNCTION("filter($O$1:$O$200,$K$1:$K$200=N53)"),362.9)</f>
        <v>362.9</v>
      </c>
      <c r="M53" s="22"/>
      <c r="N53" s="51">
        <v>512.0</v>
      </c>
      <c r="O53" s="52">
        <v>54.0</v>
      </c>
      <c r="P53" s="52"/>
    </row>
    <row r="54">
      <c r="A54" s="43">
        <v>44371.0</v>
      </c>
      <c r="B54" s="44" t="str">
        <f>IFERROR(__xludf.DUMMYFUNCTION("FILTER($H$2:$H$445,$I$2:$I$445=D54)"),"Healthy Kids of New Brunswick")</f>
        <v>Healthy Kids of New Brunswick</v>
      </c>
      <c r="C54" s="44" t="str">
        <f>IFERROR(__xludf.DUMMYFUNCTION("filter($J$1:$J$500, $K$1:$K$500=D54)"),"Community Service")</f>
        <v>Community Service</v>
      </c>
      <c r="D54" s="45">
        <v>1717.0</v>
      </c>
      <c r="F54" s="46">
        <v>210.0</v>
      </c>
      <c r="G54" s="18"/>
      <c r="H54" s="53" t="s">
        <v>76</v>
      </c>
      <c r="I54" s="48">
        <v>1023.0</v>
      </c>
      <c r="J54" s="49" t="s">
        <v>15</v>
      </c>
      <c r="K54" s="50">
        <v>264.0</v>
      </c>
      <c r="L54" s="22" t="str">
        <f>IFERROR(__xludf.DUMMYFUNCTION("filter($O$1:$O$200,$K$1:$K$200=N54)"),"#N/A")</f>
        <v>#N/A</v>
      </c>
      <c r="M54" s="22"/>
      <c r="N54" s="51">
        <v>1510.0</v>
      </c>
      <c r="O54" s="52">
        <v>2300.0</v>
      </c>
      <c r="P54" s="52"/>
    </row>
    <row r="55">
      <c r="A55" s="43">
        <v>44371.0</v>
      </c>
      <c r="B55" s="44" t="str">
        <f>IFERROR(__xludf.DUMMYFUNCTION("FILTER($H$2:$H$445,$I$2:$I$445=D55)"),"The G.O.Y.A. Project ")</f>
        <v>The G.O.Y.A. Project </v>
      </c>
      <c r="C55" s="44" t="str">
        <f>IFERROR(__xludf.DUMMYFUNCTION("filter($J$1:$J$500, $K$1:$K$500=D55)"),"Community Service")</f>
        <v>Community Service</v>
      </c>
      <c r="D55" s="45">
        <v>545.0</v>
      </c>
      <c r="F55" s="46">
        <v>225.0</v>
      </c>
      <c r="G55" s="18"/>
      <c r="H55" s="53" t="s">
        <v>77</v>
      </c>
      <c r="I55" s="48">
        <v>1467.0</v>
      </c>
      <c r="J55" s="49" t="s">
        <v>15</v>
      </c>
      <c r="K55" s="50">
        <v>725.0</v>
      </c>
      <c r="L55" s="22" t="str">
        <f>IFERROR(__xludf.DUMMYFUNCTION("filter($O$1:$O$200,$K$1:$K$200=N55)"),"#N/A")</f>
        <v>#N/A</v>
      </c>
      <c r="M55" s="22"/>
      <c r="N55" s="51">
        <v>401.0</v>
      </c>
      <c r="O55" s="52">
        <v>25.0</v>
      </c>
      <c r="P55" s="52"/>
    </row>
    <row r="56">
      <c r="A56" s="43">
        <v>44371.0</v>
      </c>
      <c r="B56" s="44" t="str">
        <f>IFERROR(__xludf.DUMMYFUNCTION("FILTER($H$2:$H$445,$I$2:$I$445=D56)"),"Big Buddy")</f>
        <v>Big Buddy</v>
      </c>
      <c r="C56" s="44" t="str">
        <f>IFERROR(__xludf.DUMMYFUNCTION("filter($J$1:$J$500, $K$1:$K$500=D56)"),"Community Service")</f>
        <v>Community Service</v>
      </c>
      <c r="D56" s="45">
        <v>170.0</v>
      </c>
      <c r="F56" s="46">
        <v>225.0</v>
      </c>
      <c r="G56" s="18"/>
      <c r="H56" s="53" t="s">
        <v>78</v>
      </c>
      <c r="I56" s="48">
        <v>1797.0</v>
      </c>
      <c r="J56" s="49" t="s">
        <v>25</v>
      </c>
      <c r="K56" s="50">
        <v>1141.0</v>
      </c>
      <c r="L56" s="22" t="str">
        <f>IFERROR(__xludf.DUMMYFUNCTION("filter($O$1:$O$200,$K$1:$K$200=N56)"),"#N/A")</f>
        <v>#N/A</v>
      </c>
      <c r="M56" s="22"/>
      <c r="N56" s="51">
        <v>211.0</v>
      </c>
      <c r="O56" s="52">
        <v>870.0</v>
      </c>
      <c r="P56" s="52"/>
    </row>
    <row r="57">
      <c r="A57" s="43">
        <v>44371.0</v>
      </c>
      <c r="B57" s="44" t="str">
        <f>IFERROR(__xludf.DUMMYFUNCTION("FILTER($H$2:$H$445,$I$2:$I$445=D57)"),"Rutgers North American Disease")</f>
        <v>Rutgers North American Disease</v>
      </c>
      <c r="C57" s="44" t="str">
        <f>IFERROR(__xludf.DUMMYFUNCTION("filter($J$1:$J$500, $K$1:$K$500=D57)"),"Community Service")</f>
        <v>Community Service</v>
      </c>
      <c r="D57" s="45">
        <v>1753.0</v>
      </c>
      <c r="F57" s="46">
        <v>246.43</v>
      </c>
      <c r="G57" s="18"/>
      <c r="H57" s="47" t="s">
        <v>79</v>
      </c>
      <c r="I57" s="48">
        <v>1841.0</v>
      </c>
      <c r="J57" s="49" t="s">
        <v>15</v>
      </c>
      <c r="K57" s="50">
        <v>230.0</v>
      </c>
      <c r="L57" s="35">
        <f>IFERROR(__xludf.DUMMYFUNCTION("filter($O$1:$O$200,$K$1:$K$200=N57)"),0.0)</f>
        <v>0</v>
      </c>
      <c r="M57" s="22"/>
      <c r="N57" s="51">
        <v>414.0</v>
      </c>
      <c r="O57" s="52">
        <v>480.0</v>
      </c>
      <c r="P57" s="52"/>
    </row>
    <row r="58">
      <c r="A58" s="43">
        <v>44371.0</v>
      </c>
      <c r="B58" s="44" t="str">
        <f>IFERROR(__xludf.DUMMYFUNCTION("FILTER($H$2:$H$445,$I$2:$I$445=D58)"),"Rutgers BuildOn ")</f>
        <v>Rutgers BuildOn </v>
      </c>
      <c r="C58" s="44" t="str">
        <f>IFERROR(__xludf.DUMMYFUNCTION("filter($J$1:$J$500, $K$1:$K$500=D58)"),"Community Service")</f>
        <v>Community Service</v>
      </c>
      <c r="D58" s="45">
        <v>1692.0</v>
      </c>
      <c r="F58" s="46">
        <v>250.0</v>
      </c>
      <c r="G58" s="18"/>
      <c r="H58" s="47" t="s">
        <v>80</v>
      </c>
      <c r="I58" s="48">
        <v>567.0</v>
      </c>
      <c r="J58" s="49" t="s">
        <v>37</v>
      </c>
      <c r="K58" s="50">
        <v>291.0</v>
      </c>
      <c r="L58" s="22" t="str">
        <f>IFERROR(__xludf.DUMMYFUNCTION("filter($O$1:$O$200,$K$1:$K$200=N58)"),"#N/A")</f>
        <v>#N/A</v>
      </c>
      <c r="M58" s="22"/>
      <c r="N58" s="51">
        <v>620.0</v>
      </c>
      <c r="O58" s="52">
        <v>500.0</v>
      </c>
      <c r="P58" s="52"/>
    </row>
    <row r="59">
      <c r="A59" s="43">
        <v>44371.0</v>
      </c>
      <c r="B59" s="44" t="str">
        <f>IFERROR(__xludf.DUMMYFUNCTION("FILTER($H$2:$H$445,$I$2:$I$445=D59)"),"Bloustein Public Service Association")</f>
        <v>Bloustein Public Service Association</v>
      </c>
      <c r="C59" s="44" t="str">
        <f>IFERROR(__xludf.DUMMYFUNCTION("filter($J$1:$J$500, $K$1:$K$500=D59)"),"Community Service")</f>
        <v>Community Service</v>
      </c>
      <c r="D59" s="45">
        <v>691.0</v>
      </c>
      <c r="F59" s="46">
        <v>286.0</v>
      </c>
      <c r="G59" s="18"/>
      <c r="H59" s="53" t="s">
        <v>81</v>
      </c>
      <c r="I59" s="48">
        <v>1876.0</v>
      </c>
      <c r="J59" s="49" t="s">
        <v>22</v>
      </c>
      <c r="K59" s="50">
        <v>1849.0</v>
      </c>
      <c r="L59" s="22" t="str">
        <f>IFERROR(__xludf.DUMMYFUNCTION("filter($O$1:$O$200,$K$1:$K$200=N59)"),"#N/A")</f>
        <v>#N/A</v>
      </c>
      <c r="M59" s="22"/>
      <c r="N59" s="51">
        <v>157.0</v>
      </c>
      <c r="O59" s="52">
        <v>0.0</v>
      </c>
      <c r="P59" s="52"/>
    </row>
    <row r="60">
      <c r="A60" s="43">
        <v>44371.0</v>
      </c>
      <c r="B60" s="44" t="str">
        <f>IFERROR(__xludf.DUMMYFUNCTION("FILTER($H$2:$H$445,$I$2:$I$445=D60)"),"Mind and Media ")</f>
        <v>Mind and Media </v>
      </c>
      <c r="C60" s="44" t="str">
        <f>IFERROR(__xludf.DUMMYFUNCTION("filter($J$1:$J$500, $K$1:$K$500=D60)"),"Community Service")</f>
        <v>Community Service</v>
      </c>
      <c r="D60" s="45">
        <v>1899.0</v>
      </c>
      <c r="F60" s="46">
        <v>300.0</v>
      </c>
      <c r="G60" s="18"/>
      <c r="H60" s="53" t="s">
        <v>82</v>
      </c>
      <c r="I60" s="48">
        <v>154.0</v>
      </c>
      <c r="J60" s="49" t="s">
        <v>13</v>
      </c>
      <c r="K60" s="50">
        <v>137.0</v>
      </c>
      <c r="L60" s="35">
        <f>IFERROR(__xludf.DUMMYFUNCTION("filter($O$1:$O$200,$K$1:$K$200=N60)"),0.0)</f>
        <v>0</v>
      </c>
      <c r="M60" s="22"/>
      <c r="N60" s="51">
        <v>328.0</v>
      </c>
      <c r="O60" s="52">
        <v>4370.0</v>
      </c>
      <c r="P60" s="52"/>
    </row>
    <row r="61">
      <c r="A61" s="43">
        <v>44371.0</v>
      </c>
      <c r="B61" s="44" t="str">
        <f>IFERROR(__xludf.DUMMYFUNCTION("FILTER($H$2:$H$445,$I$2:$I$445=D61)"),"Habitat for Humanity")</f>
        <v>Habitat for Humanity</v>
      </c>
      <c r="C61" s="44" t="str">
        <f>IFERROR(__xludf.DUMMYFUNCTION("filter($J$1:$J$500, $K$1:$K$500=D61)"),"Community Service")</f>
        <v>Community Service</v>
      </c>
      <c r="D61" s="45">
        <v>292.0</v>
      </c>
      <c r="F61" s="46">
        <v>300.0</v>
      </c>
      <c r="G61" s="18"/>
      <c r="H61" s="47" t="s">
        <v>83</v>
      </c>
      <c r="I61" s="48">
        <v>614.0</v>
      </c>
      <c r="J61" s="49" t="s">
        <v>19</v>
      </c>
      <c r="K61" s="50">
        <v>1055.0</v>
      </c>
      <c r="L61" s="22" t="str">
        <f>IFERROR(__xludf.DUMMYFUNCTION("filter($O$1:$O$200,$K$1:$K$200=N61)"),"#N/A")</f>
        <v>#N/A</v>
      </c>
      <c r="M61" s="22"/>
      <c r="N61" s="51">
        <v>69.0</v>
      </c>
      <c r="O61" s="51">
        <v>0.0</v>
      </c>
      <c r="P61" s="51"/>
    </row>
    <row r="62">
      <c r="A62" s="43">
        <v>44371.0</v>
      </c>
      <c r="B62" s="44" t="str">
        <f>IFERROR(__xludf.DUMMYFUNCTION("FILTER($H$2:$H$445,$I$2:$I$445=D62)"),"Habitat for Humanity")</f>
        <v>Habitat for Humanity</v>
      </c>
      <c r="C62" s="44" t="str">
        <f>IFERROR(__xludf.DUMMYFUNCTION("filter($J$1:$J$500, $K$1:$K$500=D62)"),"Community Service")</f>
        <v>Community Service</v>
      </c>
      <c r="D62" s="45">
        <v>292.0</v>
      </c>
      <c r="F62" s="46">
        <v>300.0</v>
      </c>
      <c r="G62" s="18"/>
      <c r="H62" s="47" t="s">
        <v>84</v>
      </c>
      <c r="I62" s="48">
        <v>1543.0</v>
      </c>
      <c r="J62" s="49" t="s">
        <v>30</v>
      </c>
      <c r="K62" s="50">
        <v>1951.0</v>
      </c>
      <c r="L62" s="22" t="str">
        <f>IFERROR(__xludf.DUMMYFUNCTION("filter($O$1:$O$200,$K$1:$K$200=N62)"),"#N/A")</f>
        <v>#N/A</v>
      </c>
      <c r="M62" s="22"/>
      <c r="N62" s="51">
        <v>29.0</v>
      </c>
      <c r="O62" s="52">
        <v>1500.0</v>
      </c>
      <c r="P62" s="52"/>
    </row>
    <row r="63">
      <c r="A63" s="43">
        <v>44371.0</v>
      </c>
      <c r="B63" s="44" t="str">
        <f>IFERROR(__xludf.DUMMYFUNCTION("FILTER($H$2:$H$445,$I$2:$I$445=D63)"),"Youth Empowerment Club")</f>
        <v>Youth Empowerment Club</v>
      </c>
      <c r="C63" s="44" t="str">
        <f>IFERROR(__xludf.DUMMYFUNCTION("filter($J$1:$J$500, $K$1:$K$500=D63)"),"Community Service")</f>
        <v>Community Service</v>
      </c>
      <c r="D63" s="45">
        <v>1530.0</v>
      </c>
      <c r="F63" s="46">
        <v>352.0</v>
      </c>
      <c r="G63" s="18"/>
      <c r="H63" s="53" t="s">
        <v>85</v>
      </c>
      <c r="I63" s="48">
        <v>1849.0</v>
      </c>
      <c r="J63" s="49" t="s">
        <v>25</v>
      </c>
      <c r="K63" s="50">
        <v>1651.0</v>
      </c>
      <c r="L63" s="22" t="str">
        <f>IFERROR(__xludf.DUMMYFUNCTION("filter($O$1:$O$200,$K$1:$K$200=N63)"),"#N/A")</f>
        <v>#N/A</v>
      </c>
      <c r="M63" s="22"/>
      <c r="N63" s="51">
        <v>96.0</v>
      </c>
      <c r="O63" s="52">
        <v>133.0</v>
      </c>
      <c r="P63" s="52"/>
    </row>
    <row r="64">
      <c r="A64" s="43">
        <v>44371.0</v>
      </c>
      <c r="B64" s="44" t="str">
        <f>IFERROR(__xludf.DUMMYFUNCTION("FILTER($H$2:$H$445,$I$2:$I$445=D64)"),"Envision ")</f>
        <v>Envision </v>
      </c>
      <c r="C64" s="44" t="str">
        <f>IFERROR(__xludf.DUMMYFUNCTION("filter($J$1:$J$500, $K$1:$K$500=D64)"),"Community Service")</f>
        <v>Community Service</v>
      </c>
      <c r="D64" s="45">
        <v>66.0</v>
      </c>
      <c r="F64" s="46">
        <v>360.32</v>
      </c>
      <c r="G64" s="18"/>
      <c r="H64" s="47" t="s">
        <v>86</v>
      </c>
      <c r="I64" s="48">
        <v>1538.0</v>
      </c>
      <c r="J64" s="54"/>
      <c r="K64" s="55"/>
      <c r="L64" s="35">
        <f>IFERROR(__xludf.DUMMYFUNCTION("filter($O$1:$O$200,$K$1:$K$200=N64)"),2470.0)</f>
        <v>2470</v>
      </c>
      <c r="M64" s="22"/>
      <c r="N64" s="56">
        <v>363.0</v>
      </c>
      <c r="O64" s="56">
        <v>200.0</v>
      </c>
      <c r="P64" s="57">
        <f>AVERAGE(F38:F64)</f>
        <v>419.1659259</v>
      </c>
    </row>
    <row r="65">
      <c r="A65" s="43">
        <v>44371.0</v>
      </c>
      <c r="B65" s="44" t="str">
        <f>IFERROR(__xludf.DUMMYFUNCTION("FILTER($H$2:$H$445,$I$2:$I$445=D65)"),"Big Buddy")</f>
        <v>Big Buddy</v>
      </c>
      <c r="C65" s="44" t="str">
        <f>IFERROR(__xludf.DUMMYFUNCTION("filter($J$1:$J$500, $K$1:$K$500=D65)"),"Community Service")</f>
        <v>Community Service</v>
      </c>
      <c r="D65" s="45">
        <v>170.0</v>
      </c>
      <c r="F65" s="46">
        <v>920.8</v>
      </c>
      <c r="G65" s="18"/>
      <c r="H65" s="53" t="s">
        <v>87</v>
      </c>
      <c r="I65" s="48">
        <v>1974.0</v>
      </c>
      <c r="J65" s="49" t="s">
        <v>69</v>
      </c>
      <c r="K65" s="50">
        <v>1972.0</v>
      </c>
      <c r="L65" s="22" t="str">
        <f>IFERROR(__xludf.DUMMYFUNCTION("filter($O$1:$O$200,$K$1:$K$200=N65)"),"#N/A")</f>
        <v>#N/A</v>
      </c>
      <c r="M65" s="22"/>
      <c r="N65" s="51">
        <v>722.0</v>
      </c>
      <c r="O65" s="52">
        <v>8000.0</v>
      </c>
      <c r="P65" s="52"/>
    </row>
    <row r="66">
      <c r="A66" s="43">
        <v>44371.0</v>
      </c>
      <c r="B66" s="44" t="str">
        <f>IFERROR(__xludf.DUMMYFUNCTION("FILTER($H$2:$H$445,$I$2:$I$445=D66)"),"Envision ")</f>
        <v>Envision </v>
      </c>
      <c r="C66" s="44" t="str">
        <f>IFERROR(__xludf.DUMMYFUNCTION("filter($J$1:$J$500, $K$1:$K$500=D66)"),"Community Service")</f>
        <v>Community Service</v>
      </c>
      <c r="D66" s="45">
        <v>66.0</v>
      </c>
      <c r="F66" s="58">
        <v>1717.15</v>
      </c>
      <c r="G66" s="42"/>
      <c r="H66" s="53" t="s">
        <v>88</v>
      </c>
      <c r="I66" s="48">
        <v>761.0</v>
      </c>
      <c r="J66" s="49" t="s">
        <v>17</v>
      </c>
      <c r="K66" s="50">
        <v>1236.0</v>
      </c>
      <c r="L66" s="22" t="str">
        <f>IFERROR(__xludf.DUMMYFUNCTION("filter($O$1:$O$200,$K$1:$K$200=N66)"),"#N/A")</f>
        <v>#N/A</v>
      </c>
      <c r="M66" s="22"/>
      <c r="N66" s="51">
        <v>749.0</v>
      </c>
      <c r="O66" s="52">
        <v>300.0</v>
      </c>
      <c r="P66" s="52"/>
    </row>
    <row r="67">
      <c r="A67" s="43">
        <v>44371.0</v>
      </c>
      <c r="B67" s="44" t="str">
        <f>IFERROR(__xludf.DUMMYFUNCTION("FILTER($H$2:$H$445,$I$2:$I$445=D67)"),"Petey Greene")</f>
        <v>Petey Greene</v>
      </c>
      <c r="C67" s="44" t="str">
        <f>IFERROR(__xludf.DUMMYFUNCTION("filter($J$1:$J$500, $K$1:$K$500=D67)"),"Community Service")</f>
        <v>Community Service</v>
      </c>
      <c r="D67" s="45">
        <v>1835.0</v>
      </c>
      <c r="F67" s="58">
        <v>1800.0</v>
      </c>
      <c r="G67" s="42"/>
      <c r="H67" s="47" t="s">
        <v>89</v>
      </c>
      <c r="I67" s="48">
        <v>697.0</v>
      </c>
      <c r="J67" s="49" t="s">
        <v>15</v>
      </c>
      <c r="K67" s="50">
        <v>164.0</v>
      </c>
      <c r="L67" s="22" t="str">
        <f>IFERROR(__xludf.DUMMYFUNCTION("filter($O$1:$O$200,$K$1:$K$200=N67)"),"#N/A")</f>
        <v>#N/A</v>
      </c>
      <c r="M67" s="22"/>
      <c r="N67" s="51">
        <v>1277.0</v>
      </c>
      <c r="O67" s="52">
        <v>300.0</v>
      </c>
      <c r="P67" s="52"/>
    </row>
    <row r="68">
      <c r="A68" s="43">
        <v>44371.0</v>
      </c>
      <c r="B68" s="44" t="str">
        <f>IFERROR(__xludf.DUMMYFUNCTION("FILTER($H$2:$H$445,$I$2:$I$445=D68)"),"Rutgers Future Scholars Dream Team ")</f>
        <v>Rutgers Future Scholars Dream Team </v>
      </c>
      <c r="C68" s="44" t="str">
        <f>IFERROR(__xludf.DUMMYFUNCTION("filter($J$1:$J$500, $K$1:$K$500=D68)"),"Community Service")</f>
        <v>Community Service</v>
      </c>
      <c r="D68" s="45">
        <v>1169.0</v>
      </c>
      <c r="F68" s="58">
        <v>3470.0</v>
      </c>
      <c r="G68" s="42"/>
      <c r="H68" s="47" t="s">
        <v>90</v>
      </c>
      <c r="I68" s="48">
        <v>750.0</v>
      </c>
      <c r="J68" s="49" t="s">
        <v>15</v>
      </c>
      <c r="K68" s="50">
        <v>504.0</v>
      </c>
      <c r="L68" s="35">
        <f>IFERROR(__xludf.DUMMYFUNCTION("filter($O$1:$O$200,$K$1:$K$200=N68)"),2550.0)</f>
        <v>2550</v>
      </c>
      <c r="M68" s="22"/>
      <c r="N68" s="51">
        <v>1511.0</v>
      </c>
      <c r="O68" s="52">
        <v>0.0</v>
      </c>
      <c r="P68" s="52"/>
    </row>
    <row r="69">
      <c r="A69" s="59">
        <v>44371.0</v>
      </c>
      <c r="B69" s="60" t="str">
        <f>IFERROR(__xludf.DUMMYFUNCTION("FILTER($H$2:$H$445,$I$2:$I$445=D69)"),"Latino Student Council")</f>
        <v>Latino Student Council</v>
      </c>
      <c r="C69" s="60" t="str">
        <f>IFERROR(__xludf.DUMMYFUNCTION("filter($J$1:$J$500, $K$1:$K$500=D69)"),"Cultural")</f>
        <v>Cultural</v>
      </c>
      <c r="D69" s="61">
        <v>344.0</v>
      </c>
      <c r="F69" s="62">
        <v>0.04</v>
      </c>
      <c r="G69" s="18"/>
      <c r="H69" s="63" t="s">
        <v>91</v>
      </c>
      <c r="I69" s="64">
        <v>1203.0</v>
      </c>
      <c r="J69" s="65" t="s">
        <v>15</v>
      </c>
      <c r="K69" s="66">
        <v>25.0</v>
      </c>
      <c r="L69" s="22" t="str">
        <f>IFERROR(__xludf.DUMMYFUNCTION("filter($O$1:$O$200,$K$1:$K$200=N69)"),"#N/A")</f>
        <v>#N/A</v>
      </c>
      <c r="M69" s="22"/>
      <c r="N69" s="67">
        <v>57.0</v>
      </c>
      <c r="O69" s="68">
        <v>50.0</v>
      </c>
      <c r="P69" s="68"/>
    </row>
    <row r="70">
      <c r="A70" s="59">
        <v>44371.0</v>
      </c>
      <c r="B70" s="60" t="str">
        <f>IFERROR(__xludf.DUMMYFUNCTION("FILTER($H$2:$H$445,$I$2:$I$445=D70)"),"Mexican American Student Association")</f>
        <v>Mexican American Student Association</v>
      </c>
      <c r="C70" s="60" t="str">
        <f>IFERROR(__xludf.DUMMYFUNCTION("filter($J$1:$J$500, $K$1:$K$500=D70)"),"Cultural")</f>
        <v>Cultural</v>
      </c>
      <c r="D70" s="61">
        <v>1801.0</v>
      </c>
      <c r="F70" s="62">
        <v>2.01</v>
      </c>
      <c r="G70" s="18"/>
      <c r="H70" s="63" t="s">
        <v>92</v>
      </c>
      <c r="I70" s="64">
        <v>1061.0</v>
      </c>
      <c r="J70" s="69" t="s">
        <v>25</v>
      </c>
      <c r="K70" s="66">
        <v>196.0</v>
      </c>
      <c r="L70" s="22" t="str">
        <f>IFERROR(__xludf.DUMMYFUNCTION("filter($O$1:$O$200,$K$1:$K$200=N70)"),"#N/A")</f>
        <v>#N/A</v>
      </c>
      <c r="M70" s="22"/>
      <c r="N70" s="67">
        <v>538.0</v>
      </c>
      <c r="O70" s="67">
        <v>850.0</v>
      </c>
      <c r="P70" s="67"/>
    </row>
    <row r="71">
      <c r="A71" s="59">
        <v>44371.0</v>
      </c>
      <c r="B71" s="60" t="str">
        <f>IFERROR(__xludf.DUMMYFUNCTION("FILTER($H$2:$H$445,$I$2:$I$445=D71)"),"Fusion: The Rutgers Union of Mixed People Student Organization of Rutgers")</f>
        <v>Fusion: The Rutgers Union of Mixed People Student Organization of Rutgers</v>
      </c>
      <c r="C71" s="60" t="str">
        <f>IFERROR(__xludf.DUMMYFUNCTION("filter($J$1:$J$500, $K$1:$K$500=D71)"),"Cultural")</f>
        <v>Cultural</v>
      </c>
      <c r="D71" s="61">
        <v>710.0</v>
      </c>
      <c r="F71" s="62">
        <v>2.01</v>
      </c>
      <c r="G71" s="18"/>
      <c r="H71" s="63" t="s">
        <v>93</v>
      </c>
      <c r="I71" s="64">
        <v>1387.0</v>
      </c>
      <c r="J71" s="69" t="s">
        <v>25</v>
      </c>
      <c r="K71" s="66">
        <v>653.0</v>
      </c>
      <c r="L71" s="22" t="str">
        <f>IFERROR(__xludf.DUMMYFUNCTION("filter($O$1:$O$200,$K$1:$K$200=N71)"),"#N/A")</f>
        <v>#N/A</v>
      </c>
      <c r="M71" s="22"/>
      <c r="N71" s="67">
        <v>1873.0</v>
      </c>
      <c r="O71" s="68">
        <v>100.0</v>
      </c>
      <c r="P71" s="68"/>
    </row>
    <row r="72">
      <c r="A72" s="59">
        <v>44371.0</v>
      </c>
      <c r="B72" s="60" t="str">
        <f>IFERROR(__xludf.DUMMYFUNCTION("FILTER($H$2:$H$445,$I$2:$I$445=D72)"),"The Black Men's Collective")</f>
        <v>The Black Men's Collective</v>
      </c>
      <c r="C72" s="60" t="str">
        <f>IFERROR(__xludf.DUMMYFUNCTION("filter($J$1:$J$500, $K$1:$K$500=D72)"),"Cultural")</f>
        <v>Cultural</v>
      </c>
      <c r="D72" s="61">
        <v>666.0</v>
      </c>
      <c r="F72" s="62">
        <v>25.0</v>
      </c>
      <c r="G72" s="18"/>
      <c r="H72" s="63" t="s">
        <v>94</v>
      </c>
      <c r="I72" s="64">
        <v>1674.0</v>
      </c>
      <c r="J72" s="69" t="s">
        <v>15</v>
      </c>
      <c r="K72" s="66">
        <v>1871.0</v>
      </c>
      <c r="L72" s="35">
        <f>IFERROR(__xludf.DUMMYFUNCTION("filter($O$1:$O$200,$K$1:$K$200=N72)"),0.0)</f>
        <v>0</v>
      </c>
      <c r="M72" s="22"/>
      <c r="N72" s="67">
        <v>1940.0</v>
      </c>
      <c r="O72" s="68">
        <v>20.0</v>
      </c>
      <c r="P72" s="68"/>
    </row>
    <row r="73">
      <c r="A73" s="59">
        <v>44371.0</v>
      </c>
      <c r="B73" s="60" t="str">
        <f>IFERROR(__xludf.DUMMYFUNCTION("FILTER($H$2:$H$445,$I$2:$I$445=D73)"),"Organization of Luso-Americans")</f>
        <v>Organization of Luso-Americans</v>
      </c>
      <c r="C73" s="60" t="str">
        <f>IFERROR(__xludf.DUMMYFUNCTION("filter($J$1:$J$500, $K$1:$K$500=D73)"),"Cultural")</f>
        <v>Cultural</v>
      </c>
      <c r="D73" s="61">
        <v>287.0</v>
      </c>
      <c r="F73" s="62">
        <v>28.0</v>
      </c>
      <c r="G73" s="18"/>
      <c r="H73" s="63" t="s">
        <v>95</v>
      </c>
      <c r="I73" s="64">
        <v>1012.0</v>
      </c>
      <c r="J73" s="69" t="s">
        <v>13</v>
      </c>
      <c r="K73" s="66">
        <v>1953.0</v>
      </c>
      <c r="L73" s="22">
        <f>IFERROR(__xludf.DUMMYFUNCTION("filter($O$1:$O$200,$K$1:$K$200=N73)"),1200.0)</f>
        <v>1200</v>
      </c>
      <c r="M73" s="22"/>
      <c r="N73" s="67">
        <v>72.0</v>
      </c>
      <c r="O73" s="68">
        <v>0.0</v>
      </c>
      <c r="P73" s="68"/>
    </row>
    <row r="74">
      <c r="A74" s="59">
        <v>44371.0</v>
      </c>
      <c r="B74" s="60" t="str">
        <f>IFERROR(__xludf.DUMMYFUNCTION("FILTER($H$2:$H$445,$I$2:$I$445=D74)"),"Bengali Students Association")</f>
        <v>Bengali Students Association</v>
      </c>
      <c r="C74" s="60" t="str">
        <f>IFERROR(__xludf.DUMMYFUNCTION("filter($J$1:$J$500, $K$1:$K$500=D74)"),"Cultural")</f>
        <v>Cultural</v>
      </c>
      <c r="D74" s="61">
        <v>63.0</v>
      </c>
      <c r="F74" s="62">
        <v>30.0</v>
      </c>
      <c r="G74" s="18"/>
      <c r="H74" s="63" t="s">
        <v>96</v>
      </c>
      <c r="I74" s="64">
        <v>197.0</v>
      </c>
      <c r="J74" s="69" t="s">
        <v>17</v>
      </c>
      <c r="K74" s="66">
        <v>1239.0</v>
      </c>
      <c r="L74" s="22" t="str">
        <f>IFERROR(__xludf.DUMMYFUNCTION("filter($O$1:$O$200,$K$1:$K$200=N74)"),"#N/A")</f>
        <v>#N/A</v>
      </c>
      <c r="M74" s="22"/>
      <c r="N74" s="67">
        <v>1785.0</v>
      </c>
      <c r="O74" s="68">
        <v>735.0</v>
      </c>
      <c r="P74" s="68"/>
    </row>
    <row r="75">
      <c r="A75" s="59">
        <v>44371.0</v>
      </c>
      <c r="B75" s="60" t="str">
        <f>IFERROR(__xludf.DUMMYFUNCTION("FILTER($H$2:$H$445,$I$2:$I$445=D75)"),"RU Suryoyo")</f>
        <v>RU Suryoyo</v>
      </c>
      <c r="C75" s="60" t="str">
        <f>IFERROR(__xludf.DUMMYFUNCTION("filter($J$1:$J$500, $K$1:$K$500=D75)"),"Cultural")</f>
        <v>Cultural</v>
      </c>
      <c r="D75" s="61">
        <v>1758.0</v>
      </c>
      <c r="F75" s="62">
        <v>50.0</v>
      </c>
      <c r="G75" s="18"/>
      <c r="H75" s="63" t="s">
        <v>97</v>
      </c>
      <c r="I75" s="64">
        <v>691.0</v>
      </c>
      <c r="J75" s="69" t="s">
        <v>25</v>
      </c>
      <c r="K75" s="66">
        <v>222.0</v>
      </c>
      <c r="L75" s="22" t="str">
        <f>IFERROR(__xludf.DUMMYFUNCTION("filter($O$1:$O$200,$K$1:$K$200=N75)"),"#N/A")</f>
        <v>#N/A</v>
      </c>
      <c r="M75" s="22"/>
      <c r="N75" s="67">
        <v>710.0</v>
      </c>
      <c r="O75" s="68">
        <v>0.0</v>
      </c>
      <c r="P75" s="68"/>
    </row>
    <row r="76">
      <c r="A76" s="59">
        <v>44371.0</v>
      </c>
      <c r="B76" s="60" t="str">
        <f>IFERROR(__xludf.DUMMYFUNCTION("FILTER($H$2:$H$445,$I$2:$I$445=D76)"),"The Black Men's Collective")</f>
        <v>The Black Men's Collective</v>
      </c>
      <c r="C76" s="60" t="str">
        <f>IFERROR(__xludf.DUMMYFUNCTION("filter($J$1:$J$500, $K$1:$K$500=D76)"),"Cultural")</f>
        <v>Cultural</v>
      </c>
      <c r="D76" s="61">
        <v>666.0</v>
      </c>
      <c r="F76" s="62">
        <v>70.0</v>
      </c>
      <c r="G76" s="18"/>
      <c r="H76" s="63" t="s">
        <v>98</v>
      </c>
      <c r="I76" s="70" t="s">
        <v>99</v>
      </c>
      <c r="J76" s="69" t="s">
        <v>15</v>
      </c>
      <c r="K76" s="66">
        <v>666.0</v>
      </c>
      <c r="L76" s="22" t="str">
        <f>IFERROR(__xludf.DUMMYFUNCTION("filter($O$1:$O$200,$K$1:$K$200=N76)"),"#N/A")</f>
        <v>#N/A</v>
      </c>
      <c r="M76" s="22"/>
      <c r="N76" s="67">
        <v>1347.0</v>
      </c>
      <c r="O76" s="68">
        <v>450.0</v>
      </c>
      <c r="P76" s="68"/>
    </row>
    <row r="77">
      <c r="A77" s="59">
        <v>44371.0</v>
      </c>
      <c r="B77" s="60" t="str">
        <f>IFERROR(__xludf.DUMMYFUNCTION("FILTER($H$2:$H$445,$I$2:$I$445=D77)"),"Sikh Student Association")</f>
        <v>Sikh Student Association</v>
      </c>
      <c r="C77" s="60" t="str">
        <f>IFERROR(__xludf.DUMMYFUNCTION("filter($J$1:$J$500, $K$1:$K$500=D77)"),"Cultural")</f>
        <v>Cultural</v>
      </c>
      <c r="D77" s="61">
        <v>495.0</v>
      </c>
      <c r="F77" s="62">
        <v>75.0</v>
      </c>
      <c r="G77" s="18"/>
      <c r="H77" s="65" t="s">
        <v>100</v>
      </c>
      <c r="I77" s="64">
        <v>170.0</v>
      </c>
      <c r="J77" s="69" t="s">
        <v>17</v>
      </c>
      <c r="K77" s="66">
        <v>1899.0</v>
      </c>
      <c r="L77" s="22" t="str">
        <f>IFERROR(__xludf.DUMMYFUNCTION("filter($O$1:$O$200,$K$1:$K$200=N77)"),"#N/A")</f>
        <v>#N/A</v>
      </c>
      <c r="M77" s="22"/>
      <c r="N77" s="67">
        <v>759.0</v>
      </c>
      <c r="O77" s="68">
        <v>0.0</v>
      </c>
      <c r="P77" s="68"/>
    </row>
    <row r="78">
      <c r="A78" s="59">
        <v>44371.0</v>
      </c>
      <c r="B78" s="60" t="str">
        <f>IFERROR(__xludf.DUMMYFUNCTION("FILTER($H$2:$H$445,$I$2:$I$445=D78)"),"Rutgers Cantonese Club")</f>
        <v>Rutgers Cantonese Club</v>
      </c>
      <c r="C78" s="60" t="str">
        <f>IFERROR(__xludf.DUMMYFUNCTION("filter($J$1:$J$500, $K$1:$K$500=D78)"),"Cultural")</f>
        <v>Cultural</v>
      </c>
      <c r="D78" s="61">
        <v>58.0</v>
      </c>
      <c r="F78" s="62">
        <v>90.0</v>
      </c>
      <c r="G78" s="18"/>
      <c r="H78" s="63" t="s">
        <v>101</v>
      </c>
      <c r="I78" s="64">
        <v>1961.0</v>
      </c>
      <c r="J78" s="71"/>
      <c r="K78" s="72"/>
      <c r="L78" s="35">
        <f>IFERROR(__xludf.DUMMYFUNCTION("filter($O$1:$O$200,$K$1:$K$200=N78)"),10700.0)</f>
        <v>10700</v>
      </c>
      <c r="M78" s="22"/>
      <c r="N78" s="73">
        <v>1592.0</v>
      </c>
      <c r="O78" s="74">
        <v>500.0</v>
      </c>
      <c r="P78" s="74"/>
    </row>
    <row r="79">
      <c r="A79" s="59">
        <v>44371.0</v>
      </c>
      <c r="B79" s="60" t="str">
        <f>IFERROR(__xludf.DUMMYFUNCTION("FILTER($H$2:$H$445,$I$2:$I$445=D79)"),"RU Suryoyo")</f>
        <v>RU Suryoyo</v>
      </c>
      <c r="C79" s="60" t="str">
        <f>IFERROR(__xludf.DUMMYFUNCTION("filter($J$1:$J$500, $K$1:$K$500=D79)"),"Cultural")</f>
        <v>Cultural</v>
      </c>
      <c r="D79" s="61">
        <v>1758.0</v>
      </c>
      <c r="F79" s="62">
        <v>134.0</v>
      </c>
      <c r="G79" s="18"/>
      <c r="H79" s="63" t="s">
        <v>102</v>
      </c>
      <c r="I79" s="64">
        <v>492.0</v>
      </c>
      <c r="J79" s="69" t="s">
        <v>22</v>
      </c>
      <c r="K79" s="66">
        <v>1513.0</v>
      </c>
      <c r="L79" s="22" t="str">
        <f>IFERROR(__xludf.DUMMYFUNCTION("filter($O$1:$O$200,$K$1:$K$200=N79)"),"#N/A")</f>
        <v>#N/A</v>
      </c>
      <c r="M79" s="22"/>
      <c r="N79" s="67">
        <v>148.0</v>
      </c>
      <c r="O79" s="68">
        <v>0.0</v>
      </c>
      <c r="P79" s="68"/>
    </row>
    <row r="80">
      <c r="A80" s="59">
        <v>44371.0</v>
      </c>
      <c r="B80" s="60" t="str">
        <f>IFERROR(__xludf.DUMMYFUNCTION("FILTER($H$2:$H$445,$I$2:$I$445=D80)"),"Hong Kong Student Association")</f>
        <v>Hong Kong Student Association</v>
      </c>
      <c r="C80" s="60" t="str">
        <f>IFERROR(__xludf.DUMMYFUNCTION("filter($J$1:$J$500, $K$1:$K$500=D80)"),"Cultural")</f>
        <v>Cultural</v>
      </c>
      <c r="D80" s="61">
        <v>1944.0</v>
      </c>
      <c r="F80" s="62">
        <v>150.0</v>
      </c>
      <c r="G80" s="18"/>
      <c r="H80" s="63" t="s">
        <v>103</v>
      </c>
      <c r="I80" s="64">
        <v>686.0</v>
      </c>
      <c r="J80" s="69" t="s">
        <v>25</v>
      </c>
      <c r="K80" s="66">
        <v>98.0</v>
      </c>
      <c r="L80" s="22" t="str">
        <f>IFERROR(__xludf.DUMMYFUNCTION("filter($O$1:$O$200,$K$1:$K$200=N80)"),"#N/A")</f>
        <v>#N/A</v>
      </c>
      <c r="M80" s="22"/>
      <c r="N80" s="67">
        <v>90.0</v>
      </c>
      <c r="O80" s="68">
        <v>130.0</v>
      </c>
      <c r="P80" s="68"/>
    </row>
    <row r="81">
      <c r="A81" s="59">
        <v>44371.0</v>
      </c>
      <c r="B81" s="60" t="str">
        <f>IFERROR(__xludf.DUMMYFUNCTION("FILTER($H$2:$H$445,$I$2:$I$445=D81)"),"Fusion: The Rutgers Union of Mixed People Student Organization of Rutgers")</f>
        <v>Fusion: The Rutgers Union of Mixed People Student Organization of Rutgers</v>
      </c>
      <c r="C81" s="60" t="str">
        <f>IFERROR(__xludf.DUMMYFUNCTION("filter($J$1:$J$500, $K$1:$K$500=D81)"),"Cultural")</f>
        <v>Cultural</v>
      </c>
      <c r="D81" s="61">
        <v>710.0</v>
      </c>
      <c r="F81" s="62">
        <v>171.0</v>
      </c>
      <c r="G81" s="18"/>
      <c r="H81" s="65" t="s">
        <v>104</v>
      </c>
      <c r="I81" s="64">
        <v>1646.0</v>
      </c>
      <c r="J81" s="69" t="s">
        <v>27</v>
      </c>
      <c r="K81" s="66">
        <v>1845.0</v>
      </c>
      <c r="L81" s="22" t="str">
        <f>IFERROR(__xludf.DUMMYFUNCTION("filter($O$1:$O$200,$K$1:$K$200=N81)"),"#N/A")</f>
        <v>#N/A</v>
      </c>
      <c r="M81" s="22"/>
      <c r="N81" s="67">
        <v>163.0</v>
      </c>
      <c r="O81" s="68">
        <v>729.57</v>
      </c>
      <c r="P81" s="68"/>
    </row>
    <row r="82">
      <c r="A82" s="59">
        <v>44371.0</v>
      </c>
      <c r="B82" s="60" t="str">
        <f>IFERROR(__xludf.DUMMYFUNCTION("FILTER($H$2:$H$445,$I$2:$I$445=D82)"),"Hong Kong Student Association")</f>
        <v>Hong Kong Student Association</v>
      </c>
      <c r="C82" s="60" t="str">
        <f>IFERROR(__xludf.DUMMYFUNCTION("filter($J$1:$J$500, $K$1:$K$500=D82)"),"Cultural")</f>
        <v>Cultural</v>
      </c>
      <c r="D82" s="61">
        <v>1944.0</v>
      </c>
      <c r="F82" s="62">
        <v>200.0</v>
      </c>
      <c r="G82" s="18"/>
      <c r="H82" s="63" t="s">
        <v>105</v>
      </c>
      <c r="I82" s="64">
        <v>1334.0</v>
      </c>
      <c r="J82" s="69" t="s">
        <v>34</v>
      </c>
      <c r="K82" s="66">
        <v>1393.0</v>
      </c>
      <c r="L82" s="35">
        <f>IFERROR(__xludf.DUMMYFUNCTION("filter($O$1:$O$200,$K$1:$K$200=N82)"),375.0)</f>
        <v>375</v>
      </c>
      <c r="M82" s="22"/>
      <c r="N82" s="67">
        <v>145.0</v>
      </c>
      <c r="O82" s="68">
        <v>0.0</v>
      </c>
      <c r="P82" s="68"/>
    </row>
    <row r="83">
      <c r="A83" s="59">
        <v>44371.0</v>
      </c>
      <c r="B83" s="60" t="str">
        <f>IFERROR(__xludf.DUMMYFUNCTION("FILTER($H$2:$H$445,$I$2:$I$445=D83)"),"Kendama Club")</f>
        <v>Kendama Club</v>
      </c>
      <c r="C83" s="60" t="str">
        <f>IFERROR(__xludf.DUMMYFUNCTION("filter($J$1:$J$500, $K$1:$K$500=D83)"),"Cultural")</f>
        <v>Cultural</v>
      </c>
      <c r="D83" s="61">
        <v>1703.0</v>
      </c>
      <c r="F83" s="62">
        <v>200.0</v>
      </c>
      <c r="G83" s="18"/>
      <c r="H83" s="63" t="s">
        <v>106</v>
      </c>
      <c r="I83" s="64">
        <v>1656.0</v>
      </c>
      <c r="J83" s="69" t="s">
        <v>27</v>
      </c>
      <c r="K83" s="66">
        <v>1542.0</v>
      </c>
      <c r="L83" s="35">
        <f>IFERROR(__xludf.DUMMYFUNCTION("filter($O$1:$O$200,$K$1:$K$200=N83)"),50.0)</f>
        <v>50</v>
      </c>
      <c r="M83" s="22"/>
      <c r="N83" s="67">
        <v>614.0</v>
      </c>
      <c r="O83" s="68">
        <v>0.0</v>
      </c>
      <c r="P83" s="68"/>
    </row>
    <row r="84">
      <c r="A84" s="59">
        <v>44371.0</v>
      </c>
      <c r="B84" s="60" t="str">
        <f>IFERROR(__xludf.DUMMYFUNCTION("FILTER($H$2:$H$445,$I$2:$I$445=D84)"),"Hellenic Cultural Association")</f>
        <v>Hellenic Cultural Association</v>
      </c>
      <c r="C84" s="60" t="str">
        <f>IFERROR(__xludf.DUMMYFUNCTION("filter($J$1:$J$500, $K$1:$K$500=D84)"),"Cultural")</f>
        <v>Cultural</v>
      </c>
      <c r="D84" s="61">
        <v>136.0</v>
      </c>
      <c r="F84" s="62">
        <v>200.0</v>
      </c>
      <c r="G84" s="18"/>
      <c r="H84" s="63" t="s">
        <v>107</v>
      </c>
      <c r="I84" s="64">
        <v>1829.0</v>
      </c>
      <c r="J84" s="71"/>
      <c r="K84" s="72"/>
      <c r="L84" s="22" t="str">
        <f>IFERROR(__xludf.DUMMYFUNCTION("filter($O$1:$O$200,$K$1:$K$200=N84)"),"#N/A")</f>
        <v>#N/A</v>
      </c>
      <c r="M84" s="22"/>
      <c r="N84" s="73">
        <v>1817.0</v>
      </c>
      <c r="O84" s="74">
        <v>1050.0</v>
      </c>
      <c r="P84" s="74"/>
    </row>
    <row r="85">
      <c r="A85" s="59">
        <v>44371.0</v>
      </c>
      <c r="B85" s="60" t="str">
        <f>IFERROR(__xludf.DUMMYFUNCTION("FILTER($H$2:$H$445,$I$2:$I$445=D85)"),"Desi Intercultural Youth Association")</f>
        <v>Desi Intercultural Youth Association</v>
      </c>
      <c r="C85" s="60" t="str">
        <f>IFERROR(__xludf.DUMMYFUNCTION("filter($J$1:$J$500, $K$1:$K$500=D85)"),"Cultural")</f>
        <v>Cultural</v>
      </c>
      <c r="D85" s="61">
        <v>722.0</v>
      </c>
      <c r="F85" s="62">
        <v>211.95</v>
      </c>
      <c r="G85" s="18"/>
      <c r="H85" s="63" t="s">
        <v>108</v>
      </c>
      <c r="I85" s="64">
        <v>493.0</v>
      </c>
      <c r="J85" s="69" t="s">
        <v>37</v>
      </c>
      <c r="K85" s="66">
        <v>1839.0</v>
      </c>
      <c r="L85" s="35">
        <f>IFERROR(__xludf.DUMMYFUNCTION("filter($O$1:$O$200,$K$1:$K$200=N85)"),0.0)</f>
        <v>0</v>
      </c>
      <c r="M85" s="22"/>
      <c r="N85" s="67">
        <v>222.0</v>
      </c>
      <c r="O85" s="67">
        <v>100.0</v>
      </c>
      <c r="P85" s="67"/>
    </row>
    <row r="86">
      <c r="A86" s="59">
        <v>44371.0</v>
      </c>
      <c r="B86" s="60" t="str">
        <f>IFERROR(__xludf.DUMMYFUNCTION("FILTER($H$2:$H$445,$I$2:$I$445=D86)"),"Hellenic Cultural Association")</f>
        <v>Hellenic Cultural Association</v>
      </c>
      <c r="C86" s="60" t="str">
        <f>IFERROR(__xludf.DUMMYFUNCTION("filter($J$1:$J$500, $K$1:$K$500=D86)"),"Cultural")</f>
        <v>Cultural</v>
      </c>
      <c r="D86" s="61">
        <v>136.0</v>
      </c>
      <c r="F86" s="62">
        <v>220.0</v>
      </c>
      <c r="G86" s="18"/>
      <c r="H86" s="65" t="s">
        <v>109</v>
      </c>
      <c r="I86" s="64">
        <v>1574.0</v>
      </c>
      <c r="J86" s="69" t="s">
        <v>13</v>
      </c>
      <c r="K86" s="66">
        <v>1187.0</v>
      </c>
      <c r="L86" s="35">
        <f>IFERROR(__xludf.DUMMYFUNCTION("filter($O$1:$O$200,$K$1:$K$200=N86)"),0.0)</f>
        <v>0</v>
      </c>
      <c r="M86" s="22"/>
      <c r="N86" s="67">
        <v>1944.0</v>
      </c>
      <c r="O86" s="68">
        <v>150.0</v>
      </c>
      <c r="P86" s="68"/>
    </row>
    <row r="87">
      <c r="A87" s="59">
        <v>44371.0</v>
      </c>
      <c r="B87" s="60" t="str">
        <f>IFERROR(__xludf.DUMMYFUNCTION("FILTER($H$2:$H$445,$I$2:$I$445=D87)"),"Korean Student Association")</f>
        <v>Korean Student Association</v>
      </c>
      <c r="C87" s="60" t="str">
        <f>IFERROR(__xludf.DUMMYFUNCTION("filter($J$1:$J$500, $K$1:$K$500=D87)"),"Cultural")</f>
        <v>Cultural</v>
      </c>
      <c r="D87" s="61">
        <v>164.0</v>
      </c>
      <c r="F87" s="62">
        <v>224.0</v>
      </c>
      <c r="G87" s="18"/>
      <c r="H87" s="63" t="s">
        <v>110</v>
      </c>
      <c r="I87" s="64">
        <v>615.0</v>
      </c>
      <c r="J87" s="71"/>
      <c r="K87" s="72"/>
      <c r="L87" s="35">
        <f>IFERROR(__xludf.DUMMYFUNCTION("filter($O$1:$O$200,$K$1:$K$200=N87)"),400.0)</f>
        <v>400</v>
      </c>
      <c r="M87" s="22"/>
      <c r="N87" s="73">
        <v>661.0</v>
      </c>
      <c r="O87" s="74">
        <v>730.0</v>
      </c>
      <c r="P87" s="74"/>
    </row>
    <row r="88">
      <c r="A88" s="59">
        <v>44371.0</v>
      </c>
      <c r="B88" s="60" t="str">
        <f>IFERROR(__xludf.DUMMYFUNCTION("FILTER($H$2:$H$445,$I$2:$I$445=D88)"),"International Student Association of Rutgers University")</f>
        <v>International Student Association of Rutgers University</v>
      </c>
      <c r="C88" s="60" t="str">
        <f>IFERROR(__xludf.DUMMYFUNCTION("filter($J$1:$J$500, $K$1:$K$500=D88)"),"Cultural")</f>
        <v>Cultural</v>
      </c>
      <c r="D88" s="61">
        <v>142.0</v>
      </c>
      <c r="F88" s="62">
        <v>250.0</v>
      </c>
      <c r="G88" s="18"/>
      <c r="H88" s="65" t="s">
        <v>111</v>
      </c>
      <c r="I88" s="64">
        <v>164.0</v>
      </c>
      <c r="J88" s="69" t="s">
        <v>27</v>
      </c>
      <c r="K88" s="66">
        <v>1186.0</v>
      </c>
      <c r="L88" s="35">
        <f>IFERROR(__xludf.DUMMYFUNCTION("filter($O$1:$O$200,$K$1:$K$200=N88)"),0.0)</f>
        <v>0</v>
      </c>
      <c r="M88" s="22"/>
      <c r="N88" s="67">
        <v>1960.0</v>
      </c>
      <c r="O88" s="68">
        <v>9590.0</v>
      </c>
      <c r="P88" s="68"/>
    </row>
    <row r="89">
      <c r="A89" s="59">
        <v>44371.0</v>
      </c>
      <c r="B89" s="60" t="str">
        <f>IFERROR(__xludf.DUMMYFUNCTION("FILTER($H$2:$H$445,$I$2:$I$445=D89)"),"Haitian Association")</f>
        <v>Haitian Association</v>
      </c>
      <c r="C89" s="60" t="str">
        <f>IFERROR(__xludf.DUMMYFUNCTION("filter($J$1:$J$500, $K$1:$K$500=D89)"),"Cultural")</f>
        <v>Cultural</v>
      </c>
      <c r="D89" s="61">
        <v>218.0</v>
      </c>
      <c r="F89" s="62">
        <v>263.0</v>
      </c>
      <c r="G89" s="18"/>
      <c r="H89" s="65" t="s">
        <v>112</v>
      </c>
      <c r="I89" s="64">
        <v>1542.0</v>
      </c>
      <c r="J89" s="65" t="s">
        <v>22</v>
      </c>
      <c r="K89" s="66">
        <v>1108.0</v>
      </c>
      <c r="L89" s="22">
        <f>IFERROR(__xludf.DUMMYFUNCTION("filter($O$1:$O$200,$K$1:$K$200=N89)"),0.0)</f>
        <v>0</v>
      </c>
      <c r="M89" s="22"/>
      <c r="N89" s="67">
        <v>1786.0</v>
      </c>
      <c r="O89" s="68">
        <v>0.0</v>
      </c>
      <c r="P89" s="68"/>
    </row>
    <row r="90">
      <c r="A90" s="59">
        <v>44371.0</v>
      </c>
      <c r="B90" s="60" t="str">
        <f>IFERROR(__xludf.DUMMYFUNCTION("FILTER($H$2:$H$445,$I$2:$I$445=D90)"),"Rutgers Armenian Students Association")</f>
        <v>Rutgers Armenian Students Association</v>
      </c>
      <c r="C90" s="60" t="str">
        <f>IFERROR(__xludf.DUMMYFUNCTION("filter($J$1:$J$500, $K$1:$K$500=D90)"),"Cultural")</f>
        <v>Cultural</v>
      </c>
      <c r="D90" s="61">
        <v>19.0</v>
      </c>
      <c r="F90" s="62">
        <v>280.0</v>
      </c>
      <c r="G90" s="18"/>
      <c r="H90" s="65" t="s">
        <v>113</v>
      </c>
      <c r="I90" s="64">
        <v>1758.0</v>
      </c>
      <c r="J90" s="71"/>
      <c r="K90" s="72"/>
      <c r="L90" s="22" t="str">
        <f>IFERROR(__xludf.DUMMYFUNCTION("filter($O$1:$O$200,$K$1:$K$200=N90)"),"#N/A")</f>
        <v>#N/A</v>
      </c>
      <c r="M90" s="22"/>
      <c r="N90" s="73">
        <v>1334.0</v>
      </c>
      <c r="O90" s="73">
        <v>2400.0</v>
      </c>
      <c r="P90" s="73"/>
    </row>
    <row r="91">
      <c r="A91" s="59">
        <v>44371.0</v>
      </c>
      <c r="B91" s="60" t="str">
        <f>IFERROR(__xludf.DUMMYFUNCTION("FILTER($H$2:$H$445,$I$2:$I$445=D91)"),"Japanese Visual Culture Association")</f>
        <v>Japanese Visual Culture Association</v>
      </c>
      <c r="C91" s="60" t="str">
        <f>IFERROR(__xludf.DUMMYFUNCTION("filter($J$1:$J$500, $K$1:$K$500=D91)"),"Cultural")</f>
        <v>Cultural</v>
      </c>
      <c r="D91" s="61">
        <v>614.0</v>
      </c>
      <c r="F91" s="62">
        <v>290.0</v>
      </c>
      <c r="G91" s="18"/>
      <c r="H91" s="65" t="s">
        <v>114</v>
      </c>
      <c r="I91" s="64">
        <v>293.0</v>
      </c>
      <c r="J91" s="69" t="s">
        <v>27</v>
      </c>
      <c r="K91" s="66">
        <v>1880.0</v>
      </c>
      <c r="L91" s="35">
        <f>IFERROR(__xludf.DUMMYFUNCTION("filter($O$1:$O$200,$K$1:$K$200=N91)"),300.0)</f>
        <v>300</v>
      </c>
      <c r="M91" s="22"/>
      <c r="N91" s="67">
        <v>164.0</v>
      </c>
      <c r="O91" s="68">
        <v>750.0</v>
      </c>
      <c r="P91" s="68"/>
    </row>
    <row r="92">
      <c r="A92" s="59">
        <v>44371.0</v>
      </c>
      <c r="B92" s="60" t="str">
        <f>IFERROR(__xludf.DUMMYFUNCTION("FILTER($H$2:$H$445,$I$2:$I$445=D92)"),"Mishelanu (Hebrew Club)")</f>
        <v>Mishelanu (Hebrew Club)</v>
      </c>
      <c r="C92" s="60" t="str">
        <f>IFERROR(__xludf.DUMMYFUNCTION("filter($J$1:$J$500, $K$1:$K$500=D92)"),"Cultural")</f>
        <v>Cultural</v>
      </c>
      <c r="D92" s="61">
        <v>1412.0</v>
      </c>
      <c r="F92" s="62">
        <v>300.0</v>
      </c>
      <c r="G92" s="18"/>
      <c r="H92" s="65" t="s">
        <v>115</v>
      </c>
      <c r="I92" s="64">
        <v>401.0</v>
      </c>
      <c r="J92" s="69" t="s">
        <v>25</v>
      </c>
      <c r="K92" s="66">
        <v>363.0</v>
      </c>
      <c r="L92" s="22" t="str">
        <f>IFERROR(__xludf.DUMMYFUNCTION("filter($O$1:$O$200,$K$1:$K$200=N92)"),"#N/A")</f>
        <v>#N/A</v>
      </c>
      <c r="M92" s="22"/>
      <c r="N92" s="67">
        <v>754.0</v>
      </c>
      <c r="O92" s="68">
        <v>2470.0</v>
      </c>
      <c r="P92" s="68"/>
    </row>
    <row r="93">
      <c r="A93" s="59">
        <v>44371.0</v>
      </c>
      <c r="B93" s="60" t="str">
        <f>IFERROR(__xludf.DUMMYFUNCTION("FILTER($H$2:$H$445,$I$2:$I$445=D93)"),"Bengali Students Association")</f>
        <v>Bengali Students Association</v>
      </c>
      <c r="C93" s="60" t="str">
        <f>IFERROR(__xludf.DUMMYFUNCTION("filter($J$1:$J$500, $K$1:$K$500=D93)"),"Cultural")</f>
        <v>Cultural</v>
      </c>
      <c r="D93" s="61">
        <v>63.0</v>
      </c>
      <c r="F93" s="62">
        <v>309.0</v>
      </c>
      <c r="G93" s="18"/>
      <c r="H93" s="63" t="s">
        <v>116</v>
      </c>
      <c r="I93" s="64">
        <v>1231.0</v>
      </c>
      <c r="J93" s="71"/>
      <c r="K93" s="72"/>
      <c r="L93" s="35">
        <f>IFERROR(__xludf.DUMMYFUNCTION("filter($O$1:$O$200,$K$1:$K$200=N93)"),3890.0)</f>
        <v>3890</v>
      </c>
      <c r="M93" s="22"/>
      <c r="N93" s="73">
        <v>568.0</v>
      </c>
      <c r="O93" s="74">
        <v>7750.0</v>
      </c>
      <c r="P93" s="74"/>
    </row>
    <row r="94">
      <c r="A94" s="59">
        <v>44371.0</v>
      </c>
      <c r="B94" s="60" t="str">
        <f>IFERROR(__xludf.DUMMYFUNCTION("FILTER($H$2:$H$445,$I$2:$I$445=D94)"),"Turkish Culture Club")</f>
        <v>Turkish Culture Club</v>
      </c>
      <c r="C94" s="60" t="str">
        <f>IFERROR(__xludf.DUMMYFUNCTION("filter($J$1:$J$500, $K$1:$K$500=D94)"),"Cultural")</f>
        <v>Cultural</v>
      </c>
      <c r="D94" s="61">
        <v>346.0</v>
      </c>
      <c r="F94" s="62">
        <v>337.0</v>
      </c>
      <c r="G94" s="18"/>
      <c r="H94" s="63" t="s">
        <v>117</v>
      </c>
      <c r="I94" s="64">
        <v>1652.0</v>
      </c>
      <c r="J94" s="69" t="s">
        <v>15</v>
      </c>
      <c r="K94" s="66">
        <v>1944.0</v>
      </c>
      <c r="L94" s="35">
        <f>IFERROR(__xludf.DUMMYFUNCTION("filter($O$1:$O$200,$K$1:$K$200=N94)"),0.0)</f>
        <v>0</v>
      </c>
      <c r="M94" s="22"/>
      <c r="N94" s="67">
        <v>1949.0</v>
      </c>
      <c r="O94" s="68">
        <v>0.0</v>
      </c>
      <c r="P94" s="68"/>
    </row>
    <row r="95">
      <c r="A95" s="59">
        <v>44371.0</v>
      </c>
      <c r="B95" s="60" t="str">
        <f>IFERROR(__xludf.DUMMYFUNCTION("FILTER($H$2:$H$445,$I$2:$I$445=D95)"),"Latin American Womyn's Organization")</f>
        <v>Latin American Womyn's Organization</v>
      </c>
      <c r="C95" s="60" t="str">
        <f>IFERROR(__xludf.DUMMYFUNCTION("filter($J$1:$J$500, $K$1:$K$500=D95)"),"Cultural")</f>
        <v>Cultural</v>
      </c>
      <c r="D95" s="61">
        <v>6.0</v>
      </c>
      <c r="F95" s="62">
        <v>350.0</v>
      </c>
      <c r="G95" s="18"/>
      <c r="H95" s="63" t="s">
        <v>118</v>
      </c>
      <c r="I95" s="64">
        <v>72.0</v>
      </c>
      <c r="J95" s="69" t="s">
        <v>15</v>
      </c>
      <c r="K95" s="66">
        <v>1292.0</v>
      </c>
      <c r="L95" s="22" t="str">
        <f>IFERROR(__xludf.DUMMYFUNCTION("filter($O$1:$O$200,$K$1:$K$200=N95)"),"#N/A")</f>
        <v>#N/A</v>
      </c>
      <c r="M95" s="22"/>
      <c r="N95" s="67">
        <v>142.0</v>
      </c>
      <c r="O95" s="68">
        <v>250.0</v>
      </c>
      <c r="P95" s="68"/>
    </row>
    <row r="96">
      <c r="A96" s="59">
        <v>44371.0</v>
      </c>
      <c r="B96" s="60" t="str">
        <f>IFERROR(__xludf.DUMMYFUNCTION("FILTER($H$2:$H$445,$I$2:$I$445=D96)"),"Out Of State Student Organization")</f>
        <v>Out Of State Student Organization</v>
      </c>
      <c r="C96" s="60" t="str">
        <f>IFERROR(__xludf.DUMMYFUNCTION("filter($J$1:$J$500, $K$1:$K$500=D96)"),"Cultural")</f>
        <v>Cultural</v>
      </c>
      <c r="D96" s="61">
        <v>1432.0</v>
      </c>
      <c r="F96" s="62">
        <v>354.0</v>
      </c>
      <c r="G96" s="18"/>
      <c r="H96" s="63" t="s">
        <v>119</v>
      </c>
      <c r="I96" s="64">
        <v>1838.0</v>
      </c>
      <c r="J96" s="69" t="s">
        <v>37</v>
      </c>
      <c r="K96" s="66">
        <v>1694.0</v>
      </c>
      <c r="L96" s="22" t="str">
        <f>IFERROR(__xludf.DUMMYFUNCTION("filter($O$1:$O$200,$K$1:$K$200=N96)"),"#N/A")</f>
        <v>#N/A</v>
      </c>
      <c r="M96" s="22"/>
      <c r="N96" s="67">
        <v>1875.0</v>
      </c>
      <c r="O96" s="68">
        <v>4.0</v>
      </c>
      <c r="P96" s="68"/>
    </row>
    <row r="97">
      <c r="A97" s="59">
        <v>44371.0</v>
      </c>
      <c r="B97" s="60" t="str">
        <f>IFERROR(__xludf.DUMMYFUNCTION("FILTER($H$2:$H$445,$I$2:$I$445=D97)"),"Kendama Club")</f>
        <v>Kendama Club</v>
      </c>
      <c r="C97" s="60" t="str">
        <f>IFERROR(__xludf.DUMMYFUNCTION("filter($J$1:$J$500, $K$1:$K$500=D97)"),"Cultural")</f>
        <v>Cultural</v>
      </c>
      <c r="D97" s="61">
        <v>1703.0</v>
      </c>
      <c r="F97" s="62">
        <v>400.0</v>
      </c>
      <c r="G97" s="18"/>
      <c r="H97" s="65" t="s">
        <v>120</v>
      </c>
      <c r="I97" s="64">
        <v>58.0</v>
      </c>
      <c r="J97" s="69" t="s">
        <v>37</v>
      </c>
      <c r="K97" s="66">
        <v>271.0</v>
      </c>
      <c r="L97" s="22" t="str">
        <f>IFERROR(__xludf.DUMMYFUNCTION("filter($O$1:$O$200,$K$1:$K$200=N97)"),"#N/A")</f>
        <v>#N/A</v>
      </c>
      <c r="M97" s="22"/>
      <c r="N97" s="67">
        <v>1468.0</v>
      </c>
      <c r="O97" s="68">
        <v>800.0</v>
      </c>
      <c r="P97" s="68"/>
    </row>
    <row r="98">
      <c r="A98" s="59">
        <v>44371.0</v>
      </c>
      <c r="B98" s="60" t="str">
        <f>IFERROR(__xludf.DUMMYFUNCTION("FILTER($H$2:$H$445,$I$2:$I$445=D98)"),"Persian Cultural Club")</f>
        <v>Persian Cultural Club</v>
      </c>
      <c r="C98" s="60" t="str">
        <f>IFERROR(__xludf.DUMMYFUNCTION("filter($J$1:$J$500, $K$1:$K$500=D98)"),"Cultural")</f>
        <v>Cultural</v>
      </c>
      <c r="D98" s="61">
        <v>504.0</v>
      </c>
      <c r="F98" s="62">
        <v>400.0</v>
      </c>
      <c r="G98" s="18"/>
      <c r="H98" s="65" t="s">
        <v>121</v>
      </c>
      <c r="I98" s="64">
        <v>1717.0</v>
      </c>
      <c r="J98" s="69" t="s">
        <v>22</v>
      </c>
      <c r="K98" s="66">
        <v>737.0</v>
      </c>
      <c r="L98" s="35">
        <f>IFERROR(__xludf.DUMMYFUNCTION("filter($O$1:$O$200,$K$1:$K$200=N98)"),0.0)</f>
        <v>0</v>
      </c>
      <c r="M98" s="22"/>
      <c r="N98" s="67">
        <v>292.0</v>
      </c>
      <c r="O98" s="68">
        <v>300.0</v>
      </c>
      <c r="P98" s="68"/>
    </row>
    <row r="99">
      <c r="A99" s="59">
        <v>44371.0</v>
      </c>
      <c r="B99" s="60" t="str">
        <f>IFERROR(__xludf.DUMMYFUNCTION("FILTER($H$2:$H$445,$I$2:$I$445=D99)"),"Latino Student Council")</f>
        <v>Latino Student Council</v>
      </c>
      <c r="C99" s="60" t="str">
        <f>IFERROR(__xludf.DUMMYFUNCTION("filter($J$1:$J$500, $K$1:$K$500=D99)"),"Cultural")</f>
        <v>Cultural</v>
      </c>
      <c r="D99" s="61">
        <v>344.0</v>
      </c>
      <c r="F99" s="62">
        <v>400.0</v>
      </c>
      <c r="G99" s="18"/>
      <c r="H99" s="65" t="s">
        <v>122</v>
      </c>
      <c r="I99" s="64">
        <v>142.0</v>
      </c>
      <c r="J99" s="69" t="s">
        <v>27</v>
      </c>
      <c r="K99" s="66">
        <v>1030.0</v>
      </c>
      <c r="L99" s="35">
        <f>IFERROR(__xludf.DUMMYFUNCTION("filter($O$1:$O$200,$K$1:$K$200=N99)"),510.0)</f>
        <v>510</v>
      </c>
      <c r="M99" s="22"/>
      <c r="N99" s="67">
        <v>48.0</v>
      </c>
      <c r="O99" s="68">
        <v>200.0</v>
      </c>
      <c r="P99" s="68"/>
    </row>
    <row r="100">
      <c r="A100" s="59">
        <v>44371.0</v>
      </c>
      <c r="B100" s="60" t="str">
        <f>IFERROR(__xludf.DUMMYFUNCTION("FILTER($H$2:$H$445,$I$2:$I$445=D100)"),"Association of Phillipine Students")</f>
        <v>Association of Phillipine Students</v>
      </c>
      <c r="C100" s="60" t="str">
        <f>IFERROR(__xludf.DUMMYFUNCTION("filter($J$1:$J$500, $K$1:$K$500=D100)"),"Cultural")</f>
        <v>Cultural</v>
      </c>
      <c r="D100" s="61">
        <v>295.0</v>
      </c>
      <c r="F100" s="62">
        <v>450.0</v>
      </c>
      <c r="G100" s="18"/>
      <c r="H100" s="63" t="s">
        <v>123</v>
      </c>
      <c r="I100" s="64">
        <v>1773.0</v>
      </c>
      <c r="J100" s="69" t="s">
        <v>124</v>
      </c>
      <c r="K100" s="66">
        <v>1950.0</v>
      </c>
      <c r="L100" s="35">
        <f>IFERROR(__xludf.DUMMYFUNCTION("filter($O$1:$O$200,$K$1:$K$200=N100)"),0.0)</f>
        <v>0</v>
      </c>
      <c r="M100" s="22"/>
      <c r="N100" s="67">
        <v>1899.0</v>
      </c>
      <c r="O100" s="68">
        <v>300.0</v>
      </c>
      <c r="P100" s="68"/>
    </row>
    <row r="101">
      <c r="A101" s="59">
        <v>44371.0</v>
      </c>
      <c r="B101" s="60" t="str">
        <f>IFERROR(__xludf.DUMMYFUNCTION("FILTER($H$2:$H$445,$I$2:$I$445=D101)"),"International Student Association of Rutgers University")</f>
        <v>International Student Association of Rutgers University</v>
      </c>
      <c r="C101" s="60" t="str">
        <f>IFERROR(__xludf.DUMMYFUNCTION("filter($J$1:$J$500, $K$1:$K$500=D101)"),"Cultural")</f>
        <v>Cultural</v>
      </c>
      <c r="D101" s="61">
        <v>142.0</v>
      </c>
      <c r="F101" s="62">
        <v>450.0</v>
      </c>
      <c r="G101" s="18"/>
      <c r="H101" s="63" t="s">
        <v>125</v>
      </c>
      <c r="I101" s="64">
        <v>1694.0</v>
      </c>
      <c r="J101" s="71"/>
      <c r="K101" s="72"/>
      <c r="L101" s="22" t="str">
        <f>IFERROR(__xludf.DUMMYFUNCTION("filter($O$1:$O$200,$K$1:$K$200=N101)"),"#N/A")</f>
        <v>#N/A</v>
      </c>
      <c r="M101" s="22"/>
      <c r="N101" s="73">
        <v>1492.0</v>
      </c>
      <c r="O101" s="74">
        <v>0.0</v>
      </c>
      <c r="P101" s="74"/>
    </row>
    <row r="102">
      <c r="A102" s="59">
        <v>44371.0</v>
      </c>
      <c r="B102" s="60" t="str">
        <f>IFERROR(__xludf.DUMMYFUNCTION("FILTER($H$2:$H$445,$I$2:$I$445=D102)"),"Wanawake")</f>
        <v>Wanawake</v>
      </c>
      <c r="C102" s="60" t="str">
        <f>IFERROR(__xludf.DUMMYFUNCTION("filter($J$1:$J$500, $K$1:$K$500=D102)"),"Cultural")</f>
        <v>Cultural</v>
      </c>
      <c r="D102" s="61">
        <v>1193.0</v>
      </c>
      <c r="F102" s="62">
        <v>490.0</v>
      </c>
      <c r="G102" s="18"/>
      <c r="H102" s="65" t="s">
        <v>126</v>
      </c>
      <c r="I102" s="64">
        <v>29.0</v>
      </c>
      <c r="J102" s="69" t="s">
        <v>15</v>
      </c>
      <c r="K102" s="66">
        <v>494.0</v>
      </c>
      <c r="L102" s="35">
        <f>IFERROR(__xludf.DUMMYFUNCTION("filter($O$1:$O$200,$K$1:$K$200=N102)"),0.0)</f>
        <v>0</v>
      </c>
      <c r="M102" s="22"/>
      <c r="N102" s="67">
        <v>1849.0</v>
      </c>
      <c r="O102" s="68">
        <v>0.0</v>
      </c>
      <c r="P102" s="68"/>
    </row>
    <row r="103">
      <c r="A103" s="59">
        <v>44371.0</v>
      </c>
      <c r="B103" s="60" t="str">
        <f>IFERROR(__xludf.DUMMYFUNCTION("FILTER($H$2:$H$445,$I$2:$I$445=D103)"),"Native American Culture Association")</f>
        <v>Native American Culture Association</v>
      </c>
      <c r="C103" s="60" t="str">
        <f>IFERROR(__xludf.DUMMYFUNCTION("filter($J$1:$J$500, $K$1:$K$500=D103)"),"Cultural")</f>
        <v>Cultural</v>
      </c>
      <c r="D103" s="61">
        <v>1592.0</v>
      </c>
      <c r="F103" s="62">
        <v>500.0</v>
      </c>
      <c r="G103" s="18"/>
      <c r="H103" s="63" t="s">
        <v>127</v>
      </c>
      <c r="I103" s="64">
        <v>328.0</v>
      </c>
      <c r="J103" s="69" t="s">
        <v>13</v>
      </c>
      <c r="K103" s="66">
        <v>301.0</v>
      </c>
      <c r="L103" s="35">
        <f>IFERROR(__xludf.DUMMYFUNCTION("filter($O$1:$O$200,$K$1:$K$200=N103)"),60.0)</f>
        <v>60</v>
      </c>
      <c r="M103" s="22"/>
      <c r="N103" s="67">
        <v>1387.0</v>
      </c>
      <c r="O103" s="68">
        <v>0.0</v>
      </c>
      <c r="P103" s="68"/>
    </row>
    <row r="104">
      <c r="A104" s="59">
        <v>44371.0</v>
      </c>
      <c r="B104" s="60" t="str">
        <f>IFERROR(__xludf.DUMMYFUNCTION("FILTER($H$2:$H$445,$I$2:$I$445=D104)"),"Black Student Union")</f>
        <v>Black Student Union</v>
      </c>
      <c r="C104" s="60" t="str">
        <f>IFERROR(__xludf.DUMMYFUNCTION("filter($J$1:$J$500, $K$1:$K$500=D104)"),"Cultural")</f>
        <v>Cultural</v>
      </c>
      <c r="D104" s="61">
        <v>25.0</v>
      </c>
      <c r="F104" s="62">
        <v>500.0</v>
      </c>
      <c r="G104" s="18"/>
      <c r="H104" s="65" t="s">
        <v>128</v>
      </c>
      <c r="I104" s="64">
        <v>1801.0</v>
      </c>
      <c r="J104" s="69" t="s">
        <v>37</v>
      </c>
      <c r="K104" s="66">
        <v>1278.0</v>
      </c>
      <c r="L104" s="22" t="str">
        <f>IFERROR(__xludf.DUMMYFUNCTION("filter($O$1:$O$200,$K$1:$K$200=N104)"),"#N/A")</f>
        <v>#N/A</v>
      </c>
      <c r="M104" s="22"/>
      <c r="N104" s="67">
        <v>362.0</v>
      </c>
      <c r="O104" s="68">
        <v>2620.0</v>
      </c>
      <c r="P104" s="68"/>
    </row>
    <row r="105">
      <c r="A105" s="59">
        <v>44371.0</v>
      </c>
      <c r="B105" s="60" t="str">
        <f>IFERROR(__xludf.DUMMYFUNCTION("FILTER($H$2:$H$445,$I$2:$I$445=D105)"),"Black Student Union")</f>
        <v>Black Student Union</v>
      </c>
      <c r="C105" s="60" t="str">
        <f>IFERROR(__xludf.DUMMYFUNCTION("filter($J$1:$J$500, $K$1:$K$500=D105)"),"Cultural")</f>
        <v>Cultural</v>
      </c>
      <c r="D105" s="61">
        <v>25.0</v>
      </c>
      <c r="F105" s="62">
        <v>530.0</v>
      </c>
      <c r="G105" s="18"/>
      <c r="H105" s="63" t="s">
        <v>129</v>
      </c>
      <c r="I105" s="64">
        <v>1355.0</v>
      </c>
      <c r="J105" s="71"/>
      <c r="K105" s="72"/>
      <c r="L105" s="22" t="str">
        <f>IFERROR(__xludf.DUMMYFUNCTION("filter($O$1:$O$200,$K$1:$K$200=N105)"),"#N/A")</f>
        <v>#N/A</v>
      </c>
      <c r="M105" s="22"/>
      <c r="N105" s="73">
        <v>443.0</v>
      </c>
      <c r="O105" s="74">
        <v>210.0</v>
      </c>
      <c r="P105" s="74"/>
    </row>
    <row r="106">
      <c r="A106" s="59">
        <v>44371.0</v>
      </c>
      <c r="B106" s="60" t="str">
        <f>IFERROR(__xludf.DUMMYFUNCTION("FILTER($H$2:$H$445,$I$2:$I$445=D106)"),"Sif Sangam")</f>
        <v>Sif Sangam</v>
      </c>
      <c r="C106" s="60" t="str">
        <f>IFERROR(__xludf.DUMMYFUNCTION("filter($J$1:$J$500, $K$1:$K$500=D106)"),"Cultural")</f>
        <v>Cultural</v>
      </c>
      <c r="D106" s="61">
        <v>1292.0</v>
      </c>
      <c r="F106" s="62">
        <v>539.0</v>
      </c>
      <c r="G106" s="18"/>
      <c r="H106" s="65" t="s">
        <v>130</v>
      </c>
      <c r="I106" s="64">
        <v>1688.0</v>
      </c>
      <c r="J106" s="69" t="s">
        <v>22</v>
      </c>
      <c r="K106" s="66">
        <v>1754.0</v>
      </c>
      <c r="L106" s="35">
        <f>IFERROR(__xludf.DUMMYFUNCTION("filter($O$1:$O$200,$K$1:$K$200=N106)"),0.0)</f>
        <v>0</v>
      </c>
      <c r="M106" s="22"/>
      <c r="N106" s="67">
        <v>1542.0</v>
      </c>
      <c r="O106" s="68">
        <v>900.0</v>
      </c>
      <c r="P106" s="68"/>
    </row>
    <row r="107">
      <c r="A107" s="59">
        <v>44371.0</v>
      </c>
      <c r="B107" s="60" t="str">
        <f>IFERROR(__xludf.DUMMYFUNCTION("FILTER($H$2:$H$445,$I$2:$I$445=D107)"),"Polish Club")</f>
        <v>Polish Club</v>
      </c>
      <c r="C107" s="60" t="str">
        <f>IFERROR(__xludf.DUMMYFUNCTION("filter($J$1:$J$500, $K$1:$K$500=D107)"),"Cultural")</f>
        <v>Cultural</v>
      </c>
      <c r="D107" s="61">
        <v>230.0</v>
      </c>
      <c r="F107" s="62">
        <v>539.0</v>
      </c>
      <c r="G107" s="18"/>
      <c r="H107" s="63" t="s">
        <v>131</v>
      </c>
      <c r="I107" s="64">
        <v>437.0</v>
      </c>
      <c r="J107" s="69" t="s">
        <v>15</v>
      </c>
      <c r="K107" s="66">
        <v>1958.0</v>
      </c>
      <c r="L107" s="35">
        <f>IFERROR(__xludf.DUMMYFUNCTION("filter($O$1:$O$200,$K$1:$K$200=N107)"),180.0)</f>
        <v>180</v>
      </c>
      <c r="M107" s="22"/>
      <c r="N107" s="67">
        <v>1412.0</v>
      </c>
      <c r="O107" s="68">
        <v>300.0</v>
      </c>
      <c r="P107" s="68"/>
    </row>
    <row r="108">
      <c r="A108" s="59">
        <v>44371.0</v>
      </c>
      <c r="B108" s="60" t="str">
        <f>IFERROR(__xludf.DUMMYFUNCTION("FILTER($H$2:$H$445,$I$2:$I$445=D108)"),"Taiwanese American Student Association")</f>
        <v>Taiwanese American Student Association</v>
      </c>
      <c r="C108" s="60" t="str">
        <f>IFERROR(__xludf.DUMMYFUNCTION("filter($J$1:$J$500, $K$1:$K$500=D108)"),"Cultural")</f>
        <v>Cultural</v>
      </c>
      <c r="D108" s="61">
        <v>494.0</v>
      </c>
      <c r="F108" s="62">
        <v>541.78</v>
      </c>
      <c r="G108" s="18"/>
      <c r="H108" s="63" t="s">
        <v>132</v>
      </c>
      <c r="I108" s="64">
        <v>1513.0</v>
      </c>
      <c r="J108" s="65" t="s">
        <v>37</v>
      </c>
      <c r="K108" s="66">
        <v>48.0</v>
      </c>
      <c r="L108" s="22" t="str">
        <f>IFERROR(__xludf.DUMMYFUNCTION("filter($O$1:$O$200,$K$1:$K$200=N108)"),"#N/A")</f>
        <v>#N/A</v>
      </c>
      <c r="M108" s="22"/>
      <c r="N108" s="67">
        <v>66.0</v>
      </c>
      <c r="O108" s="68">
        <v>510.0</v>
      </c>
      <c r="P108" s="68"/>
    </row>
    <row r="109">
      <c r="A109" s="59">
        <v>44371.0</v>
      </c>
      <c r="B109" s="60" t="str">
        <f>IFERROR(__xludf.DUMMYFUNCTION("FILTER($H$2:$H$445,$I$2:$I$445=D109)"),"Mishelanu (Hebrew Club)")</f>
        <v>Mishelanu (Hebrew Club)</v>
      </c>
      <c r="C109" s="60" t="str">
        <f>IFERROR(__xludf.DUMMYFUNCTION("filter($J$1:$J$500, $K$1:$K$500=D109)"),"Cultural")</f>
        <v>Cultural</v>
      </c>
      <c r="D109" s="61">
        <v>1412.0</v>
      </c>
      <c r="F109" s="62">
        <v>567.0</v>
      </c>
      <c r="G109" s="18"/>
      <c r="H109" s="63" t="s">
        <v>133</v>
      </c>
      <c r="I109" s="70" t="s">
        <v>134</v>
      </c>
      <c r="J109" s="69" t="s">
        <v>43</v>
      </c>
      <c r="K109" s="66">
        <v>1716.0</v>
      </c>
      <c r="L109" s="35">
        <f>IFERROR(__xludf.DUMMYFUNCTION("filter($O$1:$O$200,$K$1:$K$200=N109)"),0.0)</f>
        <v>0</v>
      </c>
      <c r="M109" s="22"/>
      <c r="N109" s="67">
        <v>301.0</v>
      </c>
      <c r="O109" s="68">
        <v>1520.0</v>
      </c>
      <c r="P109" s="68"/>
    </row>
    <row r="110">
      <c r="A110" s="59">
        <v>44371.0</v>
      </c>
      <c r="B110" s="60" t="str">
        <f>IFERROR(__xludf.DUMMYFUNCTION("FILTER($H$2:$H$445,$I$2:$I$445=D110)"),"Persian Cultural Club")</f>
        <v>Persian Cultural Club</v>
      </c>
      <c r="C110" s="60" t="str">
        <f>IFERROR(__xludf.DUMMYFUNCTION("filter($J$1:$J$500, $K$1:$K$500=D110)"),"Cultural")</f>
        <v>Cultural</v>
      </c>
      <c r="D110" s="61">
        <v>504.0</v>
      </c>
      <c r="F110" s="62">
        <v>600.0</v>
      </c>
      <c r="G110" s="18"/>
      <c r="H110" s="63" t="s">
        <v>135</v>
      </c>
      <c r="I110" s="64">
        <v>1672.0</v>
      </c>
      <c r="J110" s="69" t="s">
        <v>27</v>
      </c>
      <c r="K110" s="66">
        <v>1896.0</v>
      </c>
      <c r="L110" s="35">
        <f>IFERROR(__xludf.DUMMYFUNCTION("filter($O$1:$O$200,$K$1:$K$200=N110)"),955.0)</f>
        <v>955</v>
      </c>
      <c r="M110" s="22"/>
      <c r="N110" s="67">
        <v>1574.0</v>
      </c>
      <c r="O110" s="68">
        <v>0.0</v>
      </c>
      <c r="P110" s="68"/>
    </row>
    <row r="111">
      <c r="A111" s="59">
        <v>44371.0</v>
      </c>
      <c r="B111" s="60" t="str">
        <f>IFERROR(__xludf.DUMMYFUNCTION("FILTER($H$2:$H$445,$I$2:$I$445=D111)"),"United Black Council")</f>
        <v>United Black Council</v>
      </c>
      <c r="C111" s="60" t="str">
        <f>IFERROR(__xludf.DUMMYFUNCTION("filter($J$1:$J$500, $K$1:$K$500=D111)"),"Cultural")</f>
        <v>Cultural</v>
      </c>
      <c r="D111" s="61">
        <v>468.0</v>
      </c>
      <c r="F111" s="62">
        <v>602.62</v>
      </c>
      <c r="G111" s="18"/>
      <c r="H111" s="65" t="s">
        <v>136</v>
      </c>
      <c r="I111" s="64">
        <v>1487.0</v>
      </c>
      <c r="J111" s="69" t="s">
        <v>27</v>
      </c>
      <c r="K111" s="66">
        <v>1908.0</v>
      </c>
      <c r="L111" s="35">
        <f>IFERROR(__xludf.DUMMYFUNCTION("filter($O$1:$O$200,$K$1:$K$200=N111)"),0.0)</f>
        <v>0</v>
      </c>
      <c r="M111" s="22"/>
      <c r="N111" s="67">
        <v>344.0</v>
      </c>
      <c r="O111" s="68">
        <v>400.0</v>
      </c>
      <c r="P111" s="68"/>
    </row>
    <row r="112">
      <c r="A112" s="59">
        <v>44371.0</v>
      </c>
      <c r="B112" s="60" t="str">
        <f>IFERROR(__xludf.DUMMYFUNCTION("FILTER($H$2:$H$445,$I$2:$I$445=D112)"),"Chinese Student Organization")</f>
        <v>Chinese Student Organization</v>
      </c>
      <c r="C112" s="60" t="str">
        <f>IFERROR(__xludf.DUMMYFUNCTION("filter($J$1:$J$500, $K$1:$K$500=D112)"),"Cultural")</f>
        <v>Cultural</v>
      </c>
      <c r="D112" s="61">
        <v>62.0</v>
      </c>
      <c r="F112" s="62">
        <v>684.86</v>
      </c>
      <c r="G112" s="18"/>
      <c r="H112" s="65" t="s">
        <v>137</v>
      </c>
      <c r="I112" s="64">
        <v>1957.0</v>
      </c>
      <c r="J112" s="71"/>
      <c r="K112" s="72"/>
      <c r="L112" s="35">
        <f>IFERROR(__xludf.DUMMYFUNCTION("filter($O$1:$O$200,$K$1:$K$200=N112)"),2620.0)</f>
        <v>2620</v>
      </c>
      <c r="M112" s="22"/>
      <c r="N112" s="73">
        <v>1278.0</v>
      </c>
      <c r="O112" s="74">
        <v>850.0</v>
      </c>
      <c r="P112" s="74"/>
    </row>
    <row r="113">
      <c r="A113" s="59">
        <v>44371.0</v>
      </c>
      <c r="B113" s="60" t="str">
        <f>IFERROR(__xludf.DUMMYFUNCTION("FILTER($H$2:$H$445,$I$2:$I$445=D113)"),"Taiwanese American Student Association")</f>
        <v>Taiwanese American Student Association</v>
      </c>
      <c r="C113" s="60" t="str">
        <f>IFERROR(__xludf.DUMMYFUNCTION("filter($J$1:$J$500, $K$1:$K$500=D113)"),"Cultural")</f>
        <v>Cultural</v>
      </c>
      <c r="D113" s="61">
        <v>494.0</v>
      </c>
      <c r="F113" s="62">
        <v>685.25</v>
      </c>
      <c r="G113" s="18"/>
      <c r="H113" s="63" t="s">
        <v>138</v>
      </c>
      <c r="I113" s="64">
        <v>1818.0</v>
      </c>
      <c r="J113" s="69" t="s">
        <v>69</v>
      </c>
      <c r="K113" s="66">
        <v>1905.0</v>
      </c>
      <c r="L113" s="22" t="str">
        <f>IFERROR(__xludf.DUMMYFUNCTION("filter($O$1:$O$200,$K$1:$K$200=N113)"),"#N/A")</f>
        <v>#N/A</v>
      </c>
      <c r="M113" s="22"/>
      <c r="N113" s="67">
        <v>6.0</v>
      </c>
      <c r="O113" s="68">
        <v>350.0</v>
      </c>
      <c r="P113" s="68"/>
    </row>
    <row r="114">
      <c r="A114" s="59">
        <v>44371.0</v>
      </c>
      <c r="B114" s="60" t="str">
        <f>IFERROR(__xludf.DUMMYFUNCTION("FILTER($H$2:$H$445,$I$2:$I$445=D114)"),"Italian Club")</f>
        <v>Italian Club</v>
      </c>
      <c r="C114" s="60" t="str">
        <f>IFERROR(__xludf.DUMMYFUNCTION("filter($J$1:$J$500, $K$1:$K$500=D114)"),"Cultural")</f>
        <v>Cultural</v>
      </c>
      <c r="D114" s="61">
        <v>148.0</v>
      </c>
      <c r="F114" s="62">
        <v>714.25</v>
      </c>
      <c r="G114" s="18"/>
      <c r="H114" s="65" t="s">
        <v>139</v>
      </c>
      <c r="I114" s="64">
        <v>386.0</v>
      </c>
      <c r="J114" s="71"/>
      <c r="K114" s="72"/>
      <c r="L114" s="35">
        <f>IFERROR(__xludf.DUMMYFUNCTION("filter($O$1:$O$200,$K$1:$K$200=N114)"),0.0)</f>
        <v>0</v>
      </c>
      <c r="M114" s="22"/>
      <c r="N114" s="73">
        <v>53.0</v>
      </c>
      <c r="O114" s="74">
        <v>0.0</v>
      </c>
      <c r="P114" s="74"/>
    </row>
    <row r="115">
      <c r="A115" s="59">
        <v>44371.0</v>
      </c>
      <c r="B115" s="60" t="str">
        <f>IFERROR(__xludf.DUMMYFUNCTION("FILTER($H$2:$H$445,$I$2:$I$445=D115)"),"Celebrating Latinx Arts &amp; Works")</f>
        <v>Celebrating Latinx Arts &amp; Works</v>
      </c>
      <c r="C115" s="60" t="str">
        <f>IFERROR(__xludf.DUMMYFUNCTION("filter($J$1:$J$500, $K$1:$K$500=D115)"),"Cultural")</f>
        <v>Cultural</v>
      </c>
      <c r="D115" s="61">
        <v>1926.0</v>
      </c>
      <c r="F115" s="62">
        <v>720.83</v>
      </c>
      <c r="G115" s="18"/>
      <c r="H115" s="63" t="s">
        <v>140</v>
      </c>
      <c r="I115" s="64">
        <v>287.0</v>
      </c>
      <c r="J115" s="69" t="s">
        <v>15</v>
      </c>
      <c r="K115" s="66">
        <v>1412.0</v>
      </c>
      <c r="L115" s="35">
        <f>IFERROR(__xludf.DUMMYFUNCTION("filter($O$1:$O$200,$K$1:$K$200=N115)"),2340.0)</f>
        <v>2340</v>
      </c>
      <c r="M115" s="22"/>
      <c r="N115" s="67">
        <v>1866.0</v>
      </c>
      <c r="O115" s="68">
        <v>180.0</v>
      </c>
      <c r="P115" s="68"/>
    </row>
    <row r="116">
      <c r="A116" s="59">
        <v>44371.0</v>
      </c>
      <c r="B116" s="60" t="str">
        <f>IFERROR(__xludf.DUMMYFUNCTION("FILTER($H$2:$H$445,$I$2:$I$445=D116)"),"Korean Student Association")</f>
        <v>Korean Student Association</v>
      </c>
      <c r="C116" s="60" t="str">
        <f>IFERROR(__xludf.DUMMYFUNCTION("filter($J$1:$J$500, $K$1:$K$500=D116)"),"Cultural")</f>
        <v>Cultural</v>
      </c>
      <c r="D116" s="61">
        <v>164.0</v>
      </c>
      <c r="F116" s="62">
        <v>750.0</v>
      </c>
      <c r="G116" s="18"/>
      <c r="H116" s="63" t="s">
        <v>141</v>
      </c>
      <c r="I116" s="64">
        <v>222.0</v>
      </c>
      <c r="J116" s="69" t="s">
        <v>37</v>
      </c>
      <c r="K116" s="66">
        <v>1143.0</v>
      </c>
      <c r="L116" s="35">
        <f>IFERROR(__xludf.DUMMYFUNCTION("filter($O$1:$O$200,$K$1:$K$200=N116)"),2882.48)</f>
        <v>2882.48</v>
      </c>
      <c r="M116" s="22"/>
      <c r="N116" s="67">
        <v>136.0</v>
      </c>
      <c r="O116" s="68">
        <v>220.0</v>
      </c>
      <c r="P116" s="68"/>
    </row>
    <row r="117">
      <c r="A117" s="59">
        <v>44371.0</v>
      </c>
      <c r="B117" s="60" t="str">
        <f>IFERROR(__xludf.DUMMYFUNCTION("FILTER($H$2:$H$445,$I$2:$I$445=D117)"),"Latin American Womyn's Organization")</f>
        <v>Latin American Womyn's Organization</v>
      </c>
      <c r="C117" s="60" t="str">
        <f>IFERROR(__xludf.DUMMYFUNCTION("filter($J$1:$J$500, $K$1:$K$500=D117)"),"Cultural")</f>
        <v>Cultural</v>
      </c>
      <c r="D117" s="61">
        <v>6.0</v>
      </c>
      <c r="F117" s="62">
        <v>767.0</v>
      </c>
      <c r="G117" s="18"/>
      <c r="H117" s="63" t="s">
        <v>142</v>
      </c>
      <c r="I117" s="64">
        <v>1942.0</v>
      </c>
      <c r="J117" s="71"/>
      <c r="K117" s="72"/>
      <c r="L117" s="35">
        <f>IFERROR(__xludf.DUMMYFUNCTION("filter($O$1:$O$200,$K$1:$K$200=N117)"),13060.0)</f>
        <v>13060</v>
      </c>
      <c r="M117" s="22"/>
      <c r="N117" s="73">
        <v>232.0</v>
      </c>
      <c r="O117" s="74">
        <v>440.0</v>
      </c>
      <c r="P117" s="75">
        <f>AVERAGE(F43:F117)</f>
        <v>383.3793333</v>
      </c>
    </row>
    <row r="118">
      <c r="A118" s="59">
        <v>44371.0</v>
      </c>
      <c r="B118" s="60" t="str">
        <f>IFERROR(__xludf.DUMMYFUNCTION("FILTER($H$2:$H$445,$I$2:$I$445=D118)"),"Twese The Organization for Africans and Friends of Africa")</f>
        <v>Twese The Organization for Africans and Friends of Africa</v>
      </c>
      <c r="C118" s="60" t="str">
        <f>IFERROR(__xludf.DUMMYFUNCTION("filter($J$1:$J$500, $K$1:$K$500=D118)"),"Cultural")</f>
        <v>Cultural</v>
      </c>
      <c r="D118" s="61">
        <v>74.0</v>
      </c>
      <c r="F118" s="62">
        <v>779.0</v>
      </c>
      <c r="G118" s="18"/>
      <c r="H118" s="63" t="s">
        <v>143</v>
      </c>
      <c r="I118" s="64">
        <v>1141.0</v>
      </c>
      <c r="J118" s="71"/>
      <c r="K118" s="72"/>
      <c r="L118" s="35">
        <f>IFERROR(__xludf.DUMMYFUNCTION("filter($O$1:$O$200,$K$1:$K$200=N118)"),0.0)</f>
        <v>0</v>
      </c>
      <c r="M118" s="22"/>
      <c r="N118" s="73">
        <v>1759.0</v>
      </c>
      <c r="O118" s="74">
        <v>5000.0</v>
      </c>
      <c r="P118" s="74"/>
    </row>
    <row r="119">
      <c r="A119" s="59">
        <v>44371.0</v>
      </c>
      <c r="B119" s="60" t="str">
        <f>IFERROR(__xludf.DUMMYFUNCTION("FILTER($H$2:$H$445,$I$2:$I$445=D119)"),"Wanawake")</f>
        <v>Wanawake</v>
      </c>
      <c r="C119" s="60" t="str">
        <f>IFERROR(__xludf.DUMMYFUNCTION("filter($J$1:$J$500, $K$1:$K$500=D119)"),"Cultural")</f>
        <v>Cultural</v>
      </c>
      <c r="D119" s="61">
        <v>1193.0</v>
      </c>
      <c r="F119" s="62">
        <v>803.0</v>
      </c>
      <c r="G119" s="18"/>
      <c r="H119" s="63" t="s">
        <v>144</v>
      </c>
      <c r="I119" s="64">
        <v>1891.0</v>
      </c>
      <c r="J119" s="69" t="s">
        <v>27</v>
      </c>
      <c r="K119" s="66">
        <v>1783.0</v>
      </c>
      <c r="L119" s="22" t="str">
        <f>IFERROR(__xludf.DUMMYFUNCTION("filter($O$1:$O$200,$K$1:$K$200=N119)"),"#N/A")</f>
        <v>#N/A</v>
      </c>
      <c r="M119" s="22"/>
      <c r="N119" s="67">
        <v>1939.0</v>
      </c>
      <c r="O119" s="68">
        <v>0.0</v>
      </c>
      <c r="P119" s="68"/>
    </row>
    <row r="120">
      <c r="A120" s="59">
        <v>44371.0</v>
      </c>
      <c r="B120" s="60" t="str">
        <f>IFERROR(__xludf.DUMMYFUNCTION("FILTER($H$2:$H$445,$I$2:$I$445=D120)"),"Asian Student Council")</f>
        <v>Asian Student Council</v>
      </c>
      <c r="C120" s="60" t="str">
        <f>IFERROR(__xludf.DUMMYFUNCTION("filter($J$1:$J$500, $K$1:$K$500=D120)"),"Cultural")</f>
        <v>Cultural</v>
      </c>
      <c r="D120" s="61">
        <v>452.0</v>
      </c>
      <c r="F120" s="62">
        <v>830.0</v>
      </c>
      <c r="G120" s="18"/>
      <c r="H120" s="65" t="s">
        <v>145</v>
      </c>
      <c r="I120" s="64">
        <v>702.0</v>
      </c>
      <c r="J120" s="69" t="s">
        <v>69</v>
      </c>
      <c r="K120" s="66">
        <v>1910.0</v>
      </c>
      <c r="L120" s="22" t="str">
        <f>IFERROR(__xludf.DUMMYFUNCTION("filter($O$1:$O$200,$K$1:$K$200=N120)"),"#N/A")</f>
        <v>#N/A</v>
      </c>
      <c r="M120" s="22"/>
      <c r="N120" s="67">
        <v>1579.0</v>
      </c>
      <c r="O120" s="68">
        <v>0.0</v>
      </c>
      <c r="P120" s="68"/>
    </row>
    <row r="121">
      <c r="A121" s="59">
        <v>44371.0</v>
      </c>
      <c r="B121" s="60" t="str">
        <f>IFERROR(__xludf.DUMMYFUNCTION("FILTER($H$2:$H$445,$I$2:$I$445=D121)"),"Arab Cultural Club")</f>
        <v>Arab Cultural Club</v>
      </c>
      <c r="C121" s="60" t="str">
        <f>IFERROR(__xludf.DUMMYFUNCTION("filter($J$1:$J$500, $K$1:$K$500=D121)"),"Cultural")</f>
        <v>Cultural</v>
      </c>
      <c r="D121" s="61">
        <v>767.0</v>
      </c>
      <c r="F121" s="62">
        <v>860.0</v>
      </c>
      <c r="G121" s="18"/>
      <c r="H121" s="63" t="s">
        <v>146</v>
      </c>
      <c r="I121" s="64">
        <v>1587.0</v>
      </c>
      <c r="J121" s="69" t="s">
        <v>15</v>
      </c>
      <c r="K121" s="66">
        <v>614.0</v>
      </c>
      <c r="L121" s="22" t="str">
        <f>IFERROR(__xludf.DUMMYFUNCTION("filter($O$1:$O$200,$K$1:$K$200=N121)"),"#N/A")</f>
        <v>#N/A</v>
      </c>
      <c r="M121" s="22"/>
      <c r="N121" s="67">
        <v>1320.0</v>
      </c>
      <c r="O121" s="68">
        <v>50.0</v>
      </c>
      <c r="P121" s="68"/>
    </row>
    <row r="122">
      <c r="A122" s="59">
        <v>44371.0</v>
      </c>
      <c r="B122" s="60" t="str">
        <f>IFERROR(__xludf.DUMMYFUNCTION("FILTER($H$2:$H$445,$I$2:$I$445=D122)"),"Taiwanese American Student Association")</f>
        <v>Taiwanese American Student Association</v>
      </c>
      <c r="C122" s="60" t="str">
        <f>IFERROR(__xludf.DUMMYFUNCTION("filter($J$1:$J$500, $K$1:$K$500=D122)"),"Cultural")</f>
        <v>Cultural</v>
      </c>
      <c r="D122" s="61">
        <v>494.0</v>
      </c>
      <c r="F122" s="62">
        <v>900.0</v>
      </c>
      <c r="G122" s="18"/>
      <c r="H122" s="65" t="s">
        <v>147</v>
      </c>
      <c r="I122" s="64">
        <v>1786.0</v>
      </c>
      <c r="J122" s="69" t="s">
        <v>22</v>
      </c>
      <c r="K122" s="66">
        <v>741.0</v>
      </c>
      <c r="L122" s="35">
        <f>IFERROR(__xludf.DUMMYFUNCTION("filter($O$1:$O$200,$K$1:$K$200=N122)"),0.0)</f>
        <v>0</v>
      </c>
      <c r="M122" s="22"/>
      <c r="N122" s="67">
        <v>218.0</v>
      </c>
      <c r="O122" s="68">
        <v>750.0</v>
      </c>
      <c r="P122" s="68"/>
    </row>
    <row r="123">
      <c r="A123" s="59">
        <v>44371.0</v>
      </c>
      <c r="B123" s="60" t="str">
        <f>IFERROR(__xludf.DUMMYFUNCTION("FILTER($H$2:$H$445,$I$2:$I$445=D123)"),"Douglass D.I.V.A.S")</f>
        <v>Douglass D.I.V.A.S</v>
      </c>
      <c r="C123" s="60" t="str">
        <f>IFERROR(__xludf.DUMMYFUNCTION("filter($J$1:$J$500, $K$1:$K$500=D123)"),"Cultural")</f>
        <v>Cultural</v>
      </c>
      <c r="D123" s="61">
        <v>1294.0</v>
      </c>
      <c r="F123" s="62">
        <v>919.0</v>
      </c>
      <c r="G123" s="18"/>
      <c r="H123" s="63" t="s">
        <v>148</v>
      </c>
      <c r="I123" s="64">
        <v>1319.0</v>
      </c>
      <c r="J123" s="69" t="s">
        <v>17</v>
      </c>
      <c r="K123" s="66">
        <v>1753.0</v>
      </c>
      <c r="L123" s="22" t="str">
        <f>IFERROR(__xludf.DUMMYFUNCTION("filter($O$1:$O$200,$K$1:$K$200=N123)"),"#N/A")</f>
        <v>#N/A</v>
      </c>
      <c r="M123" s="22"/>
      <c r="N123" s="67">
        <v>1703.0</v>
      </c>
      <c r="O123" s="68">
        <v>400.0</v>
      </c>
      <c r="P123" s="68"/>
    </row>
    <row r="124">
      <c r="A124" s="59">
        <v>44371.0</v>
      </c>
      <c r="B124" s="60" t="str">
        <f>IFERROR(__xludf.DUMMYFUNCTION("FILTER($H$2:$H$445,$I$2:$I$445=D124)"),"Association of Punjabi Students")</f>
        <v>Association of Punjabi Students</v>
      </c>
      <c r="C124" s="60" t="str">
        <f>IFERROR(__xludf.DUMMYFUNCTION("filter($J$1:$J$500, $K$1:$K$500=D124)"),"Cultural")</f>
        <v>Cultural</v>
      </c>
      <c r="D124" s="61">
        <v>1410.0</v>
      </c>
      <c r="F124" s="62">
        <v>936.96</v>
      </c>
      <c r="G124" s="18"/>
      <c r="H124" s="65" t="s">
        <v>149</v>
      </c>
      <c r="I124" s="64">
        <v>587.0</v>
      </c>
      <c r="J124" s="69" t="s">
        <v>17</v>
      </c>
      <c r="K124" s="66">
        <v>1717.0</v>
      </c>
      <c r="L124" s="35">
        <f>IFERROR(__xludf.DUMMYFUNCTION("filter($O$1:$O$200,$K$1:$K$200=N124)"),220.0)</f>
        <v>220</v>
      </c>
      <c r="M124" s="22"/>
      <c r="N124" s="67">
        <v>1143.0</v>
      </c>
      <c r="O124" s="68">
        <v>3920.0</v>
      </c>
      <c r="P124" s="68"/>
    </row>
    <row r="125">
      <c r="A125" s="59">
        <v>44371.0</v>
      </c>
      <c r="B125" s="60" t="str">
        <f>IFERROR(__xludf.DUMMYFUNCTION("FILTER($H$2:$H$445,$I$2:$I$445=D125)"),"Union Estudiantil Puertorriquen")</f>
        <v>Union Estudiantil Puertorriquen</v>
      </c>
      <c r="C125" s="60" t="str">
        <f>IFERROR(__xludf.DUMMYFUNCTION("filter($J$1:$J$500, $K$1:$K$500=D125)"),"Cultural")</f>
        <v>Cultural</v>
      </c>
      <c r="D125" s="61">
        <v>347.0</v>
      </c>
      <c r="F125" s="76">
        <v>1060.0</v>
      </c>
      <c r="G125" s="42"/>
      <c r="H125" s="63" t="s">
        <v>150</v>
      </c>
      <c r="I125" s="70" t="s">
        <v>99</v>
      </c>
      <c r="J125" s="69" t="s">
        <v>25</v>
      </c>
      <c r="K125" s="66">
        <v>1023.0</v>
      </c>
      <c r="L125" s="22" t="str">
        <f>IFERROR(__xludf.DUMMYFUNCTION("filter($O$1:$O$200,$K$1:$K$200=N125)"),"#N/A")</f>
        <v>#N/A</v>
      </c>
      <c r="M125" s="22"/>
      <c r="N125" s="67">
        <v>1373.0</v>
      </c>
      <c r="O125" s="68">
        <v>400.0</v>
      </c>
      <c r="P125" s="68"/>
    </row>
    <row r="126">
      <c r="A126" s="59">
        <v>44371.0</v>
      </c>
      <c r="B126" s="60" t="str">
        <f>IFERROR(__xludf.DUMMYFUNCTION("FILTER($H$2:$H$445,$I$2:$I$445=D126)"),"Albanian Roots")</f>
        <v>Albanian Roots</v>
      </c>
      <c r="C126" s="60" t="str">
        <f>IFERROR(__xludf.DUMMYFUNCTION("filter($J$1:$J$500, $K$1:$K$500=D126)"),"Cultural")</f>
        <v>Cultural</v>
      </c>
      <c r="D126" s="61">
        <v>1958.0</v>
      </c>
      <c r="F126" s="76">
        <v>1100.0</v>
      </c>
      <c r="G126" s="42"/>
      <c r="H126" s="65" t="s">
        <v>151</v>
      </c>
      <c r="I126" s="64">
        <v>26.0</v>
      </c>
      <c r="J126" s="69" t="s">
        <v>15</v>
      </c>
      <c r="K126" s="66">
        <v>74.0</v>
      </c>
      <c r="L126" s="22" t="str">
        <f>IFERROR(__xludf.DUMMYFUNCTION("filter($O$1:$O$200,$K$1:$K$200=N126)"),"#N/A")</f>
        <v>#N/A</v>
      </c>
      <c r="M126" s="22"/>
      <c r="N126" s="67">
        <v>1444.0</v>
      </c>
      <c r="O126" s="68">
        <v>325.0</v>
      </c>
      <c r="P126" s="68"/>
    </row>
    <row r="127">
      <c r="A127" s="59">
        <v>44371.0</v>
      </c>
      <c r="B127" s="60" t="str">
        <f>IFERROR(__xludf.DUMMYFUNCTION("FILTER($H$2:$H$445,$I$2:$I$445=D127)"),"LASO (Latin American Student Organization)")</f>
        <v>LASO (Latin American Student Organization)</v>
      </c>
      <c r="C127" s="60" t="str">
        <f>IFERROR(__xludf.DUMMYFUNCTION("filter($J$1:$J$500, $K$1:$K$500=D127)"),"Cultural")</f>
        <v>Cultural</v>
      </c>
      <c r="D127" s="61">
        <v>759.0</v>
      </c>
      <c r="F127" s="76">
        <v>1185.83</v>
      </c>
      <c r="G127" s="42"/>
      <c r="H127" s="63" t="s">
        <v>152</v>
      </c>
      <c r="I127" s="64">
        <v>1681.0</v>
      </c>
      <c r="J127" s="69" t="s">
        <v>43</v>
      </c>
      <c r="K127" s="66">
        <v>1830.0</v>
      </c>
      <c r="L127" s="22" t="str">
        <f>IFERROR(__xludf.DUMMYFUNCTION("filter($O$1:$O$200,$K$1:$K$200=N127)"),"#N/A")</f>
        <v>#N/A</v>
      </c>
      <c r="M127" s="22"/>
      <c r="N127" s="67">
        <v>1797.0</v>
      </c>
      <c r="O127" s="68">
        <v>50.0</v>
      </c>
      <c r="P127" s="68"/>
    </row>
    <row r="128">
      <c r="A128" s="59">
        <v>44371.0</v>
      </c>
      <c r="B128" s="60" t="str">
        <f>IFERROR(__xludf.DUMMYFUNCTION("FILTER($H$2:$H$445,$I$2:$I$445=D128)"),"West Indian Student Organization")</f>
        <v>West Indian Student Organization</v>
      </c>
      <c r="C128" s="60" t="str">
        <f>IFERROR(__xludf.DUMMYFUNCTION("filter($J$1:$J$500, $K$1:$K$500=D128)"),"Cultural")</f>
        <v>Cultural</v>
      </c>
      <c r="D128" s="61">
        <v>357.0</v>
      </c>
      <c r="F128" s="76">
        <v>1265.83</v>
      </c>
      <c r="G128" s="42"/>
      <c r="H128" s="63" t="s">
        <v>153</v>
      </c>
      <c r="I128" s="64">
        <v>1600.0</v>
      </c>
      <c r="J128" s="69" t="s">
        <v>15</v>
      </c>
      <c r="K128" s="66">
        <v>1941.0</v>
      </c>
      <c r="L128" s="22" t="str">
        <f>IFERROR(__xludf.DUMMYFUNCTION("filter($O$1:$O$200,$K$1:$K$200=N128)"),"#N/A")</f>
        <v>#N/A</v>
      </c>
      <c r="M128" s="22"/>
      <c r="N128" s="67">
        <v>677.0</v>
      </c>
      <c r="O128" s="67">
        <v>1425.0</v>
      </c>
      <c r="P128" s="67"/>
    </row>
    <row r="129">
      <c r="A129" s="59">
        <v>44371.0</v>
      </c>
      <c r="B129" s="60" t="str">
        <f>IFERROR(__xludf.DUMMYFUNCTION("FILTER($H$2:$H$445,$I$2:$I$445=D129)"),"Arab Cultural Club")</f>
        <v>Arab Cultural Club</v>
      </c>
      <c r="C129" s="60" t="str">
        <f>IFERROR(__xludf.DUMMYFUNCTION("filter($J$1:$J$500, $K$1:$K$500=D129)"),"Cultural")</f>
        <v>Cultural</v>
      </c>
      <c r="D129" s="61">
        <v>767.0</v>
      </c>
      <c r="F129" s="76">
        <v>1334.66</v>
      </c>
      <c r="G129" s="42"/>
      <c r="H129" s="63" t="s">
        <v>154</v>
      </c>
      <c r="I129" s="64">
        <v>831.0</v>
      </c>
      <c r="J129" s="69" t="s">
        <v>15</v>
      </c>
      <c r="K129" s="66">
        <v>1828.0</v>
      </c>
      <c r="L129" s="35">
        <f>IFERROR(__xludf.DUMMYFUNCTION("filter($O$1:$O$200,$K$1:$K$200=N129)"),0.0)</f>
        <v>0</v>
      </c>
      <c r="M129" s="22"/>
      <c r="N129" s="67">
        <v>159.0</v>
      </c>
      <c r="O129" s="67">
        <v>7930.0</v>
      </c>
      <c r="P129" s="67"/>
    </row>
    <row r="130">
      <c r="A130" s="59">
        <v>44371.0</v>
      </c>
      <c r="B130" s="60" t="str">
        <f>IFERROR(__xludf.DUMMYFUNCTION("FILTER($H$2:$H$445,$I$2:$I$445=D130)"),"Mexican American Student Association")</f>
        <v>Mexican American Student Association</v>
      </c>
      <c r="C130" s="60" t="str">
        <f>IFERROR(__xludf.DUMMYFUNCTION("filter($J$1:$J$500, $K$1:$K$500=D130)"),"Cultural")</f>
        <v>Cultural</v>
      </c>
      <c r="D130" s="61">
        <v>1801.0</v>
      </c>
      <c r="F130" s="76">
        <v>1368.83</v>
      </c>
      <c r="G130" s="42"/>
      <c r="H130" s="63" t="s">
        <v>155</v>
      </c>
      <c r="I130" s="64">
        <v>230.0</v>
      </c>
      <c r="J130" s="69" t="s">
        <v>30</v>
      </c>
      <c r="K130" s="66">
        <v>1486.0</v>
      </c>
      <c r="L130" s="35">
        <f>IFERROR(__xludf.DUMMYFUNCTION("filter($O$1:$O$200,$K$1:$K$200=N130)"),224.91)</f>
        <v>224.91</v>
      </c>
      <c r="M130" s="22"/>
      <c r="N130" s="67">
        <v>1575.0</v>
      </c>
      <c r="O130" s="67">
        <v>0.0</v>
      </c>
      <c r="P130" s="67"/>
    </row>
    <row r="131">
      <c r="A131" s="59">
        <v>44371.0</v>
      </c>
      <c r="B131" s="60" t="str">
        <f>IFERROR(__xludf.DUMMYFUNCTION("FILTER($H$2:$H$445,$I$2:$I$445=D131)"),"Vietnamese Student Association")</f>
        <v>Vietnamese Student Association</v>
      </c>
      <c r="C131" s="60" t="str">
        <f>IFERROR(__xludf.DUMMYFUNCTION("filter($J$1:$J$500, $K$1:$K$500=D131)"),"Cultural")</f>
        <v>Cultural</v>
      </c>
      <c r="D131" s="61">
        <v>353.0</v>
      </c>
      <c r="F131" s="76">
        <v>1401.04</v>
      </c>
      <c r="G131" s="42"/>
      <c r="H131" s="65" t="s">
        <v>156</v>
      </c>
      <c r="I131" s="64">
        <v>1237.0</v>
      </c>
      <c r="J131" s="69" t="s">
        <v>19</v>
      </c>
      <c r="K131" s="66">
        <v>1942.0</v>
      </c>
      <c r="L131" s="22" t="str">
        <f>IFERROR(__xludf.DUMMYFUNCTION("filter($O$1:$O$200,$K$1:$K$200=N131)"),"#N/A")</f>
        <v>#N/A</v>
      </c>
      <c r="M131" s="22"/>
      <c r="N131" s="67">
        <v>761.0</v>
      </c>
      <c r="O131" s="67">
        <v>3100.0</v>
      </c>
      <c r="P131" s="67"/>
    </row>
    <row r="132">
      <c r="A132" s="59">
        <v>44371.0</v>
      </c>
      <c r="B132" s="60" t="str">
        <f>IFERROR(__xludf.DUMMYFUNCTION("FILTER($H$2:$H$445,$I$2:$I$445=D132)"),"Latino Student Council")</f>
        <v>Latino Student Council</v>
      </c>
      <c r="C132" s="60" t="str">
        <f>IFERROR(__xludf.DUMMYFUNCTION("filter($J$1:$J$500, $K$1:$K$500=D132)"),"Cultural")</f>
        <v>Cultural</v>
      </c>
      <c r="D132" s="61">
        <v>344.0</v>
      </c>
      <c r="F132" s="76">
        <v>1493.0</v>
      </c>
      <c r="G132" s="42"/>
      <c r="H132" s="65" t="s">
        <v>157</v>
      </c>
      <c r="I132" s="64">
        <v>1653.0</v>
      </c>
      <c r="J132" s="69" t="s">
        <v>19</v>
      </c>
      <c r="K132" s="66">
        <v>1945.0</v>
      </c>
      <c r="L132" s="22">
        <f>IFERROR(__xludf.DUMMYFUNCTION("filter($O$1:$O$200,$K$1:$K$200=N132)"),47.32)</f>
        <v>47.32</v>
      </c>
      <c r="M132" s="22"/>
      <c r="N132" s="67">
        <v>1801.0</v>
      </c>
      <c r="O132" s="68">
        <v>300.0</v>
      </c>
      <c r="P132" s="68"/>
    </row>
    <row r="133">
      <c r="A133" s="59">
        <v>44371.0</v>
      </c>
      <c r="B133" s="60" t="str">
        <f>IFERROR(__xludf.DUMMYFUNCTION("FILTER($H$2:$H$445,$I$2:$I$445=D133)"),"Vietnamese Student Association")</f>
        <v>Vietnamese Student Association</v>
      </c>
      <c r="C133" s="60" t="str">
        <f>IFERROR(__xludf.DUMMYFUNCTION("filter($J$1:$J$500, $K$1:$K$500=D133)"),"Cultural")</f>
        <v>Cultural</v>
      </c>
      <c r="D133" s="61">
        <v>353.0</v>
      </c>
      <c r="F133" s="76">
        <v>1829.8</v>
      </c>
      <c r="G133" s="42"/>
      <c r="H133" s="63" t="s">
        <v>158</v>
      </c>
      <c r="I133" s="64">
        <v>93.0</v>
      </c>
      <c r="J133" s="69" t="s">
        <v>13</v>
      </c>
      <c r="K133" s="66">
        <v>831.0</v>
      </c>
      <c r="L133" s="22" t="str">
        <f>IFERROR(__xludf.DUMMYFUNCTION("filter($O$1:$O$200,$K$1:$K$200=N133)"),"#N/A")</f>
        <v>#N/A</v>
      </c>
      <c r="M133" s="22"/>
      <c r="N133" s="67">
        <v>1467.0</v>
      </c>
      <c r="O133" s="67">
        <v>15.0</v>
      </c>
      <c r="P133" s="67"/>
    </row>
    <row r="134">
      <c r="A134" s="59">
        <v>44371.0</v>
      </c>
      <c r="B134" s="60" t="str">
        <f>IFERROR(__xludf.DUMMYFUNCTION("FILTER($H$2:$H$445,$I$2:$I$445=D134)"),"Italian Club")</f>
        <v>Italian Club</v>
      </c>
      <c r="C134" s="60" t="str">
        <f>IFERROR(__xludf.DUMMYFUNCTION("filter($J$1:$J$500, $K$1:$K$500=D134)"),"Cultural")</f>
        <v>Cultural</v>
      </c>
      <c r="D134" s="61">
        <v>148.0</v>
      </c>
      <c r="F134" s="76">
        <v>1970.0</v>
      </c>
      <c r="G134" s="42"/>
      <c r="H134" s="65" t="s">
        <v>159</v>
      </c>
      <c r="I134" s="64">
        <v>1940.0</v>
      </c>
      <c r="J134" s="69" t="s">
        <v>30</v>
      </c>
      <c r="K134" s="66">
        <v>1184.0</v>
      </c>
      <c r="L134" s="22">
        <f>IFERROR(__xludf.DUMMYFUNCTION("filter($O$1:$O$200,$K$1:$K$200=N134)"),600.0)</f>
        <v>600</v>
      </c>
      <c r="M134" s="22"/>
      <c r="N134" s="67">
        <v>1741.0</v>
      </c>
      <c r="O134" s="68">
        <v>1100.0</v>
      </c>
      <c r="P134" s="68"/>
    </row>
    <row r="135">
      <c r="A135" s="59">
        <v>44371.0</v>
      </c>
      <c r="B135" s="60" t="str">
        <f>IFERROR(__xludf.DUMMYFUNCTION("FILTER($H$2:$H$445,$I$2:$I$445=D135)"),"Association of Phillipine Students")</f>
        <v>Association of Phillipine Students</v>
      </c>
      <c r="C135" s="60" t="str">
        <f>IFERROR(__xludf.DUMMYFUNCTION("filter($J$1:$J$500, $K$1:$K$500=D135)"),"Cultural")</f>
        <v>Cultural</v>
      </c>
      <c r="D135" s="61">
        <v>295.0</v>
      </c>
      <c r="F135" s="76">
        <v>2400.0</v>
      </c>
      <c r="G135" s="42"/>
      <c r="H135" s="65" t="s">
        <v>160</v>
      </c>
      <c r="I135" s="64">
        <v>1575.0</v>
      </c>
      <c r="J135" s="69" t="s">
        <v>27</v>
      </c>
      <c r="K135" s="66">
        <v>1054.0</v>
      </c>
      <c r="L135" s="35">
        <f>IFERROR(__xludf.DUMMYFUNCTION("filter($O$1:$O$200,$K$1:$K$200=N135)"),3920.0)</f>
        <v>3920</v>
      </c>
      <c r="M135" s="22"/>
      <c r="N135" s="67">
        <v>1717.0</v>
      </c>
      <c r="O135" s="68">
        <v>210.0</v>
      </c>
      <c r="P135" s="68"/>
    </row>
    <row r="136">
      <c r="A136" s="59">
        <v>44371.0</v>
      </c>
      <c r="B136" s="60" t="str">
        <f>IFERROR(__xludf.DUMMYFUNCTION("FILTER($H$2:$H$445,$I$2:$I$445=D136)"),"Twese The Organization for Africans and Friends of Africa")</f>
        <v>Twese The Organization for Africans and Friends of Africa</v>
      </c>
      <c r="C136" s="60" t="str">
        <f>IFERROR(__xludf.DUMMYFUNCTION("filter($J$1:$J$500, $K$1:$K$500=D136)"),"Cultural")</f>
        <v>Cultural</v>
      </c>
      <c r="D136" s="61">
        <v>74.0</v>
      </c>
      <c r="F136" s="76">
        <v>2776.0</v>
      </c>
      <c r="G136" s="42"/>
      <c r="H136" s="65" t="s">
        <v>161</v>
      </c>
      <c r="I136" s="64">
        <v>1433.0</v>
      </c>
      <c r="J136" s="65" t="s">
        <v>15</v>
      </c>
      <c r="K136" s="66">
        <v>52.0</v>
      </c>
      <c r="L136" s="35">
        <f>IFERROR(__xludf.DUMMYFUNCTION("filter($O$1:$O$200,$K$1:$K$200=N136)"),1520.0)</f>
        <v>1520</v>
      </c>
      <c r="M136" s="22"/>
      <c r="N136" s="67">
        <v>1716.0</v>
      </c>
      <c r="O136" s="68">
        <v>50.0</v>
      </c>
      <c r="P136" s="68"/>
    </row>
    <row r="137">
      <c r="A137" s="59">
        <v>44371.0</v>
      </c>
      <c r="B137" s="60" t="str">
        <f>IFERROR(__xludf.DUMMYFUNCTION("FILTER($H$2:$H$445,$I$2:$I$445=D137)"),"Asian Student Council")</f>
        <v>Asian Student Council</v>
      </c>
      <c r="C137" s="60" t="str">
        <f>IFERROR(__xludf.DUMMYFUNCTION("filter($J$1:$J$500, $K$1:$K$500=D137)"),"Cultural")</f>
        <v>Cultural</v>
      </c>
      <c r="D137" s="61">
        <v>452.0</v>
      </c>
      <c r="F137" s="76">
        <v>2870.0</v>
      </c>
      <c r="G137" s="42"/>
      <c r="H137" s="63" t="s">
        <v>162</v>
      </c>
      <c r="I137" s="64">
        <v>1054.0</v>
      </c>
      <c r="J137" s="65" t="s">
        <v>15</v>
      </c>
      <c r="K137" s="66">
        <v>22.0</v>
      </c>
      <c r="L137" s="22" t="str">
        <f>IFERROR(__xludf.DUMMYFUNCTION("filter($O$1:$O$200,$K$1:$K$200=N137)"),"#N/A")</f>
        <v>#N/A</v>
      </c>
      <c r="M137" s="22"/>
      <c r="N137" s="67">
        <v>726.0</v>
      </c>
      <c r="O137" s="68">
        <v>200.0</v>
      </c>
      <c r="P137" s="68"/>
    </row>
    <row r="138">
      <c r="A138" s="59">
        <v>44371.0</v>
      </c>
      <c r="B138" s="60" t="str">
        <f>IFERROR(__xludf.DUMMYFUNCTION("FILTER($H$2:$H$445,$I$2:$I$445=D138)"),"Desi Intercultural Youth Association")</f>
        <v>Desi Intercultural Youth Association</v>
      </c>
      <c r="C138" s="60" t="str">
        <f>IFERROR(__xludf.DUMMYFUNCTION("filter($J$1:$J$500, $K$1:$K$500=D138)"),"Cultural")</f>
        <v>Cultural</v>
      </c>
      <c r="D138" s="61">
        <v>722.0</v>
      </c>
      <c r="F138" s="76">
        <v>3700.0</v>
      </c>
      <c r="G138" s="42"/>
      <c r="H138" s="65" t="s">
        <v>163</v>
      </c>
      <c r="I138" s="64">
        <v>710.0</v>
      </c>
      <c r="J138" s="69" t="s">
        <v>25</v>
      </c>
      <c r="K138" s="66">
        <v>639.0</v>
      </c>
      <c r="L138" s="22" t="str">
        <f>IFERROR(__xludf.DUMMYFUNCTION("filter($O$1:$O$200,$K$1:$K$200=N138)"),"#N/A")</f>
        <v>#N/A</v>
      </c>
      <c r="M138" s="22"/>
      <c r="N138" s="67">
        <v>132.0</v>
      </c>
      <c r="O138" s="67">
        <v>1970.0</v>
      </c>
      <c r="P138" s="67"/>
    </row>
    <row r="139">
      <c r="A139" s="59">
        <v>44371.0</v>
      </c>
      <c r="B139" s="60" t="str">
        <f>IFERROR(__xludf.DUMMYFUNCTION("FILTER($H$2:$H$445,$I$2:$I$445=D139)"),"Twese The Organization for Africans and Friends of Africa")</f>
        <v>Twese The Organization for Africans and Friends of Africa</v>
      </c>
      <c r="C139" s="60" t="str">
        <f>IFERROR(__xludf.DUMMYFUNCTION("filter($J$1:$J$500, $K$1:$K$500=D139)"),"Cultural")</f>
        <v>Cultural</v>
      </c>
      <c r="D139" s="61">
        <v>74.0</v>
      </c>
      <c r="F139" s="76">
        <v>3981.02</v>
      </c>
      <c r="G139" s="42"/>
      <c r="H139" s="63" t="s">
        <v>164</v>
      </c>
      <c r="I139" s="64">
        <v>784.0</v>
      </c>
      <c r="J139" s="69" t="s">
        <v>30</v>
      </c>
      <c r="K139" s="66">
        <v>1231.0</v>
      </c>
      <c r="L139" s="35">
        <f>IFERROR(__xludf.DUMMYFUNCTION("filter($O$1:$O$200,$K$1:$K$200=N139)"),0.0)</f>
        <v>0</v>
      </c>
      <c r="M139" s="22"/>
      <c r="N139" s="67">
        <v>1594.0</v>
      </c>
      <c r="O139" s="68">
        <v>1000.0</v>
      </c>
      <c r="P139" s="68"/>
    </row>
    <row r="140">
      <c r="A140" s="59">
        <v>44371.0</v>
      </c>
      <c r="B140" s="60" t="str">
        <f>IFERROR(__xludf.DUMMYFUNCTION("FILTER($H$2:$H$445,$I$2:$I$445=D140)"),"United Black Council")</f>
        <v>United Black Council</v>
      </c>
      <c r="C140" s="60" t="str">
        <f>IFERROR(__xludf.DUMMYFUNCTION("filter($J$1:$J$500, $K$1:$K$500=D140)"),"Cultural")</f>
        <v>Cultural</v>
      </c>
      <c r="D140" s="61">
        <v>468.0</v>
      </c>
      <c r="F140" s="76">
        <v>6500.0</v>
      </c>
      <c r="G140" s="42"/>
      <c r="H140" s="63" t="s">
        <v>165</v>
      </c>
      <c r="I140" s="64">
        <v>1655.0</v>
      </c>
      <c r="J140" s="65" t="s">
        <v>166</v>
      </c>
      <c r="K140" s="66">
        <v>21.0</v>
      </c>
      <c r="L140" s="22" t="str">
        <f>IFERROR(__xludf.DUMMYFUNCTION("filter($O$1:$O$200,$K$1:$K$200=N140)"),"#N/A")</f>
        <v>#N/A</v>
      </c>
      <c r="M140" s="22"/>
      <c r="N140" s="67">
        <v>1294.0</v>
      </c>
      <c r="O140" s="68">
        <v>0.0</v>
      </c>
      <c r="P140" s="68"/>
    </row>
    <row r="141">
      <c r="A141" s="59">
        <v>44371.0</v>
      </c>
      <c r="B141" s="60" t="str">
        <f>IFERROR(__xludf.DUMMYFUNCTION("FILTER($H$2:$H$445,$I$2:$I$445=D141)"),"Association of Indians at Rutgers")</f>
        <v>Association of Indians at Rutgers</v>
      </c>
      <c r="C141" s="60" t="str">
        <f>IFERROR(__xludf.DUMMYFUNCTION("filter($J$1:$J$500, $K$1:$K$500=D141)"),"Cultural")</f>
        <v>Cultural</v>
      </c>
      <c r="D141" s="61">
        <v>22.0</v>
      </c>
      <c r="F141" s="76">
        <v>8000.0</v>
      </c>
      <c r="G141" s="42"/>
      <c r="H141" s="63" t="s">
        <v>167</v>
      </c>
      <c r="I141" s="64">
        <v>1369.0</v>
      </c>
      <c r="J141" s="65" t="s">
        <v>22</v>
      </c>
      <c r="K141" s="66">
        <v>26.0</v>
      </c>
      <c r="L141" s="22" t="str">
        <f>IFERROR(__xludf.DUMMYFUNCTION("filter($O$1:$O$200,$K$1:$K$200=N141)"),"#N/A")</f>
        <v>#N/A</v>
      </c>
      <c r="M141" s="22"/>
      <c r="N141" s="67" t="s">
        <v>134</v>
      </c>
      <c r="O141" s="68">
        <v>150.0</v>
      </c>
      <c r="P141" s="68"/>
    </row>
    <row r="142">
      <c r="A142" s="59">
        <v>44371.0</v>
      </c>
      <c r="B142" s="60" t="str">
        <f>IFERROR(__xludf.DUMMYFUNCTION("FILTER($H$2:$H$445,$I$2:$I$445=D142)"),"Association of Indians at Rutgers")</f>
        <v>Association of Indians at Rutgers</v>
      </c>
      <c r="C142" s="60" t="str">
        <f>IFERROR(__xludf.DUMMYFUNCTION("filter($J$1:$J$500, $K$1:$K$500=D142)"),"Cultural")</f>
        <v>Cultural</v>
      </c>
      <c r="D142" s="61">
        <v>22.0</v>
      </c>
      <c r="F142" s="76">
        <v>10915.0</v>
      </c>
      <c r="G142" s="42"/>
      <c r="H142" s="63" t="s">
        <v>168</v>
      </c>
      <c r="I142" s="64">
        <v>1899.0</v>
      </c>
      <c r="J142" s="69" t="s">
        <v>22</v>
      </c>
      <c r="K142" s="66">
        <v>1280.0</v>
      </c>
      <c r="L142" s="22" t="str">
        <f>IFERROR(__xludf.DUMMYFUNCTION("filter($O$1:$O$200,$K$1:$K$200=N142)"),"#N/A")</f>
        <v>#N/A</v>
      </c>
      <c r="M142" s="22"/>
      <c r="N142" s="67">
        <v>660.0</v>
      </c>
      <c r="O142" s="68">
        <v>0.0</v>
      </c>
      <c r="P142" s="68"/>
    </row>
    <row r="143">
      <c r="A143" s="59">
        <v>44371.0</v>
      </c>
      <c r="B143" s="60" t="str">
        <f>IFERROR(__xludf.DUMMYFUNCTION("FILTER($H$2:$H$445,$I$2:$I$445=D143)"),"Black Student Union")</f>
        <v>Black Student Union</v>
      </c>
      <c r="C143" s="60" t="str">
        <f>IFERROR(__xludf.DUMMYFUNCTION("filter($J$1:$J$500, $K$1:$K$500=D143)"),"Cultural")</f>
        <v>Cultural</v>
      </c>
      <c r="D143" s="61">
        <v>25.0</v>
      </c>
      <c r="F143" s="76">
        <v>14400.0</v>
      </c>
      <c r="G143" s="42"/>
      <c r="H143" s="63" t="s">
        <v>169</v>
      </c>
      <c r="I143" s="64">
        <v>1433.0</v>
      </c>
      <c r="J143" s="65" t="s">
        <v>37</v>
      </c>
      <c r="K143" s="66">
        <v>53.0</v>
      </c>
      <c r="L143" s="22" t="str">
        <f>IFERROR(__xludf.DUMMYFUNCTION("filter($O$1:$O$200,$K$1:$K$200=N143)"),"#N/A")</f>
        <v>#N/A</v>
      </c>
      <c r="M143" s="22"/>
      <c r="N143" s="67">
        <v>1608.0</v>
      </c>
      <c r="O143" s="68">
        <v>0.0</v>
      </c>
      <c r="P143" s="68"/>
    </row>
    <row r="144">
      <c r="A144" s="77">
        <v>44371.0</v>
      </c>
      <c r="B144" s="78" t="str">
        <f>IFERROR(__xludf.DUMMYFUNCTION("FILTER($H$2:$H$445,$I$2:$I$445=D144)"),"Klesis")</f>
        <v>Klesis</v>
      </c>
      <c r="C144" s="78" t="str">
        <f>IFERROR(__xludf.DUMMYFUNCTION("filter($J$1:$J$500, $K$1:$K$500=D144)"),"Faith-based")</f>
        <v>Faith-based</v>
      </c>
      <c r="D144" s="79">
        <v>1797.0</v>
      </c>
      <c r="F144" s="80">
        <v>7.03</v>
      </c>
      <c r="G144" s="18"/>
      <c r="H144" s="81" t="s">
        <v>170</v>
      </c>
      <c r="I144" s="82">
        <v>1108.0</v>
      </c>
      <c r="J144" s="83" t="s">
        <v>22</v>
      </c>
      <c r="K144" s="84">
        <v>197.0</v>
      </c>
      <c r="L144" s="22">
        <f>IFERROR(__xludf.DUMMYFUNCTION("filter($O$1:$O$200,$K$1:$K$200=N144)"),15.0)</f>
        <v>15</v>
      </c>
      <c r="M144" s="22"/>
      <c r="N144" s="85">
        <v>831.0</v>
      </c>
      <c r="O144" s="86">
        <v>0.0</v>
      </c>
      <c r="P144" s="86"/>
    </row>
    <row r="145">
      <c r="A145" s="77">
        <v>44371.0</v>
      </c>
      <c r="B145" s="78" t="str">
        <f>IFERROR(__xludf.DUMMYFUNCTION("FILTER($H$2:$H$445,$I$2:$I$445=D145)"),"Hindu YUVA")</f>
        <v>Hindu YUVA</v>
      </c>
      <c r="C145" s="78" t="str">
        <f>IFERROR(__xludf.DUMMYFUNCTION("filter($J$1:$J$500, $K$1:$K$500=D145)"),"Faith-based")</f>
        <v>Faith-based</v>
      </c>
      <c r="D145" s="79">
        <v>1960.0</v>
      </c>
      <c r="F145" s="80">
        <v>8.16</v>
      </c>
      <c r="G145" s="18"/>
      <c r="H145" s="81" t="s">
        <v>171</v>
      </c>
      <c r="I145" s="82">
        <v>1103.0</v>
      </c>
      <c r="J145" s="83" t="s">
        <v>37</v>
      </c>
      <c r="K145" s="84">
        <v>72.0</v>
      </c>
      <c r="L145" s="22" t="str">
        <f>IFERROR(__xludf.DUMMYFUNCTION("filter($O$1:$O$200,$K$1:$K$200=N145)"),"#N/A")</f>
        <v>#N/A</v>
      </c>
      <c r="M145" s="22"/>
      <c r="N145" s="85">
        <v>407.0</v>
      </c>
      <c r="O145" s="85">
        <v>1200.0</v>
      </c>
      <c r="P145" s="85"/>
    </row>
    <row r="146">
      <c r="A146" s="77">
        <v>44371.0</v>
      </c>
      <c r="B146" s="78" t="str">
        <f>IFERROR(__xludf.DUMMYFUNCTION("FILTER($H$2:$H$445,$I$2:$I$445=D146)"),"Ahlul-Bayt Student Association")</f>
        <v>Ahlul-Bayt Student Association</v>
      </c>
      <c r="C146" s="78" t="str">
        <f>IFERROR(__xludf.DUMMYFUNCTION("filter($J$1:$J$500, $K$1:$K$500=D146)"),"Faith-based")</f>
        <v>Faith-based</v>
      </c>
      <c r="D146" s="79">
        <v>1369.0</v>
      </c>
      <c r="F146" s="80">
        <v>10.0</v>
      </c>
      <c r="G146" s="18"/>
      <c r="H146" s="87" t="s">
        <v>172</v>
      </c>
      <c r="I146" s="82">
        <v>1478.0</v>
      </c>
      <c r="J146" s="83" t="s">
        <v>15</v>
      </c>
      <c r="K146" s="84">
        <v>400.0</v>
      </c>
      <c r="L146" s="35">
        <f>IFERROR(__xludf.DUMMYFUNCTION("filter($O$1:$O$200,$K$1:$K$200=N146)"),1100.0)</f>
        <v>1100</v>
      </c>
      <c r="M146" s="22"/>
      <c r="N146" s="85">
        <v>1184.0</v>
      </c>
      <c r="O146" s="86">
        <v>3850.0</v>
      </c>
      <c r="P146" s="86"/>
    </row>
    <row r="147">
      <c r="A147" s="77">
        <v>44371.0</v>
      </c>
      <c r="B147" s="78" t="str">
        <f>IFERROR(__xludf.DUMMYFUNCTION("FILTER($H$2:$H$445,$I$2:$I$445=D147)"),"Klesis")</f>
        <v>Klesis</v>
      </c>
      <c r="C147" s="78" t="str">
        <f>IFERROR(__xludf.DUMMYFUNCTION("filter($J$1:$J$500, $K$1:$K$500=D147)"),"Faith-based")</f>
        <v>Faith-based</v>
      </c>
      <c r="D147" s="79">
        <v>1797.0</v>
      </c>
      <c r="F147" s="80">
        <v>18.64</v>
      </c>
      <c r="G147" s="18"/>
      <c r="H147" s="81" t="s">
        <v>173</v>
      </c>
      <c r="I147" s="82">
        <v>1834.0</v>
      </c>
      <c r="J147" s="83" t="s">
        <v>22</v>
      </c>
      <c r="K147" s="84">
        <v>1487.0</v>
      </c>
      <c r="L147" s="22" t="str">
        <f>IFERROR(__xludf.DUMMYFUNCTION("filter($O$1:$O$200,$K$1:$K$200=N147)"),"#N/A")</f>
        <v>#N/A</v>
      </c>
      <c r="M147" s="22"/>
      <c r="N147" s="85">
        <v>1063.0</v>
      </c>
      <c r="O147" s="86">
        <v>0.0</v>
      </c>
      <c r="P147" s="86"/>
    </row>
    <row r="148">
      <c r="A148" s="77">
        <v>44371.0</v>
      </c>
      <c r="B148" s="78" t="str">
        <f>IFERROR(__xludf.DUMMYFUNCTION("FILTER($H$2:$H$445,$I$2:$I$445=D148)"),"Chinese Christian Fellowship")</f>
        <v>Chinese Christian Fellowship</v>
      </c>
      <c r="C148" s="78" t="str">
        <f>IFERROR(__xludf.DUMMYFUNCTION("filter($J$1:$J$500, $K$1:$K$500=D148)"),"Faith-based")</f>
        <v>Faith-based</v>
      </c>
      <c r="D148" s="79">
        <v>620.0</v>
      </c>
      <c r="F148" s="80">
        <v>41.87</v>
      </c>
      <c r="G148" s="18"/>
      <c r="H148" s="87" t="s">
        <v>174</v>
      </c>
      <c r="I148" s="82">
        <v>1948.0</v>
      </c>
      <c r="J148" s="83" t="s">
        <v>30</v>
      </c>
      <c r="K148" s="84">
        <v>1878.0</v>
      </c>
      <c r="L148" s="22" t="str">
        <f>IFERROR(__xludf.DUMMYFUNCTION("filter($O$1:$O$200,$K$1:$K$200=N148)"),"#N/A")</f>
        <v>#N/A</v>
      </c>
      <c r="M148" s="22"/>
      <c r="N148" s="85">
        <v>244.0</v>
      </c>
      <c r="O148" s="86">
        <v>270.0</v>
      </c>
      <c r="P148" s="86"/>
    </row>
    <row r="149">
      <c r="A149" s="77">
        <v>44371.0</v>
      </c>
      <c r="B149" s="78" t="str">
        <f>IFERROR(__xludf.DUMMYFUNCTION("FILTER($H$2:$H$445,$I$2:$I$445=D149)"),"Muslim Feminists for the Arts")</f>
        <v>Muslim Feminists for the Arts</v>
      </c>
      <c r="C149" s="78" t="str">
        <f>IFERROR(__xludf.DUMMYFUNCTION("filter($J$1:$J$500, $K$1:$K$500=D149)"),"Faith-based")</f>
        <v>Faith-based</v>
      </c>
      <c r="D149" s="79">
        <v>1817.0</v>
      </c>
      <c r="F149" s="80">
        <v>50.0</v>
      </c>
      <c r="G149" s="18"/>
      <c r="H149" s="81" t="s">
        <v>175</v>
      </c>
      <c r="I149" s="82">
        <v>63.0</v>
      </c>
      <c r="J149" s="83" t="s">
        <v>25</v>
      </c>
      <c r="K149" s="84">
        <v>178.0</v>
      </c>
      <c r="L149" s="35">
        <f>IFERROR(__xludf.DUMMYFUNCTION("filter($O$1:$O$200,$K$1:$K$200=N149)"),1550.0)</f>
        <v>1550</v>
      </c>
      <c r="M149" s="22"/>
      <c r="N149" s="85">
        <v>84.0</v>
      </c>
      <c r="O149" s="86">
        <v>3250.0</v>
      </c>
      <c r="P149" s="86"/>
    </row>
    <row r="150">
      <c r="A150" s="77">
        <v>44371.0</v>
      </c>
      <c r="B150" s="78" t="str">
        <f>IFERROR(__xludf.DUMMYFUNCTION("FILTER($H$2:$H$445,$I$2:$I$445=D150)"),"Muslim Student Association")</f>
        <v>Muslim Student Association</v>
      </c>
      <c r="C150" s="78" t="str">
        <f>IFERROR(__xludf.DUMMYFUNCTION("filter($J$1:$J$500, $K$1:$K$500=D150)"),"Faith-based")</f>
        <v>Faith-based</v>
      </c>
      <c r="D150" s="79">
        <v>568.0</v>
      </c>
      <c r="F150" s="80">
        <v>50.0</v>
      </c>
      <c r="G150" s="18"/>
      <c r="H150" s="87" t="s">
        <v>176</v>
      </c>
      <c r="I150" s="82">
        <v>292.0</v>
      </c>
      <c r="J150" s="83" t="s">
        <v>25</v>
      </c>
      <c r="K150" s="84">
        <v>712.0</v>
      </c>
      <c r="L150" s="22" t="str">
        <f>IFERROR(__xludf.DUMMYFUNCTION("filter($O$1:$O$200,$K$1:$K$200=N150)"),"#N/A")</f>
        <v>#N/A</v>
      </c>
      <c r="M150" s="22"/>
      <c r="N150" s="85">
        <v>549.0</v>
      </c>
      <c r="O150" s="86">
        <v>300.0</v>
      </c>
      <c r="P150" s="86"/>
    </row>
    <row r="151">
      <c r="A151" s="77">
        <v>44371.0</v>
      </c>
      <c r="B151" s="78" t="str">
        <f>IFERROR(__xludf.DUMMYFUNCTION("FILTER($H$2:$H$445,$I$2:$I$445=D151)"),"Korean Christian Fellowship")</f>
        <v>Korean Christian Fellowship</v>
      </c>
      <c r="C151" s="78" t="str">
        <f>IFERROR(__xludf.DUMMYFUNCTION("filter($J$1:$J$500, $K$1:$K$500=D151)"),"Faith-based")</f>
        <v>Faith-based</v>
      </c>
      <c r="D151" s="79">
        <v>163.0</v>
      </c>
      <c r="F151" s="80">
        <v>94.93</v>
      </c>
      <c r="G151" s="18"/>
      <c r="H151" s="81" t="s">
        <v>177</v>
      </c>
      <c r="I151" s="82">
        <v>1079.0</v>
      </c>
      <c r="J151" s="83" t="s">
        <v>13</v>
      </c>
      <c r="K151" s="84">
        <v>1155.0</v>
      </c>
      <c r="L151" s="35">
        <f>IFERROR(__xludf.DUMMYFUNCTION("filter($O$1:$O$200,$K$1:$K$200=N151)"),480.0)</f>
        <v>480</v>
      </c>
      <c r="M151" s="22"/>
      <c r="N151" s="85">
        <v>230.0</v>
      </c>
      <c r="O151" s="86">
        <v>0.0</v>
      </c>
      <c r="P151" s="86"/>
    </row>
    <row r="152">
      <c r="A152" s="77">
        <v>44371.0</v>
      </c>
      <c r="B152" s="78" t="str">
        <f>IFERROR(__xludf.DUMMYFUNCTION("FILTER($H$2:$H$445,$I$2:$I$445=D152)"),"Indian Christian Fellowship")</f>
        <v>Indian Christian Fellowship</v>
      </c>
      <c r="C152" s="78" t="str">
        <f>IFERROR(__xludf.DUMMYFUNCTION("filter($J$1:$J$500, $K$1:$K$500=D152)"),"Faith-based")</f>
        <v>Faith-based</v>
      </c>
      <c r="D152" s="79">
        <v>362.0</v>
      </c>
      <c r="F152" s="80">
        <v>124.15</v>
      </c>
      <c r="G152" s="18"/>
      <c r="H152" s="87" t="s">
        <v>178</v>
      </c>
      <c r="I152" s="82">
        <v>1859.0</v>
      </c>
      <c r="J152" s="83" t="s">
        <v>27</v>
      </c>
      <c r="K152" s="84">
        <v>1940.0</v>
      </c>
      <c r="L152" s="22" t="str">
        <f>IFERROR(__xludf.DUMMYFUNCTION("filter($O$1:$O$200,$K$1:$K$200=N152)"),"#N/A")</f>
        <v>#N/A</v>
      </c>
      <c r="M152" s="22"/>
      <c r="N152" s="85">
        <v>1876.0</v>
      </c>
      <c r="O152" s="86">
        <v>0.0</v>
      </c>
      <c r="P152" s="86"/>
    </row>
    <row r="153">
      <c r="A153" s="77">
        <v>44371.0</v>
      </c>
      <c r="B153" s="78" t="str">
        <f>IFERROR(__xludf.DUMMYFUNCTION("FILTER($H$2:$H$445,$I$2:$I$445=D153)"),"CRU")</f>
        <v>CRU</v>
      </c>
      <c r="C153" s="78" t="str">
        <f>IFERROR(__xludf.DUMMYFUNCTION("filter($J$1:$J$500, $K$1:$K$500=D153)"),"Faith-based")</f>
        <v>Faith-based</v>
      </c>
      <c r="D153" s="79">
        <v>96.0</v>
      </c>
      <c r="F153" s="80">
        <v>133.0</v>
      </c>
      <c r="G153" s="18"/>
      <c r="H153" s="81" t="s">
        <v>179</v>
      </c>
      <c r="I153" s="82">
        <v>344.0</v>
      </c>
      <c r="J153" s="83" t="s">
        <v>13</v>
      </c>
      <c r="K153" s="84">
        <v>1203.0</v>
      </c>
      <c r="L153" s="22" t="str">
        <f>IFERROR(__xludf.DUMMYFUNCTION("filter($O$1:$O$200,$K$1:$K$200=N153)"),"#N/A")</f>
        <v>#N/A</v>
      </c>
      <c r="M153" s="22"/>
      <c r="N153" s="85">
        <v>415.0</v>
      </c>
      <c r="O153" s="86">
        <v>390.0</v>
      </c>
      <c r="P153" s="86"/>
    </row>
    <row r="154">
      <c r="A154" s="77">
        <v>44371.0</v>
      </c>
      <c r="B154" s="78" t="str">
        <f>IFERROR(__xludf.DUMMYFUNCTION("FILTER($H$2:$H$445,$I$2:$I$445=D154)"),"Hindu YUVA")</f>
        <v>Hindu YUVA</v>
      </c>
      <c r="C154" s="78" t="str">
        <f>IFERROR(__xludf.DUMMYFUNCTION("filter($J$1:$J$500, $K$1:$K$500=D154)"),"Faith-based")</f>
        <v>Faith-based</v>
      </c>
      <c r="D154" s="79">
        <v>1960.0</v>
      </c>
      <c r="F154" s="80">
        <v>181.11</v>
      </c>
      <c r="G154" s="18"/>
      <c r="H154" s="81" t="s">
        <v>180</v>
      </c>
      <c r="I154" s="82">
        <v>1888.0</v>
      </c>
      <c r="J154" s="83" t="s">
        <v>37</v>
      </c>
      <c r="K154" s="84">
        <v>1387.0</v>
      </c>
      <c r="L154" s="22" t="str">
        <f>IFERROR(__xludf.DUMMYFUNCTION("filter($O$1:$O$200,$K$1:$K$200=N154)"),"#N/A")</f>
        <v>#N/A</v>
      </c>
      <c r="M154" s="22"/>
      <c r="N154" s="85">
        <v>1042.0</v>
      </c>
      <c r="O154" s="86">
        <v>60.0</v>
      </c>
      <c r="P154" s="86"/>
    </row>
    <row r="155">
      <c r="A155" s="77">
        <v>44371.0</v>
      </c>
      <c r="B155" s="78" t="str">
        <f>IFERROR(__xludf.DUMMYFUNCTION("FILTER($H$2:$H$445,$I$2:$I$445=D155)"),"Christians on Campus")</f>
        <v>Christians on Campus</v>
      </c>
      <c r="C155" s="78" t="str">
        <f>IFERROR(__xludf.DUMMYFUNCTION("filter($J$1:$J$500, $K$1:$K$500=D155)"),"Faith-based")</f>
        <v>Faith-based</v>
      </c>
      <c r="D155" s="79">
        <v>1511.0</v>
      </c>
      <c r="F155" s="80">
        <v>236.0</v>
      </c>
      <c r="G155" s="18"/>
      <c r="H155" s="87" t="s">
        <v>181</v>
      </c>
      <c r="I155" s="82">
        <v>768.0</v>
      </c>
      <c r="J155" s="83" t="s">
        <v>43</v>
      </c>
      <c r="K155" s="84">
        <v>1653.0</v>
      </c>
      <c r="L155" s="35">
        <f>IFERROR(__xludf.DUMMYFUNCTION("filter($O$1:$O$200,$K$1:$K$200=N155)"),250.0)</f>
        <v>250</v>
      </c>
      <c r="M155" s="22"/>
      <c r="N155" s="85">
        <v>1495.0</v>
      </c>
      <c r="O155" s="86">
        <v>0.0</v>
      </c>
      <c r="P155" s="86"/>
    </row>
    <row r="156">
      <c r="A156" s="77">
        <v>44371.0</v>
      </c>
      <c r="B156" s="78" t="str">
        <f>IFERROR(__xludf.DUMMYFUNCTION("FILTER($H$2:$H$445,$I$2:$I$445=D156)"),"Chavaya")</f>
        <v>Chavaya</v>
      </c>
      <c r="C156" s="78" t="str">
        <f>IFERROR(__xludf.DUMMYFUNCTION("filter($J$1:$J$500, $K$1:$K$500=D156)"),"Faith-based")</f>
        <v>Faith-based</v>
      </c>
      <c r="D156" s="79">
        <v>1277.0</v>
      </c>
      <c r="F156" s="80">
        <v>300.0</v>
      </c>
      <c r="G156" s="18"/>
      <c r="H156" s="81" t="s">
        <v>182</v>
      </c>
      <c r="I156" s="82">
        <v>96.0</v>
      </c>
      <c r="J156" s="83" t="s">
        <v>15</v>
      </c>
      <c r="K156" s="84">
        <v>452.0</v>
      </c>
      <c r="L156" s="35">
        <f>IFERROR(__xludf.DUMMYFUNCTION("filter($O$1:$O$200,$K$1:$K$200=N156)"),0.0)</f>
        <v>0</v>
      </c>
      <c r="M156" s="22"/>
      <c r="N156" s="85">
        <v>1490.0</v>
      </c>
      <c r="O156" s="86">
        <v>100.0</v>
      </c>
      <c r="P156" s="86"/>
    </row>
    <row r="157">
      <c r="A157" s="77">
        <v>44371.0</v>
      </c>
      <c r="B157" s="78" t="str">
        <f>IFERROR(__xludf.DUMMYFUNCTION("FILTER($H$2:$H$445,$I$2:$I$445=D157)"),"BAPS Campus Fellowship")</f>
        <v>BAPS Campus Fellowship</v>
      </c>
      <c r="C157" s="78" t="str">
        <f>IFERROR(__xludf.DUMMYFUNCTION("filter($J$1:$J$500, $K$1:$K$500=D157)"),"Faith-based")</f>
        <v>Faith-based</v>
      </c>
      <c r="D157" s="79">
        <v>1155.0</v>
      </c>
      <c r="F157" s="80">
        <v>300.0</v>
      </c>
      <c r="G157" s="18"/>
      <c r="H157" s="87" t="s">
        <v>183</v>
      </c>
      <c r="I157" s="82">
        <v>363.0</v>
      </c>
      <c r="J157" s="83" t="s">
        <v>27</v>
      </c>
      <c r="K157" s="84">
        <v>512.0</v>
      </c>
      <c r="L157" s="22" t="str">
        <f>IFERROR(__xludf.DUMMYFUNCTION("filter($O$1:$O$200,$K$1:$K$200=N157)"),"#N/A")</f>
        <v>#N/A</v>
      </c>
      <c r="M157" s="22"/>
      <c r="N157" s="85">
        <v>1938.0</v>
      </c>
      <c r="O157" s="86">
        <v>362.9</v>
      </c>
      <c r="P157" s="86"/>
    </row>
    <row r="158">
      <c r="A158" s="77">
        <v>44371.0</v>
      </c>
      <c r="B158" s="78" t="str">
        <f>IFERROR(__xludf.DUMMYFUNCTION("FILTER($H$2:$H$445,$I$2:$I$445=D158)"),"Rutgers University Jains")</f>
        <v>Rutgers University Jains</v>
      </c>
      <c r="C158" s="78" t="str">
        <f>IFERROR(__xludf.DUMMYFUNCTION("filter($J$1:$J$500, $K$1:$K$500=D158)"),"Faith-based")</f>
        <v>Faith-based</v>
      </c>
      <c r="D158" s="79">
        <v>702.0</v>
      </c>
      <c r="F158" s="80">
        <v>300.0</v>
      </c>
      <c r="G158" s="18"/>
      <c r="H158" s="81" t="s">
        <v>184</v>
      </c>
      <c r="I158" s="82">
        <v>1320.0</v>
      </c>
      <c r="J158" s="83" t="s">
        <v>37</v>
      </c>
      <c r="K158" s="84">
        <v>661.0</v>
      </c>
      <c r="L158" s="35">
        <f>IFERROR(__xludf.DUMMYFUNCTION("filter($O$1:$O$200,$K$1:$K$200=N158)"),0.0)</f>
        <v>0</v>
      </c>
      <c r="M158" s="22"/>
      <c r="N158" s="85">
        <v>504.0</v>
      </c>
      <c r="O158" s="86">
        <v>400.0</v>
      </c>
      <c r="P158" s="86"/>
    </row>
    <row r="159">
      <c r="A159" s="77">
        <v>44371.0</v>
      </c>
      <c r="B159" s="78" t="str">
        <f>IFERROR(__xludf.DUMMYFUNCTION("FILTER($H$2:$H$445,$I$2:$I$445=D159)"),"Orthodox Christian Fellowship")</f>
        <v>Orthodox Christian Fellowship</v>
      </c>
      <c r="C159" s="78" t="str">
        <f>IFERROR(__xludf.DUMMYFUNCTION("filter($J$1:$J$500, $K$1:$K$500=D159)"),"Faith-based")</f>
        <v>Faith-based</v>
      </c>
      <c r="D159" s="79">
        <v>831.0</v>
      </c>
      <c r="F159" s="80">
        <v>300.0</v>
      </c>
      <c r="G159" s="18"/>
      <c r="H159" s="81" t="s">
        <v>185</v>
      </c>
      <c r="I159" s="82">
        <v>1753.0</v>
      </c>
      <c r="J159" s="83" t="s">
        <v>19</v>
      </c>
      <c r="K159" s="84">
        <v>1819.0</v>
      </c>
      <c r="L159" s="22" t="str">
        <f>IFERROR(__xludf.DUMMYFUNCTION("filter($O$1:$O$200,$K$1:$K$200=N159)"),"#N/A")</f>
        <v>#N/A</v>
      </c>
      <c r="M159" s="22"/>
      <c r="N159" s="85">
        <v>128.0</v>
      </c>
      <c r="O159" s="86">
        <v>50.0</v>
      </c>
      <c r="P159" s="86"/>
    </row>
    <row r="160">
      <c r="A160" s="77">
        <v>44371.0</v>
      </c>
      <c r="B160" s="78" t="str">
        <f>IFERROR(__xludf.DUMMYFUNCTION("FILTER($H$2:$H$445,$I$2:$I$445=D160)"),"Adventist Students for Christ")</f>
        <v>Adventist Students for Christ</v>
      </c>
      <c r="C160" s="78" t="str">
        <f>IFERROR(__xludf.DUMMYFUNCTION("filter($J$1:$J$500, $K$1:$K$500=D160)"),"Faith-based")</f>
        <v>Faith-based</v>
      </c>
      <c r="D160" s="79">
        <v>1203.0</v>
      </c>
      <c r="F160" s="80">
        <v>347.0</v>
      </c>
      <c r="G160" s="18"/>
      <c r="H160" s="87" t="s">
        <v>186</v>
      </c>
      <c r="I160" s="82">
        <v>1941.0</v>
      </c>
      <c r="J160" s="83" t="s">
        <v>13</v>
      </c>
      <c r="K160" s="84">
        <v>1774.0</v>
      </c>
      <c r="L160" s="22" t="str">
        <f>IFERROR(__xludf.DUMMYFUNCTION("filter($O$1:$O$200,$K$1:$K$200=N160)"),"#N/A")</f>
        <v>#N/A</v>
      </c>
      <c r="M160" s="22"/>
      <c r="N160" s="85">
        <v>1656.0</v>
      </c>
      <c r="O160" s="86">
        <v>0.0</v>
      </c>
      <c r="P160" s="86"/>
    </row>
    <row r="161">
      <c r="A161" s="77">
        <v>44371.0</v>
      </c>
      <c r="B161" s="78" t="str">
        <f>IFERROR(__xludf.DUMMYFUNCTION("FILTER($H$2:$H$445,$I$2:$I$445=D161)"),"#N/A")</f>
        <v>#N/A</v>
      </c>
      <c r="C161" s="78" t="str">
        <f>IFERROR(__xludf.DUMMYFUNCTION("filter($J$1:$J$500, $K$1:$K$500=D161)"),"Faith-based")</f>
        <v>Faith-based</v>
      </c>
      <c r="D161" s="79">
        <v>1722.0</v>
      </c>
      <c r="F161" s="80">
        <v>350.0</v>
      </c>
      <c r="G161" s="18"/>
      <c r="H161" s="81" t="s">
        <v>187</v>
      </c>
      <c r="I161" s="82">
        <v>1366.0</v>
      </c>
      <c r="J161" s="83" t="s">
        <v>25</v>
      </c>
      <c r="K161" s="84">
        <v>256.0</v>
      </c>
      <c r="L161" s="22" t="str">
        <f>IFERROR(__xludf.DUMMYFUNCTION("filter($O$1:$O$200,$K$1:$K$200=N161)"),"#N/A")</f>
        <v>#N/A</v>
      </c>
      <c r="M161" s="22"/>
      <c r="N161" s="85">
        <v>630.0</v>
      </c>
      <c r="O161" s="86">
        <v>50.0</v>
      </c>
      <c r="P161" s="86"/>
    </row>
    <row r="162">
      <c r="A162" s="77">
        <v>44371.0</v>
      </c>
      <c r="B162" s="78" t="str">
        <f>IFERROR(__xludf.DUMMYFUNCTION("FILTER($H$2:$H$445,$I$2:$I$445=D162)"),"Jewish Allies and Queers")</f>
        <v>Jewish Allies and Queers</v>
      </c>
      <c r="C162" s="78" t="str">
        <f>IFERROR(__xludf.DUMMYFUNCTION("filter($J$1:$J$500, $K$1:$K$500=D162)"),"Faith-based")</f>
        <v>Faith-based</v>
      </c>
      <c r="D162" s="79">
        <v>1875.0</v>
      </c>
      <c r="F162" s="80">
        <v>356.0</v>
      </c>
      <c r="G162" s="18"/>
      <c r="H162" s="81" t="s">
        <v>188</v>
      </c>
      <c r="I162" s="82">
        <v>1184.0</v>
      </c>
      <c r="J162" s="83" t="s">
        <v>25</v>
      </c>
      <c r="K162" s="84">
        <v>1439.0</v>
      </c>
      <c r="L162" s="22" t="str">
        <f>IFERROR(__xludf.DUMMYFUNCTION("filter($O$1:$O$200,$K$1:$K$200=N162)"),"#N/A")</f>
        <v>#N/A</v>
      </c>
      <c r="M162" s="22"/>
      <c r="N162" s="85">
        <v>676.0</v>
      </c>
      <c r="O162" s="86">
        <v>0.0</v>
      </c>
      <c r="P162" s="86"/>
    </row>
    <row r="163">
      <c r="A163" s="77">
        <v>44371.0</v>
      </c>
      <c r="B163" s="78" t="str">
        <f>IFERROR(__xludf.DUMMYFUNCTION("FILTER($H$2:$H$445,$I$2:$I$445=D163)"),"Chabad Jewish Student Organization")</f>
        <v>Chabad Jewish Student Organization</v>
      </c>
      <c r="C163" s="78" t="str">
        <f>IFERROR(__xludf.DUMMYFUNCTION("filter($J$1:$J$500, $K$1:$K$500=D163)"),"Faith-based")</f>
        <v>Faith-based</v>
      </c>
      <c r="D163" s="79">
        <v>328.0</v>
      </c>
      <c r="F163" s="80">
        <v>365.73</v>
      </c>
      <c r="G163" s="18"/>
      <c r="H163" s="81" t="s">
        <v>189</v>
      </c>
      <c r="I163" s="82">
        <v>1424.0</v>
      </c>
      <c r="J163" s="83" t="s">
        <v>69</v>
      </c>
      <c r="K163" s="84">
        <v>1947.0</v>
      </c>
      <c r="L163" s="35">
        <f>IFERROR(__xludf.DUMMYFUNCTION("filter($O$1:$O$200,$K$1:$K$200=N163)"),590.0)</f>
        <v>590</v>
      </c>
      <c r="M163" s="22"/>
      <c r="N163" s="85">
        <v>1593.0</v>
      </c>
      <c r="O163" s="86">
        <v>530.0</v>
      </c>
      <c r="P163" s="86"/>
    </row>
    <row r="164">
      <c r="A164" s="77">
        <v>44371.0</v>
      </c>
      <c r="B164" s="78" t="str">
        <f>IFERROR(__xludf.DUMMYFUNCTION("FILTER($H$2:$H$445,$I$2:$I$445=D164)"),"Chinese Christian Fellowship")</f>
        <v>Chinese Christian Fellowship</v>
      </c>
      <c r="C164" s="78" t="str">
        <f>IFERROR(__xludf.DUMMYFUNCTION("filter($J$1:$J$500, $K$1:$K$500=D164)"),"Faith-based")</f>
        <v>Faith-based</v>
      </c>
      <c r="D164" s="79">
        <v>620.0</v>
      </c>
      <c r="F164" s="80">
        <v>380.0</v>
      </c>
      <c r="G164" s="18"/>
      <c r="H164" s="81" t="s">
        <v>190</v>
      </c>
      <c r="I164" s="82">
        <v>1055.0</v>
      </c>
      <c r="J164" s="83" t="s">
        <v>13</v>
      </c>
      <c r="K164" s="84">
        <v>702.0</v>
      </c>
      <c r="L164" s="22" t="str">
        <f>IFERROR(__xludf.DUMMYFUNCTION("filter($O$1:$O$200,$K$1:$K$200=N164)"),"#N/A")</f>
        <v>#N/A</v>
      </c>
      <c r="M164" s="22"/>
      <c r="N164" s="85">
        <v>1835.0</v>
      </c>
      <c r="O164" s="86">
        <v>430.0</v>
      </c>
      <c r="P164" s="86"/>
    </row>
    <row r="165">
      <c r="A165" s="77">
        <v>44371.0</v>
      </c>
      <c r="B165" s="78" t="str">
        <f>IFERROR(__xludf.DUMMYFUNCTION("FILTER($H$2:$H$445,$I$2:$I$445=D165)"),"Korean Catholic Circle")</f>
        <v>Korean Catholic Circle</v>
      </c>
      <c r="C165" s="78" t="str">
        <f>IFERROR(__xludf.DUMMYFUNCTION("filter($J$1:$J$500, $K$1:$K$500=D165)"),"Faith-based")</f>
        <v>Faith-based</v>
      </c>
      <c r="D165" s="79">
        <v>575.0</v>
      </c>
      <c r="F165" s="80">
        <v>505.0</v>
      </c>
      <c r="G165" s="18"/>
      <c r="H165" s="87" t="s">
        <v>191</v>
      </c>
      <c r="I165" s="82">
        <v>1822.0</v>
      </c>
      <c r="J165" s="83" t="s">
        <v>27</v>
      </c>
      <c r="K165" s="84">
        <v>1881.0</v>
      </c>
      <c r="L165" s="35">
        <f>IFERROR(__xludf.DUMMYFUNCTION("filter($O$1:$O$200,$K$1:$K$200=N165)"),0.0)</f>
        <v>0</v>
      </c>
      <c r="M165" s="22"/>
      <c r="N165" s="85">
        <v>1220.0</v>
      </c>
      <c r="O165" s="86">
        <v>210.0</v>
      </c>
      <c r="P165" s="86"/>
    </row>
    <row r="166">
      <c r="A166" s="77">
        <v>44371.0</v>
      </c>
      <c r="B166" s="78" t="str">
        <f>IFERROR(__xludf.DUMMYFUNCTION("FILTER($H$2:$H$445,$I$2:$I$445=D166)"),"Muslim Feminists for the Arts")</f>
        <v>Muslim Feminists for the Arts</v>
      </c>
      <c r="C166" s="78" t="str">
        <f>IFERROR(__xludf.DUMMYFUNCTION("filter($J$1:$J$500, $K$1:$K$500=D166)"),"Faith-based")</f>
        <v>Faith-based</v>
      </c>
      <c r="D166" s="79">
        <v>1817.0</v>
      </c>
      <c r="F166" s="80">
        <v>561.0</v>
      </c>
      <c r="G166" s="18"/>
      <c r="H166" s="87" t="s">
        <v>192</v>
      </c>
      <c r="I166" s="82">
        <v>1742.0</v>
      </c>
      <c r="J166" s="83" t="s">
        <v>27</v>
      </c>
      <c r="K166" s="84">
        <v>1485.0</v>
      </c>
      <c r="L166" s="22" t="str">
        <f>IFERROR(__xludf.DUMMYFUNCTION("filter($O$1:$O$200,$K$1:$K$200=N166)"),"#N/A")</f>
        <v>#N/A</v>
      </c>
      <c r="M166" s="22"/>
      <c r="N166" s="85">
        <v>1832.0</v>
      </c>
      <c r="O166" s="86">
        <v>0.0</v>
      </c>
      <c r="P166" s="86"/>
    </row>
    <row r="167">
      <c r="A167" s="77">
        <v>44371.0</v>
      </c>
      <c r="B167" s="78" t="str">
        <f>IFERROR(__xludf.DUMMYFUNCTION("FILTER($H$2:$H$445,$I$2:$I$445=D167)"),"Orthodox Christian Campus Ministries")</f>
        <v>Orthodox Christian Campus Ministries</v>
      </c>
      <c r="C167" s="78" t="str">
        <f>IFERROR(__xludf.DUMMYFUNCTION("filter($J$1:$J$500, $K$1:$K$500=D167)"),"Faith-based")</f>
        <v>Faith-based</v>
      </c>
      <c r="D167" s="79">
        <v>84.0</v>
      </c>
      <c r="F167" s="80">
        <v>652.0</v>
      </c>
      <c r="G167" s="18"/>
      <c r="H167" s="81" t="s">
        <v>193</v>
      </c>
      <c r="I167" s="82">
        <v>586.0</v>
      </c>
      <c r="J167" s="88"/>
      <c r="K167" s="89"/>
      <c r="L167" s="22" t="str">
        <f>IFERROR(__xludf.DUMMYFUNCTION("filter($O$1:$O$200,$K$1:$K$200=N167)"),"#N/A")</f>
        <v>#N/A</v>
      </c>
      <c r="M167" s="22"/>
      <c r="N167" s="90">
        <v>624.0</v>
      </c>
      <c r="O167" s="91">
        <v>0.0</v>
      </c>
      <c r="P167" s="91"/>
    </row>
    <row r="168">
      <c r="A168" s="77">
        <v>44371.0</v>
      </c>
      <c r="B168" s="78" t="str">
        <f>IFERROR(__xludf.DUMMYFUNCTION("FILTER($H$2:$H$445,$I$2:$I$445=D168)"),"Intervarsity Multi-Ethnic Chris")</f>
        <v>Intervarsity Multi-Ethnic Chris</v>
      </c>
      <c r="C168" s="78" t="str">
        <f>IFERROR(__xludf.DUMMYFUNCTION("filter($J$1:$J$500, $K$1:$K$500=D168)"),"Faith-based")</f>
        <v>Faith-based</v>
      </c>
      <c r="D168" s="79">
        <v>145.0</v>
      </c>
      <c r="F168" s="80">
        <v>696.0</v>
      </c>
      <c r="G168" s="18"/>
      <c r="H168" s="81" t="s">
        <v>194</v>
      </c>
      <c r="I168" s="82">
        <v>1572.0</v>
      </c>
      <c r="J168" s="88"/>
      <c r="K168" s="89"/>
      <c r="L168" s="22" t="str">
        <f>IFERROR(__xludf.DUMMYFUNCTION("filter($O$1:$O$200,$K$1:$K$200=N168)"),"#N/A")</f>
        <v>#N/A</v>
      </c>
      <c r="M168" s="22"/>
      <c r="N168" s="90" t="e">
        <v>#N/A</v>
      </c>
      <c r="O168" s="91">
        <v>0.0</v>
      </c>
      <c r="P168" s="91"/>
    </row>
    <row r="169">
      <c r="A169" s="77">
        <v>44371.0</v>
      </c>
      <c r="B169" s="78" t="str">
        <f>IFERROR(__xludf.DUMMYFUNCTION("FILTER($H$2:$H$445,$I$2:$I$445=D169)"),"Rutgers Jumu'ah")</f>
        <v>Rutgers Jumu'ah</v>
      </c>
      <c r="C169" s="78" t="str">
        <f>IFERROR(__xludf.DUMMYFUNCTION("filter($J$1:$J$500, $K$1:$K$500=D169)"),"Faith-based")</f>
        <v>Faith-based</v>
      </c>
      <c r="D169" s="79">
        <v>1568.0</v>
      </c>
      <c r="F169" s="80">
        <v>738.0</v>
      </c>
      <c r="G169" s="18"/>
      <c r="H169" s="81" t="s">
        <v>195</v>
      </c>
      <c r="I169" s="82">
        <v>1205.0</v>
      </c>
      <c r="J169" s="83" t="s">
        <v>30</v>
      </c>
      <c r="K169" s="84">
        <v>1593.0</v>
      </c>
      <c r="L169" s="35">
        <f>IFERROR(__xludf.DUMMYFUNCTION("filter($O$1:$O$200,$K$1:$K$200=N169)"),130.0)</f>
        <v>130</v>
      </c>
      <c r="M169" s="22"/>
      <c r="N169" s="85">
        <v>1748.0</v>
      </c>
      <c r="O169" s="86">
        <v>590.0</v>
      </c>
      <c r="P169" s="86"/>
    </row>
    <row r="170">
      <c r="A170" s="77">
        <v>44371.0</v>
      </c>
      <c r="B170" s="78" t="str">
        <f>IFERROR(__xludf.DUMMYFUNCTION("FILTER($H$2:$H$445,$I$2:$I$445=D170)"),"Chabad Jewish Student Organization")</f>
        <v>Chabad Jewish Student Organization</v>
      </c>
      <c r="C170" s="78" t="str">
        <f>IFERROR(__xludf.DUMMYFUNCTION("filter($J$1:$J$500, $K$1:$K$500=D170)"),"Faith-based")</f>
        <v>Faith-based</v>
      </c>
      <c r="D170" s="79">
        <v>328.0</v>
      </c>
      <c r="F170" s="80">
        <v>755.05</v>
      </c>
      <c r="G170" s="18"/>
      <c r="H170" s="87" t="s">
        <v>196</v>
      </c>
      <c r="I170" s="82">
        <v>1866.0</v>
      </c>
      <c r="J170" s="83" t="s">
        <v>13</v>
      </c>
      <c r="K170" s="84">
        <v>1044.0</v>
      </c>
      <c r="L170" s="22" t="str">
        <f>IFERROR(__xludf.DUMMYFUNCTION("filter($O$1:$O$200,$K$1:$K$200=N170)"),"#N/A")</f>
        <v>#N/A</v>
      </c>
      <c r="M170" s="22"/>
      <c r="N170" s="85">
        <v>1742.0</v>
      </c>
      <c r="O170" s="86">
        <v>50.0</v>
      </c>
      <c r="P170" s="86"/>
    </row>
    <row r="171">
      <c r="A171" s="77">
        <v>44371.0</v>
      </c>
      <c r="B171" s="78" t="str">
        <f>IFERROR(__xludf.DUMMYFUNCTION("FILTER($H$2:$H$445,$I$2:$I$445=D171)"),"CRU")</f>
        <v>CRU</v>
      </c>
      <c r="C171" s="78" t="str">
        <f>IFERROR(__xludf.DUMMYFUNCTION("filter($J$1:$J$500, $K$1:$K$500=D171)"),"Faith-based")</f>
        <v>Faith-based</v>
      </c>
      <c r="D171" s="79">
        <v>96.0</v>
      </c>
      <c r="F171" s="80">
        <v>836.65</v>
      </c>
      <c r="G171" s="18"/>
      <c r="H171" s="87" t="s">
        <v>197</v>
      </c>
      <c r="I171" s="82">
        <v>1777.0</v>
      </c>
      <c r="J171" s="88"/>
      <c r="K171" s="89"/>
      <c r="L171" s="22" t="str">
        <f>IFERROR(__xludf.DUMMYFUNCTION("filter($O$1:$O$200,$K$1:$K$200=N171)"),"#N/A")</f>
        <v>#N/A</v>
      </c>
      <c r="M171" s="22"/>
      <c r="N171" s="90">
        <v>587.0</v>
      </c>
      <c r="O171" s="90">
        <v>2500.0</v>
      </c>
      <c r="P171" s="90"/>
    </row>
    <row r="172">
      <c r="A172" s="77">
        <v>44371.0</v>
      </c>
      <c r="B172" s="78" t="str">
        <f>IFERROR(__xludf.DUMMYFUNCTION("FILTER($H$2:$H$445,$I$2:$I$445=D172)"),"Jewish Student Union")</f>
        <v>Jewish Student Union</v>
      </c>
      <c r="C172" s="78" t="str">
        <f>IFERROR(__xludf.DUMMYFUNCTION("filter($J$1:$J$500, $K$1:$K$500=D172)"),"Faith-based")</f>
        <v>Faith-based</v>
      </c>
      <c r="D172" s="79">
        <v>301.0</v>
      </c>
      <c r="F172" s="80">
        <v>905.0</v>
      </c>
      <c r="G172" s="18"/>
      <c r="H172" s="81" t="s">
        <v>198</v>
      </c>
      <c r="I172" s="82">
        <v>1945.0</v>
      </c>
      <c r="J172" s="83" t="s">
        <v>22</v>
      </c>
      <c r="K172" s="84">
        <v>1949.0</v>
      </c>
      <c r="L172" s="22" t="str">
        <f>IFERROR(__xludf.DUMMYFUNCTION("filter($O$1:$O$200,$K$1:$K$200=N172)"),"#N/A")</f>
        <v>#N/A</v>
      </c>
      <c r="M172" s="22"/>
      <c r="N172" s="85">
        <v>1514.0</v>
      </c>
      <c r="O172" s="86">
        <v>0.0</v>
      </c>
      <c r="P172" s="86"/>
    </row>
    <row r="173">
      <c r="A173" s="77">
        <v>44371.0</v>
      </c>
      <c r="B173" s="78" t="str">
        <f>IFERROR(__xludf.DUMMYFUNCTION("FILTER($H$2:$H$445,$I$2:$I$445=D173)"),"Muslim Public Relations Council")</f>
        <v>Muslim Public Relations Council</v>
      </c>
      <c r="C173" s="78" t="str">
        <f>IFERROR(__xludf.DUMMYFUNCTION("filter($J$1:$J$500, $K$1:$K$500=D173)"),"Faith-based")</f>
        <v>Faith-based</v>
      </c>
      <c r="D173" s="79">
        <v>1759.0</v>
      </c>
      <c r="F173" s="92">
        <v>1212.0</v>
      </c>
      <c r="G173" s="42"/>
      <c r="H173" s="87" t="s">
        <v>199</v>
      </c>
      <c r="I173" s="82">
        <v>1063.0</v>
      </c>
      <c r="J173" s="83" t="s">
        <v>13</v>
      </c>
      <c r="K173" s="84">
        <v>1511.0</v>
      </c>
      <c r="L173" s="35">
        <f>IFERROR(__xludf.DUMMYFUNCTION("filter($O$1:$O$200,$K$1:$K$200=N173)"),470.0)</f>
        <v>470</v>
      </c>
      <c r="M173" s="22"/>
      <c r="N173" s="85">
        <v>492.0</v>
      </c>
      <c r="O173" s="86">
        <v>2550.0</v>
      </c>
      <c r="P173" s="86"/>
    </row>
    <row r="174">
      <c r="A174" s="77">
        <v>44371.0</v>
      </c>
      <c r="B174" s="78" t="str">
        <f>IFERROR(__xludf.DUMMYFUNCTION("FILTER($H$2:$H$445,$I$2:$I$445=D174)"),"Rutgers Hindu Students Council")</f>
        <v>Rutgers Hindu Students Council</v>
      </c>
      <c r="C174" s="78" t="str">
        <f>IFERROR(__xludf.DUMMYFUNCTION("filter($J$1:$J$500, $K$1:$K$500=D174)"),"Faith-based")</f>
        <v>Faith-based</v>
      </c>
      <c r="D174" s="79">
        <v>75.0</v>
      </c>
      <c r="F174" s="92">
        <v>1324.0</v>
      </c>
      <c r="G174" s="42"/>
      <c r="H174" s="81" t="s">
        <v>200</v>
      </c>
      <c r="I174" s="82">
        <v>1954.0</v>
      </c>
      <c r="J174" s="88"/>
      <c r="K174" s="89"/>
      <c r="L174" s="22" t="str">
        <f>IFERROR(__xludf.DUMMYFUNCTION("filter($O$1:$O$200,$K$1:$K$200=N174)"),"#N/A")</f>
        <v>#N/A</v>
      </c>
      <c r="M174" s="22"/>
      <c r="N174" s="90" t="s">
        <v>134</v>
      </c>
      <c r="O174" s="91">
        <v>150.0</v>
      </c>
      <c r="P174" s="75">
        <f>AVERAGE(F136:F174)</f>
        <v>1673.854872</v>
      </c>
    </row>
    <row r="175">
      <c r="A175" s="77">
        <v>44371.0</v>
      </c>
      <c r="B175" s="78" t="str">
        <f>IFERROR(__xludf.DUMMYFUNCTION("FILTER($H$2:$H$445,$I$2:$I$445=D175)"),"Ahlul-Bayt Student Association")</f>
        <v>Ahlul-Bayt Student Association</v>
      </c>
      <c r="C175" s="78" t="str">
        <f>IFERROR(__xludf.DUMMYFUNCTION("filter($J$1:$J$500, $K$1:$K$500=D175)"),"Faith-based")</f>
        <v>Faith-based</v>
      </c>
      <c r="D175" s="79">
        <v>1369.0</v>
      </c>
      <c r="F175" s="92">
        <v>1437.0</v>
      </c>
      <c r="G175" s="42"/>
      <c r="H175" s="81" t="s">
        <v>201</v>
      </c>
      <c r="I175" s="82">
        <v>1860.0</v>
      </c>
      <c r="J175" s="83" t="s">
        <v>34</v>
      </c>
      <c r="K175" s="84">
        <v>1741.0</v>
      </c>
      <c r="L175" s="35">
        <f>IFERROR(__xludf.DUMMYFUNCTION("filter($O$1:$O$200,$K$1:$K$200=N175)"),0.0)</f>
        <v>0</v>
      </c>
      <c r="M175" s="22"/>
      <c r="N175" s="85">
        <v>269.0</v>
      </c>
      <c r="O175" s="85">
        <v>600.0</v>
      </c>
      <c r="P175" s="85"/>
    </row>
    <row r="176">
      <c r="A176" s="77">
        <v>44371.0</v>
      </c>
      <c r="B176" s="78" t="str">
        <f>IFERROR(__xludf.DUMMYFUNCTION("FILTER($H$2:$H$445,$I$2:$I$445=D176)"),"Muslim Student Association")</f>
        <v>Muslim Student Association</v>
      </c>
      <c r="C176" s="78" t="str">
        <f>IFERROR(__xludf.DUMMYFUNCTION("filter($J$1:$J$500, $K$1:$K$500=D176)"),"Faith-based")</f>
        <v>Faith-based</v>
      </c>
      <c r="D176" s="79">
        <v>568.0</v>
      </c>
      <c r="F176" s="92">
        <v>1580.71</v>
      </c>
      <c r="G176" s="42"/>
      <c r="H176" s="87" t="s">
        <v>202</v>
      </c>
      <c r="I176" s="82">
        <v>1958.0</v>
      </c>
      <c r="J176" s="87" t="s">
        <v>34</v>
      </c>
      <c r="K176" s="84">
        <v>42.0</v>
      </c>
      <c r="L176" s="22" t="str">
        <f>IFERROR(__xludf.DUMMYFUNCTION("filter($O$1:$O$200,$K$1:$K$200=N176)"),"#N/A")</f>
        <v>#N/A</v>
      </c>
      <c r="M176" s="22"/>
      <c r="N176" s="85">
        <v>287.0</v>
      </c>
      <c r="O176" s="86">
        <v>168.0</v>
      </c>
      <c r="P176" s="86"/>
    </row>
    <row r="177">
      <c r="A177" s="77">
        <v>44371.0</v>
      </c>
      <c r="B177" s="78" t="str">
        <f>IFERROR(__xludf.DUMMYFUNCTION("FILTER($H$2:$H$445,$I$2:$I$445=D177)"),"Rutgers Jumu'ah")</f>
        <v>Rutgers Jumu'ah</v>
      </c>
      <c r="C177" s="78" t="str">
        <f>IFERROR(__xludf.DUMMYFUNCTION("filter($J$1:$J$500, $K$1:$K$500=D177)"),"Faith-based")</f>
        <v>Faith-based</v>
      </c>
      <c r="D177" s="79">
        <v>1568.0</v>
      </c>
      <c r="F177" s="92">
        <v>1800.0</v>
      </c>
      <c r="G177" s="42"/>
      <c r="H177" s="87" t="s">
        <v>203</v>
      </c>
      <c r="I177" s="82">
        <v>1831.0</v>
      </c>
      <c r="J177" s="83" t="s">
        <v>13</v>
      </c>
      <c r="K177" s="84">
        <v>328.0</v>
      </c>
      <c r="L177" s="35">
        <f>IFERROR(__xludf.DUMMYFUNCTION("filter($O$1:$O$200,$K$1:$K$200=N177)"),2300.0)</f>
        <v>2300</v>
      </c>
      <c r="M177" s="22"/>
      <c r="N177" s="85">
        <v>264.0</v>
      </c>
      <c r="O177" s="86">
        <v>0.0</v>
      </c>
      <c r="P177" s="86"/>
    </row>
    <row r="178">
      <c r="A178" s="77">
        <v>44371.0</v>
      </c>
      <c r="B178" s="78" t="str">
        <f>IFERROR(__xludf.DUMMYFUNCTION("FILTER($H$2:$H$445,$I$2:$I$445=D178)"),"Indian Christian Fellowship")</f>
        <v>Indian Christian Fellowship</v>
      </c>
      <c r="C178" s="78" t="str">
        <f>IFERROR(__xludf.DUMMYFUNCTION("filter($J$1:$J$500, $K$1:$K$500=D178)"),"Faith-based")</f>
        <v>Faith-based</v>
      </c>
      <c r="D178" s="79">
        <v>362.0</v>
      </c>
      <c r="F178" s="92">
        <v>2220.0</v>
      </c>
      <c r="G178" s="42"/>
      <c r="H178" s="81" t="s">
        <v>204</v>
      </c>
      <c r="I178" s="82">
        <v>362.0</v>
      </c>
      <c r="J178" s="83" t="s">
        <v>27</v>
      </c>
      <c r="K178" s="84">
        <v>821.0</v>
      </c>
      <c r="L178" s="35">
        <f>IFERROR(__xludf.DUMMYFUNCTION("filter($O$1:$O$200,$K$1:$K$200=N178)"),860.0)</f>
        <v>860</v>
      </c>
      <c r="M178" s="22"/>
      <c r="N178" s="85">
        <v>768.0</v>
      </c>
      <c r="O178" s="86">
        <v>100.0</v>
      </c>
      <c r="P178" s="86"/>
    </row>
    <row r="179">
      <c r="A179" s="77">
        <v>44371.0</v>
      </c>
      <c r="B179" s="78" t="str">
        <f>IFERROR(__xludf.DUMMYFUNCTION("FILTER($H$2:$H$445,$I$2:$I$445=D179)"),"Muslim Student Association")</f>
        <v>Muslim Student Association</v>
      </c>
      <c r="C179" s="78" t="str">
        <f>IFERROR(__xludf.DUMMYFUNCTION("filter($J$1:$J$500, $K$1:$K$500=D179)"),"Faith-based")</f>
        <v>Faith-based</v>
      </c>
      <c r="D179" s="79">
        <v>568.0</v>
      </c>
      <c r="F179" s="92">
        <v>2237.0</v>
      </c>
      <c r="G179" s="42"/>
      <c r="H179" s="81" t="s">
        <v>205</v>
      </c>
      <c r="I179" s="82">
        <v>1491.0</v>
      </c>
      <c r="J179" s="83" t="s">
        <v>43</v>
      </c>
      <c r="K179" s="84">
        <v>1882.0</v>
      </c>
      <c r="L179" s="22" t="str">
        <f>IFERROR(__xludf.DUMMYFUNCTION("filter($O$1:$O$200,$K$1:$K$200=N179)"),"#N/A")</f>
        <v>#N/A</v>
      </c>
      <c r="M179" s="22"/>
      <c r="N179" s="85">
        <v>1646.0</v>
      </c>
      <c r="O179" s="86">
        <v>0.0</v>
      </c>
      <c r="P179" s="86"/>
    </row>
    <row r="180">
      <c r="A180" s="77">
        <v>44371.0</v>
      </c>
      <c r="B180" s="78" t="str">
        <f>IFERROR(__xludf.DUMMYFUNCTION("FILTER($H$2:$H$445,$I$2:$I$445=D180)"),"Chavaya")</f>
        <v>Chavaya</v>
      </c>
      <c r="C180" s="78" t="str">
        <f>IFERROR(__xludf.DUMMYFUNCTION("filter($J$1:$J$500, $K$1:$K$500=D180)"),"Faith-based")</f>
        <v>Faith-based</v>
      </c>
      <c r="D180" s="79">
        <v>1277.0</v>
      </c>
      <c r="F180" s="92">
        <v>2463.0</v>
      </c>
      <c r="G180" s="42"/>
      <c r="H180" s="87" t="s">
        <v>206</v>
      </c>
      <c r="I180" s="93" t="s">
        <v>134</v>
      </c>
      <c r="J180" s="83" t="s">
        <v>13</v>
      </c>
      <c r="K180" s="84">
        <v>1759.0</v>
      </c>
      <c r="L180" s="35">
        <f>IFERROR(__xludf.DUMMYFUNCTION("filter($O$1:$O$200,$K$1:$K$200=N180)"),0.0)</f>
        <v>0</v>
      </c>
      <c r="M180" s="22"/>
      <c r="N180" s="85">
        <v>1953.0</v>
      </c>
      <c r="O180" s="86">
        <v>0.0</v>
      </c>
      <c r="P180" s="86"/>
    </row>
    <row r="181">
      <c r="A181" s="77">
        <v>44371.0</v>
      </c>
      <c r="B181" s="78" t="str">
        <f>IFERROR(__xludf.DUMMYFUNCTION("FILTER($H$2:$H$445,$I$2:$I$445=D181)"),"Orthodox Christian Campus Ministries")</f>
        <v>Orthodox Christian Campus Ministries</v>
      </c>
      <c r="C181" s="78" t="str">
        <f>IFERROR(__xludf.DUMMYFUNCTION("filter($J$1:$J$500, $K$1:$K$500=D181)"),"Faith-based")</f>
        <v>Faith-based</v>
      </c>
      <c r="D181" s="79">
        <v>84.0</v>
      </c>
      <c r="F181" s="92">
        <v>3250.0</v>
      </c>
      <c r="G181" s="42"/>
      <c r="H181" s="81" t="s">
        <v>207</v>
      </c>
      <c r="I181" s="82">
        <v>677.0</v>
      </c>
      <c r="J181" s="83" t="s">
        <v>27</v>
      </c>
      <c r="K181" s="84">
        <v>1220.0</v>
      </c>
      <c r="L181" s="35">
        <f>IFERROR(__xludf.DUMMYFUNCTION("filter($O$1:$O$200,$K$1:$K$200=N181)"),350.0)</f>
        <v>350</v>
      </c>
      <c r="M181" s="22"/>
      <c r="N181" s="85">
        <v>1905.0</v>
      </c>
      <c r="O181" s="86">
        <v>0.0</v>
      </c>
      <c r="P181" s="86"/>
    </row>
    <row r="182">
      <c r="A182" s="77">
        <v>44371.0</v>
      </c>
      <c r="B182" s="78" t="str">
        <f>IFERROR(__xludf.DUMMYFUNCTION("FILTER($H$2:$H$445,$I$2:$I$445=D182)"),"Muslim Public Relations Council")</f>
        <v>Muslim Public Relations Council</v>
      </c>
      <c r="C182" s="78" t="str">
        <f>IFERROR(__xludf.DUMMYFUNCTION("filter($J$1:$J$500, $K$1:$K$500=D182)"),"Faith-based")</f>
        <v>Faith-based</v>
      </c>
      <c r="D182" s="79">
        <v>1759.0</v>
      </c>
      <c r="F182" s="92">
        <v>5000.0</v>
      </c>
      <c r="G182" s="42"/>
      <c r="H182" s="81" t="s">
        <v>208</v>
      </c>
      <c r="I182" s="82">
        <v>25.0</v>
      </c>
      <c r="J182" s="83" t="s">
        <v>15</v>
      </c>
      <c r="K182" s="84">
        <v>218.0</v>
      </c>
      <c r="L182" s="22" t="str">
        <f>IFERROR(__xludf.DUMMYFUNCTION("filter($O$1:$O$200,$K$1:$K$200=N182)"),"#N/A")</f>
        <v>#N/A</v>
      </c>
      <c r="M182" s="22"/>
      <c r="N182" s="85">
        <v>217.0</v>
      </c>
      <c r="O182" s="86">
        <v>0.0</v>
      </c>
      <c r="P182" s="86"/>
    </row>
    <row r="183">
      <c r="A183" s="94">
        <v>44371.0</v>
      </c>
      <c r="B183" s="95" t="str">
        <f>IFERROR(__xludf.DUMMYFUNCTION("FILTER($H$2:$H$445,$I$2:$I$445=D183)"),"Scarlet Smash")</f>
        <v>Scarlet Smash</v>
      </c>
      <c r="C183" s="95" t="str">
        <f>IFERROR(__xludf.DUMMYFUNCTION("filter($J$1:$J$500, $K$1:$K$500=D183)"),"Geek")</f>
        <v>Geek</v>
      </c>
      <c r="D183" s="96">
        <v>1543.0</v>
      </c>
      <c r="F183" s="97">
        <v>16.0</v>
      </c>
      <c r="G183" s="18"/>
      <c r="H183" s="98" t="s">
        <v>209</v>
      </c>
      <c r="I183" s="99">
        <v>1277.0</v>
      </c>
      <c r="J183" s="100" t="s">
        <v>37</v>
      </c>
      <c r="K183" s="101">
        <v>338.0</v>
      </c>
      <c r="L183" s="22">
        <f>IFERROR(__xludf.DUMMYFUNCTION("filter($O$1:$O$200,$K$1:$K$200=N183)"),5150.0)</f>
        <v>5150</v>
      </c>
      <c r="M183" s="22"/>
      <c r="N183" s="102">
        <v>1415.0</v>
      </c>
      <c r="O183" s="103">
        <v>0.0</v>
      </c>
      <c r="P183" s="103"/>
    </row>
    <row r="184">
      <c r="A184" s="94">
        <v>44371.0</v>
      </c>
      <c r="B184" s="95" t="str">
        <f>IFERROR(__xludf.DUMMYFUNCTION("FILTER($H$2:$H$445,$I$2:$I$445=D184)"),"Anime Japanese Environmental Society")</f>
        <v>Anime Japanese Environmental Society</v>
      </c>
      <c r="C184" s="95" t="str">
        <f>IFERROR(__xludf.DUMMYFUNCTION("filter($J$1:$J$500, $K$1:$K$500=D184)"),"Geek")</f>
        <v>Geek</v>
      </c>
      <c r="D184" s="96">
        <v>745.0</v>
      </c>
      <c r="F184" s="97">
        <v>30.0</v>
      </c>
      <c r="G184" s="18"/>
      <c r="H184" s="104" t="s">
        <v>210</v>
      </c>
      <c r="I184" s="99">
        <v>538.0</v>
      </c>
      <c r="J184" s="100" t="s">
        <v>19</v>
      </c>
      <c r="K184" s="101">
        <v>621.0</v>
      </c>
      <c r="L184" s="22" t="str">
        <f>IFERROR(__xludf.DUMMYFUNCTION("filter($O$1:$O$200,$K$1:$K$200=N184)"),"#N/A")</f>
        <v>#N/A</v>
      </c>
      <c r="M184" s="22"/>
      <c r="N184" s="102">
        <v>1758.0</v>
      </c>
      <c r="O184" s="103">
        <v>50.0</v>
      </c>
      <c r="P184" s="103"/>
    </row>
    <row r="185">
      <c r="A185" s="94">
        <v>44371.0</v>
      </c>
      <c r="B185" s="95" t="str">
        <f>IFERROR(__xludf.DUMMYFUNCTION("FILTER($H$2:$H$445,$I$2:$I$445=D185)"),"Hearthstone")</f>
        <v>Hearthstone</v>
      </c>
      <c r="C185" s="95" t="str">
        <f>IFERROR(__xludf.DUMMYFUNCTION("filter($J$1:$J$500, $K$1:$K$500=D185)"),"Geek")</f>
        <v>Geek</v>
      </c>
      <c r="D185" s="96">
        <v>1786.0</v>
      </c>
      <c r="F185" s="97">
        <v>35.0</v>
      </c>
      <c r="G185" s="18"/>
      <c r="H185" s="104" t="s">
        <v>211</v>
      </c>
      <c r="I185" s="99">
        <v>233.0</v>
      </c>
      <c r="J185" s="100" t="s">
        <v>15</v>
      </c>
      <c r="K185" s="101">
        <v>1495.0</v>
      </c>
      <c r="L185" s="22" t="str">
        <f>IFERROR(__xludf.DUMMYFUNCTION("filter($O$1:$O$200,$K$1:$K$200=N185)"),"#N/A")</f>
        <v>#N/A</v>
      </c>
      <c r="M185" s="22"/>
      <c r="N185" s="102">
        <v>1692.0</v>
      </c>
      <c r="O185" s="103">
        <v>250.0</v>
      </c>
      <c r="P185" s="103"/>
    </row>
    <row r="186">
      <c r="A186" s="94">
        <v>44371.0</v>
      </c>
      <c r="B186" s="95" t="str">
        <f>IFERROR(__xludf.DUMMYFUNCTION("FILTER($H$2:$H$445,$I$2:$I$445=D186)"),"Muggle Mayhem")</f>
        <v>Muggle Mayhem</v>
      </c>
      <c r="C186" s="95" t="str">
        <f>IFERROR(__xludf.DUMMYFUNCTION("filter($J$1:$J$500, $K$1:$K$500=D186)"),"Geek")</f>
        <v>Geek</v>
      </c>
      <c r="D186" s="96">
        <v>1492.0</v>
      </c>
      <c r="F186" s="97">
        <v>42.0</v>
      </c>
      <c r="G186" s="18"/>
      <c r="H186" s="104" t="s">
        <v>212</v>
      </c>
      <c r="I186" s="99">
        <v>1769.0</v>
      </c>
      <c r="J186" s="100" t="s">
        <v>27</v>
      </c>
      <c r="K186" s="101">
        <v>1655.0</v>
      </c>
      <c r="L186" s="35">
        <f>IFERROR(__xludf.DUMMYFUNCTION("filter($O$1:$O$200,$K$1:$K$200=N186)"),400.0)</f>
        <v>400</v>
      </c>
      <c r="M186" s="22"/>
      <c r="N186" s="102">
        <v>1753.0</v>
      </c>
      <c r="O186" s="103">
        <v>920.0</v>
      </c>
      <c r="P186" s="103">
        <f>AVERAGE(F171:F186)</f>
        <v>1524.2725</v>
      </c>
    </row>
    <row r="187">
      <c r="A187" s="94">
        <v>44371.0</v>
      </c>
      <c r="B187" s="95" t="str">
        <f>IFERROR(__xludf.DUMMYFUNCTION("FILTER($H$2:$H$445,$I$2:$I$445=D187)"),"Pokemon Trainer's Club")</f>
        <v>Pokemon Trainer's Club</v>
      </c>
      <c r="C187" s="95" t="str">
        <f>IFERROR(__xludf.DUMMYFUNCTION("filter($J$1:$J$500, $K$1:$K$500=D187)"),"Geek")</f>
        <v>Geek</v>
      </c>
      <c r="D187" s="96">
        <v>1742.0</v>
      </c>
      <c r="F187" s="97">
        <v>50.0</v>
      </c>
      <c r="G187" s="18"/>
      <c r="H187" s="98" t="s">
        <v>213</v>
      </c>
      <c r="I187" s="99">
        <v>1692.0</v>
      </c>
      <c r="J187" s="100" t="s">
        <v>37</v>
      </c>
      <c r="K187" s="101">
        <v>233.0</v>
      </c>
      <c r="L187" s="22" t="str">
        <f>IFERROR(__xludf.DUMMYFUNCTION("filter($O$1:$O$200,$K$1:$K$200=N187)"),"#N/A")</f>
        <v>#N/A</v>
      </c>
      <c r="M187" s="22"/>
      <c r="N187" s="102">
        <v>1125.0</v>
      </c>
      <c r="O187" s="102">
        <v>3400.0</v>
      </c>
      <c r="P187" s="102"/>
    </row>
    <row r="188">
      <c r="A188" s="94">
        <v>44371.0</v>
      </c>
      <c r="B188" s="95" t="str">
        <f>IFERROR(__xludf.DUMMYFUNCTION("FILTER($H$2:$H$445,$I$2:$I$445=D188)"),"Esports")</f>
        <v>Esports</v>
      </c>
      <c r="C188" s="95" t="str">
        <f>IFERROR(__xludf.DUMMYFUNCTION("filter($J$1:$J$500, $K$1:$K$500=D188)"),"Geek")</f>
        <v>Geek</v>
      </c>
      <c r="D188" s="96">
        <v>1716.0</v>
      </c>
      <c r="F188" s="97">
        <v>50.0</v>
      </c>
      <c r="G188" s="18"/>
      <c r="H188" s="104" t="s">
        <v>214</v>
      </c>
      <c r="I188" s="105" t="s">
        <v>134</v>
      </c>
      <c r="J188" s="100" t="s">
        <v>25</v>
      </c>
      <c r="K188" s="101">
        <v>269.0</v>
      </c>
      <c r="L188" s="22" t="str">
        <f>IFERROR(__xludf.DUMMYFUNCTION("filter($O$1:$O$200,$K$1:$K$200=N188)"),"#N/A")</f>
        <v>#N/A</v>
      </c>
      <c r="M188" s="22"/>
      <c r="N188" s="102">
        <v>1769.0</v>
      </c>
      <c r="O188" s="103">
        <v>0.0</v>
      </c>
      <c r="P188" s="103"/>
    </row>
    <row r="189">
      <c r="A189" s="94">
        <v>44371.0</v>
      </c>
      <c r="B189" s="95" t="str">
        <f>IFERROR(__xludf.DUMMYFUNCTION("FILTER($H$2:$H$445,$I$2:$I$445=D189)"),"Counter-Strike Club")</f>
        <v>Counter-Strike Club</v>
      </c>
      <c r="C189" s="95" t="str">
        <f>IFERROR(__xludf.DUMMYFUNCTION("filter($J$1:$J$500, $K$1:$K$500=D189)"),"Geek")</f>
        <v>Geek</v>
      </c>
      <c r="D189" s="96">
        <v>1688.0</v>
      </c>
      <c r="F189" s="97">
        <v>209.0</v>
      </c>
      <c r="G189" s="18"/>
      <c r="H189" s="104" t="s">
        <v>215</v>
      </c>
      <c r="I189" s="99">
        <v>639.0</v>
      </c>
      <c r="J189" s="100" t="s">
        <v>13</v>
      </c>
      <c r="K189" s="101">
        <v>1565.0</v>
      </c>
      <c r="L189" s="22" t="str">
        <f>IFERROR(__xludf.DUMMYFUNCTION("filter($O$1:$O$200,$K$1:$K$200=N189)"),"#N/A")</f>
        <v>#N/A</v>
      </c>
      <c r="M189" s="22"/>
      <c r="N189" s="102">
        <v>1169.0</v>
      </c>
      <c r="O189" s="103">
        <v>3470.0</v>
      </c>
      <c r="P189" s="103"/>
    </row>
    <row r="190">
      <c r="A190" s="94">
        <v>44371.0</v>
      </c>
      <c r="B190" s="95" t="str">
        <f>IFERROR(__xludf.DUMMYFUNCTION("FILTER($H$2:$H$445,$I$2:$I$445=D190)"),"Esports")</f>
        <v>Esports</v>
      </c>
      <c r="C190" s="95" t="str">
        <f>IFERROR(__xludf.DUMMYFUNCTION("filter($J$1:$J$500, $K$1:$K$500=D190)"),"Geek")</f>
        <v>Geek</v>
      </c>
      <c r="D190" s="96">
        <v>1716.0</v>
      </c>
      <c r="F190" s="97">
        <v>300.0</v>
      </c>
      <c r="G190" s="18"/>
      <c r="H190" s="104" t="s">
        <v>216</v>
      </c>
      <c r="I190" s="99">
        <v>1953.0</v>
      </c>
      <c r="J190" s="100" t="s">
        <v>37</v>
      </c>
      <c r="K190" s="101">
        <v>1541.0</v>
      </c>
      <c r="L190" s="35">
        <f>IFERROR(__xludf.DUMMYFUNCTION("filter($O$1:$O$200,$K$1:$K$200=N190)"),0.0)</f>
        <v>0</v>
      </c>
      <c r="M190" s="22"/>
      <c r="N190" s="102">
        <v>1487.0</v>
      </c>
      <c r="O190" s="103">
        <v>0.0</v>
      </c>
      <c r="P190" s="103"/>
    </row>
    <row r="191">
      <c r="A191" s="94">
        <v>44371.0</v>
      </c>
      <c r="B191" s="95" t="str">
        <f>IFERROR(__xludf.DUMMYFUNCTION("FILTER($H$2:$H$445,$I$2:$I$445=D191)"),"Counter-Strike Club")</f>
        <v>Counter-Strike Club</v>
      </c>
      <c r="C191" s="95" t="str">
        <f>IFERROR(__xludf.DUMMYFUNCTION("filter($J$1:$J$500, $K$1:$K$500=D191)"),"Geek")</f>
        <v>Geek</v>
      </c>
      <c r="D191" s="96">
        <v>1688.0</v>
      </c>
      <c r="F191" s="97">
        <v>320.0</v>
      </c>
      <c r="G191" s="18"/>
      <c r="H191" s="104" t="s">
        <v>217</v>
      </c>
      <c r="I191" s="99">
        <v>226.0</v>
      </c>
      <c r="J191" s="100" t="s">
        <v>17</v>
      </c>
      <c r="K191" s="101">
        <v>292.0</v>
      </c>
      <c r="L191" s="35">
        <f>IFERROR(__xludf.DUMMYFUNCTION("filter($O$1:$O$200,$K$1:$K$200=N191)"),1500.0)</f>
        <v>1500</v>
      </c>
      <c r="M191" s="22"/>
      <c r="N191" s="102">
        <v>1951.0</v>
      </c>
      <c r="O191" s="103">
        <v>0.0</v>
      </c>
      <c r="P191" s="103"/>
    </row>
    <row r="192">
      <c r="A192" s="94">
        <v>44371.0</v>
      </c>
      <c r="B192" s="95" t="str">
        <f>IFERROR(__xludf.DUMMYFUNCTION("FILTER($H$2:$H$445,$I$2:$I$445=D192)"),"Pokemon Trainer's Club")</f>
        <v>Pokemon Trainer's Club</v>
      </c>
      <c r="C192" s="95" t="str">
        <f>IFERROR(__xludf.DUMMYFUNCTION("filter($J$1:$J$500, $K$1:$K$500=D192)"),"Geek")</f>
        <v>Geek</v>
      </c>
      <c r="D192" s="96">
        <v>1742.0</v>
      </c>
      <c r="F192" s="97">
        <v>390.0</v>
      </c>
      <c r="G192" s="18"/>
      <c r="H192" s="104" t="s">
        <v>218</v>
      </c>
      <c r="I192" s="99">
        <v>1659.0</v>
      </c>
      <c r="J192" s="100" t="s">
        <v>17</v>
      </c>
      <c r="K192" s="101">
        <v>1530.0</v>
      </c>
      <c r="L192" s="22" t="str">
        <f>IFERROR(__xludf.DUMMYFUNCTION("filter($O$1:$O$200,$K$1:$K$200=N192)"),"#N/A")</f>
        <v>#N/A</v>
      </c>
      <c r="M192" s="22"/>
      <c r="N192" s="102">
        <v>58.0</v>
      </c>
      <c r="O192" s="103">
        <v>0.0</v>
      </c>
      <c r="P192" s="103"/>
    </row>
    <row r="193">
      <c r="A193" s="94">
        <v>44371.0</v>
      </c>
      <c r="B193" s="95" t="str">
        <f>IFERROR(__xludf.DUMMYFUNCTION("FILTER($H$2:$H$445,$I$2:$I$445=D193)"),"DotA Club")</f>
        <v>DotA Club</v>
      </c>
      <c r="C193" s="95" t="str">
        <f>IFERROR(__xludf.DUMMYFUNCTION("filter($J$1:$J$500, $K$1:$K$500=D193)"),"Geek")</f>
        <v>Geek</v>
      </c>
      <c r="D193" s="96">
        <v>1529.0</v>
      </c>
      <c r="F193" s="97">
        <v>528.0</v>
      </c>
      <c r="G193" s="18"/>
      <c r="H193" s="98" t="s">
        <v>219</v>
      </c>
      <c r="I193" s="105" t="s">
        <v>134</v>
      </c>
      <c r="J193" s="100" t="s">
        <v>19</v>
      </c>
      <c r="K193" s="101">
        <v>1652.0</v>
      </c>
      <c r="L193" s="35">
        <f>IFERROR(__xludf.DUMMYFUNCTION("filter($O$1:$O$200,$K$1:$K$200=N193)"),10915.0)</f>
        <v>10915</v>
      </c>
      <c r="M193" s="22"/>
      <c r="N193" s="102">
        <v>1568.0</v>
      </c>
      <c r="O193" s="103">
        <v>3300.0</v>
      </c>
      <c r="P193" s="103"/>
    </row>
    <row r="194">
      <c r="A194" s="94">
        <v>44371.0</v>
      </c>
      <c r="B194" s="95" t="str">
        <f>IFERROR(__xludf.DUMMYFUNCTION("FILTER($H$2:$H$445,$I$2:$I$445=D194)"),"Rutgers Overwatch Club")</f>
        <v>Rutgers Overwatch Club</v>
      </c>
      <c r="C194" s="95" t="str">
        <f>IFERROR(__xludf.DUMMYFUNCTION("filter($J$1:$J$500, $K$1:$K$500=D194)"),"Geek")</f>
        <v>Geek</v>
      </c>
      <c r="D194" s="96">
        <v>1830.0</v>
      </c>
      <c r="F194" s="97">
        <v>553.0</v>
      </c>
      <c r="G194" s="18"/>
      <c r="H194" s="104" t="s">
        <v>220</v>
      </c>
      <c r="I194" s="99">
        <v>518.0</v>
      </c>
      <c r="J194" s="100" t="s">
        <v>37</v>
      </c>
      <c r="K194" s="101">
        <v>1478.0</v>
      </c>
      <c r="L194" s="22" t="str">
        <f>IFERROR(__xludf.DUMMYFUNCTION("filter($O$1:$O$200,$K$1:$K$200=N194)"),"#N/A")</f>
        <v>#N/A</v>
      </c>
      <c r="M194" s="22"/>
      <c r="N194" s="102">
        <v>1746.0</v>
      </c>
      <c r="O194" s="103">
        <v>0.0</v>
      </c>
      <c r="P194" s="103"/>
    </row>
    <row r="195">
      <c r="A195" s="94">
        <v>44371.0</v>
      </c>
      <c r="B195" s="95" t="str">
        <f>IFERROR(__xludf.DUMMYFUNCTION("FILTER($H$2:$H$445,$I$2:$I$445=D195)"),"Scarlet Smash")</f>
        <v>Scarlet Smash</v>
      </c>
      <c r="C195" s="95" t="str">
        <f>IFERROR(__xludf.DUMMYFUNCTION("filter($J$1:$J$500, $K$1:$K$500=D195)"),"Geek")</f>
        <v>Geek</v>
      </c>
      <c r="D195" s="96">
        <v>1543.0</v>
      </c>
      <c r="F195" s="97">
        <v>758.0</v>
      </c>
      <c r="G195" s="18"/>
      <c r="H195" s="104" t="s">
        <v>221</v>
      </c>
      <c r="I195" s="99">
        <v>1190.0</v>
      </c>
      <c r="J195" s="100" t="s">
        <v>22</v>
      </c>
      <c r="K195" s="101">
        <v>1594.0</v>
      </c>
      <c r="L195" s="22">
        <f>IFERROR(__xludf.DUMMYFUNCTION("filter($O$1:$O$200,$K$1:$K$200=N195)"),1425.0)</f>
        <v>1425</v>
      </c>
      <c r="M195" s="22"/>
      <c r="N195" s="102">
        <v>1941.0</v>
      </c>
      <c r="O195" s="103">
        <v>0.0</v>
      </c>
      <c r="P195" s="103"/>
    </row>
    <row r="196">
      <c r="A196" s="94">
        <v>44371.0</v>
      </c>
      <c r="B196" s="95" t="str">
        <f>IFERROR(__xludf.DUMMYFUNCTION("FILTER($H$2:$H$445,$I$2:$I$445=D196)"),"Rutgers University Rhythm Games Club")</f>
        <v>Rutgers University Rhythm Games Club</v>
      </c>
      <c r="C196" s="95" t="str">
        <f>IFERROR(__xludf.DUMMYFUNCTION("filter($J$1:$J$500, $K$1:$K$500=D196)"),"Geek")</f>
        <v>Geek</v>
      </c>
      <c r="D196" s="96">
        <v>1882.0</v>
      </c>
      <c r="F196" s="97">
        <v>786.0</v>
      </c>
      <c r="G196" s="18"/>
      <c r="H196" s="104" t="s">
        <v>222</v>
      </c>
      <c r="I196" s="99">
        <v>217.0</v>
      </c>
      <c r="J196" s="100" t="s">
        <v>15</v>
      </c>
      <c r="K196" s="101">
        <v>1432.0</v>
      </c>
      <c r="L196" s="22" t="str">
        <f>IFERROR(__xludf.DUMMYFUNCTION("filter($O$1:$O$200,$K$1:$K$200=N196)"),"#N/A")</f>
        <v>#N/A</v>
      </c>
      <c r="M196" s="22"/>
      <c r="N196" s="102">
        <v>19.0</v>
      </c>
      <c r="O196" s="103">
        <v>0.0</v>
      </c>
      <c r="P196" s="103"/>
    </row>
    <row r="197">
      <c r="A197" s="94">
        <v>44371.0</v>
      </c>
      <c r="B197" s="95" t="str">
        <f>IFERROR(__xludf.DUMMYFUNCTION("FILTER($H$2:$H$445,$I$2:$I$445=D197)"),"League of Legends")</f>
        <v>League of Legends</v>
      </c>
      <c r="C197" s="95" t="str">
        <f>IFERROR(__xludf.DUMMYFUNCTION("filter($J$1:$J$500, $K$1:$K$500=D197)"),"Geek")</f>
        <v>Geek</v>
      </c>
      <c r="D197" s="96">
        <v>1579.0</v>
      </c>
      <c r="F197" s="106">
        <v>1083.0</v>
      </c>
      <c r="G197" s="42"/>
      <c r="H197" s="104" t="s">
        <v>223</v>
      </c>
      <c r="I197" s="99">
        <v>1399.0</v>
      </c>
      <c r="J197" s="100" t="s">
        <v>27</v>
      </c>
      <c r="K197" s="101">
        <v>1582.0</v>
      </c>
      <c r="L197" s="35">
        <f>IFERROR(__xludf.DUMMYFUNCTION("filter($O$1:$O$200,$K$1:$K$200=N197)"),4370.0)</f>
        <v>4370</v>
      </c>
      <c r="M197" s="22"/>
      <c r="N197" s="102">
        <v>137.0</v>
      </c>
      <c r="O197" s="103">
        <v>14670.0</v>
      </c>
      <c r="P197" s="103"/>
    </row>
    <row r="198">
      <c r="A198" s="94">
        <v>44371.0</v>
      </c>
      <c r="B198" s="95" t="str">
        <f>IFERROR(__xludf.DUMMYFUNCTION("FILTER($H$2:$H$445,$I$2:$I$445=D198)"),"Yu-Gi-Oh Club")</f>
        <v>Yu-Gi-Oh Club</v>
      </c>
      <c r="C198" s="95" t="str">
        <f>IFERROR(__xludf.DUMMYFUNCTION("filter($J$1:$J$500, $K$1:$K$500=D198)"),"Geek")</f>
        <v>Geek</v>
      </c>
      <c r="D198" s="96">
        <v>1653.0</v>
      </c>
      <c r="F198" s="106">
        <v>1300.0</v>
      </c>
      <c r="G198" s="42"/>
      <c r="H198" s="104" t="s">
        <v>224</v>
      </c>
      <c r="I198" s="99">
        <v>1220.0</v>
      </c>
      <c r="J198" s="100" t="s">
        <v>25</v>
      </c>
      <c r="K198" s="101">
        <v>1575.0</v>
      </c>
      <c r="L198" s="35">
        <f>IFERROR(__xludf.DUMMYFUNCTION("filter($O$1:$O$200,$K$1:$K$200=N198)"),400.0)</f>
        <v>400</v>
      </c>
      <c r="M198" s="22"/>
      <c r="N198" s="102">
        <v>1908.0</v>
      </c>
      <c r="O198" s="103">
        <v>224.91</v>
      </c>
      <c r="P198" s="103"/>
    </row>
    <row r="199">
      <c r="A199" s="107">
        <v>44371.0</v>
      </c>
      <c r="B199" s="108" t="str">
        <f>IFERROR(__xludf.DUMMYFUNCTION("FILTER($H$2:$H$445,$I$2:$I$445=D199)"),"Rutgers Juggling Club ")</f>
        <v>Rutgers Juggling Club </v>
      </c>
      <c r="C199" s="108" t="str">
        <f>IFERROR(__xludf.DUMMYFUNCTION("filter($J$1:$J$500, $K$1:$K$500=D199)"),"Leisure")</f>
        <v>Leisure</v>
      </c>
      <c r="D199" s="109">
        <v>621.0</v>
      </c>
      <c r="F199" s="110">
        <v>129.0</v>
      </c>
      <c r="G199" s="18"/>
      <c r="H199" s="111" t="s">
        <v>225</v>
      </c>
      <c r="I199" s="112">
        <v>1896.0</v>
      </c>
      <c r="J199" s="113" t="s">
        <v>30</v>
      </c>
      <c r="K199" s="114">
        <v>1877.0</v>
      </c>
      <c r="L199" s="22" t="str">
        <f>IFERROR(__xludf.DUMMYFUNCTION("filter($O$1:$O$200,$K$1:$K$200=N199)"),"#N/A")</f>
        <v>#N/A</v>
      </c>
      <c r="M199" s="22"/>
      <c r="N199" s="115">
        <v>1948.0</v>
      </c>
      <c r="O199" s="115">
        <v>1440.0</v>
      </c>
      <c r="P199" s="115"/>
    </row>
    <row r="200">
      <c r="A200" s="107">
        <v>44371.0</v>
      </c>
      <c r="B200" s="108" t="str">
        <f>IFERROR(__xludf.DUMMYFUNCTION("FILTER($H$2:$H$445,$I$2:$I$445=D200)"),"Outdoors Club")</f>
        <v>Outdoors Club</v>
      </c>
      <c r="C200" s="108" t="str">
        <f>IFERROR(__xludf.DUMMYFUNCTION("filter($J$1:$J$500, $K$1:$K$500=D200)"),"Leisure")</f>
        <v>Leisure</v>
      </c>
      <c r="D200" s="109">
        <v>217.0</v>
      </c>
      <c r="F200" s="110">
        <v>247.0</v>
      </c>
      <c r="G200" s="18"/>
      <c r="H200" s="111" t="s">
        <v>226</v>
      </c>
      <c r="I200" s="112">
        <v>1274.0</v>
      </c>
      <c r="J200" s="113" t="s">
        <v>13</v>
      </c>
      <c r="K200" s="114">
        <v>1960.0</v>
      </c>
      <c r="L200" s="22" t="str">
        <f>IFERROR(__xludf.DUMMYFUNCTION("filter($O$1:$O$200,$K$1:$K$200=N200)"),"#N/A")</f>
        <v>#N/A</v>
      </c>
      <c r="M200" s="22"/>
      <c r="N200" s="115">
        <v>1775.0</v>
      </c>
      <c r="O200" s="116">
        <v>0.0</v>
      </c>
      <c r="P200" s="116">
        <f>AVERAGE(F194:F200)</f>
        <v>693.7142857</v>
      </c>
    </row>
    <row r="201">
      <c r="A201" s="107">
        <v>44371.0</v>
      </c>
      <c r="B201" s="108" t="str">
        <f>IFERROR(__xludf.DUMMYFUNCTION("FILTER($H$2:$H$445,$I$2:$I$445=D201)"),"Creative Writing Club")</f>
        <v>Creative Writing Club</v>
      </c>
      <c r="C201" s="108" t="str">
        <f>IFERROR(__xludf.DUMMYFUNCTION("filter($J$1:$J$500, $K$1:$K$500=D201)"),"Leisure")</f>
        <v>Leisure</v>
      </c>
      <c r="D201" s="109">
        <v>1819.0</v>
      </c>
      <c r="F201" s="110">
        <v>337.05</v>
      </c>
      <c r="G201" s="18"/>
      <c r="H201" s="111" t="s">
        <v>227</v>
      </c>
      <c r="I201" s="112">
        <v>549.0</v>
      </c>
      <c r="J201" s="113" t="s">
        <v>37</v>
      </c>
      <c r="K201" s="114">
        <v>1483.0</v>
      </c>
      <c r="L201" s="22" t="str">
        <f>IFERROR(__xludf.DUMMYFUNCTION("filter($O$1:$O$200,$K$1:$K$200=N201)"),"#N/A")</f>
        <v>#N/A</v>
      </c>
      <c r="M201" s="22"/>
      <c r="N201" s="115">
        <v>1437.0</v>
      </c>
      <c r="O201" s="116">
        <v>0.0</v>
      </c>
      <c r="P201" s="116"/>
    </row>
    <row r="202">
      <c r="A202" s="107">
        <v>44371.0</v>
      </c>
      <c r="B202" s="108" t="str">
        <f>IFERROR(__xludf.DUMMYFUNCTION("FILTER($H$2:$H$445,$I$2:$I$445=D202)"),"Stitch for Life")</f>
        <v>Stitch for Life</v>
      </c>
      <c r="C202" s="108" t="str">
        <f>IFERROR(__xludf.DUMMYFUNCTION("filter($J$1:$J$500, $K$1:$K$500=D202)"),"Leisure")</f>
        <v>Leisure</v>
      </c>
      <c r="D202" s="109">
        <v>1883.0</v>
      </c>
      <c r="F202" s="110">
        <v>368.0</v>
      </c>
      <c r="G202" s="18"/>
      <c r="H202" s="111" t="s">
        <v>228</v>
      </c>
      <c r="I202" s="112">
        <v>1432.0</v>
      </c>
      <c r="J202" s="113" t="s">
        <v>22</v>
      </c>
      <c r="K202" s="114">
        <v>1425.0</v>
      </c>
      <c r="L202" s="22" t="str">
        <f>IFERROR(__xludf.DUMMYFUNCTION("filter($O$1:$O$200,$K$1:$K$200=N202)"),"#N/A")</f>
        <v>#N/A</v>
      </c>
      <c r="M202" s="22"/>
      <c r="N202" s="115">
        <v>1857.0</v>
      </c>
      <c r="O202" s="116">
        <v>0.0</v>
      </c>
      <c r="P202" s="116"/>
    </row>
    <row r="203">
      <c r="A203" s="107">
        <v>44371.0</v>
      </c>
      <c r="B203" s="108" t="str">
        <f>IFERROR(__xludf.DUMMYFUNCTION("FILTER($H$2:$H$445,$I$2:$I$445=D203)"),"Chess Club")</f>
        <v>Chess Club</v>
      </c>
      <c r="C203" s="108" t="str">
        <f>IFERROR(__xludf.DUMMYFUNCTION("filter($J$1:$J$500, $K$1:$K$500=D203)"),"Leisure")</f>
        <v>Leisure</v>
      </c>
      <c r="D203" s="109">
        <v>414.0</v>
      </c>
      <c r="F203" s="110">
        <v>480.0</v>
      </c>
      <c r="G203" s="18"/>
      <c r="H203" s="117" t="s">
        <v>229</v>
      </c>
      <c r="I203" s="112">
        <v>1960.0</v>
      </c>
      <c r="J203" s="113" t="s">
        <v>25</v>
      </c>
      <c r="K203" s="114">
        <v>761.0</v>
      </c>
      <c r="L203" s="35">
        <f>IFERROR(__xludf.DUMMYFUNCTION("filter($O$1:$O$200,$K$1:$K$200=N203)"),50.0)</f>
        <v>50</v>
      </c>
      <c r="M203" s="22"/>
      <c r="N203" s="115">
        <v>1830.0</v>
      </c>
      <c r="O203" s="116">
        <v>0.0</v>
      </c>
      <c r="P203" s="116"/>
    </row>
    <row r="204">
      <c r="A204" s="107">
        <v>44371.0</v>
      </c>
      <c r="B204" s="108" t="str">
        <f>IFERROR(__xludf.DUMMYFUNCTION("FILTER($H$2:$H$445,$I$2:$I$445=D204)"),"Culinary Club")</f>
        <v>Culinary Club</v>
      </c>
      <c r="C204" s="108" t="str">
        <f>IFERROR(__xludf.DUMMYFUNCTION("filter($J$1:$J$500, $K$1:$K$500=D204)"),"Leisure")</f>
        <v>Leisure</v>
      </c>
      <c r="D204" s="109">
        <v>1273.0</v>
      </c>
      <c r="F204" s="118">
        <v>1073.0</v>
      </c>
      <c r="G204" s="42"/>
      <c r="H204" s="117" t="s">
        <v>230</v>
      </c>
      <c r="I204" s="112">
        <v>1716.0</v>
      </c>
      <c r="J204" s="113" t="s">
        <v>22</v>
      </c>
      <c r="K204" s="114">
        <v>1769.0</v>
      </c>
      <c r="L204" s="35">
        <f>IFERROR(__xludf.DUMMYFUNCTION("filter($O$1:$O$200,$K$1:$K$200=N204)"),100.0)</f>
        <v>100</v>
      </c>
      <c r="M204" s="22"/>
      <c r="N204" s="115">
        <v>493.0</v>
      </c>
      <c r="O204" s="116">
        <v>0.0</v>
      </c>
      <c r="P204" s="116"/>
    </row>
    <row r="205">
      <c r="A205" s="107">
        <v>44371.0</v>
      </c>
      <c r="B205" s="108" t="str">
        <f>IFERROR(__xludf.DUMMYFUNCTION("FILTER($H$2:$H$445,$I$2:$I$445=D205)"),"Culinary Club")</f>
        <v>Culinary Club</v>
      </c>
      <c r="C205" s="108" t="str">
        <f>IFERROR(__xludf.DUMMYFUNCTION("filter($J$1:$J$500, $K$1:$K$500=D205)"),"Leisure")</f>
        <v>Leisure</v>
      </c>
      <c r="D205" s="109">
        <v>1273.0</v>
      </c>
      <c r="F205" s="118">
        <v>1704.98</v>
      </c>
      <c r="G205" s="42"/>
      <c r="H205" s="117" t="s">
        <v>231</v>
      </c>
      <c r="I205" s="112">
        <v>157.0</v>
      </c>
      <c r="J205" s="113" t="s">
        <v>25</v>
      </c>
      <c r="K205" s="114">
        <v>481.0</v>
      </c>
      <c r="L205" s="22" t="str">
        <f>IFERROR(__xludf.DUMMYFUNCTION("filter($O$1:$O$200,$K$1:$K$200=N205)"),"#N/A")</f>
        <v>#N/A</v>
      </c>
      <c r="M205" s="22"/>
      <c r="N205" s="115">
        <v>1663.0</v>
      </c>
      <c r="O205" s="116">
        <v>0.0</v>
      </c>
      <c r="P205" s="116"/>
    </row>
    <row r="206">
      <c r="A206" s="119">
        <v>44371.0</v>
      </c>
      <c r="B206" s="120" t="str">
        <f>IFERROR(__xludf.DUMMYFUNCTION("FILTER($H$2:$H$445,$I$2:$I$445=D206)"),"The Imaginate")</f>
        <v>The Imaginate</v>
      </c>
      <c r="C206" s="120" t="str">
        <f>IFERROR(__xludf.DUMMYFUNCTION("filter($J$1:$J$500, $K$1:$K$500=D206)"),"Media")</f>
        <v>Media</v>
      </c>
      <c r="D206" s="121">
        <v>1355.0</v>
      </c>
      <c r="F206" s="122">
        <v>10.0</v>
      </c>
      <c r="G206" s="18"/>
      <c r="H206" s="123" t="s">
        <v>232</v>
      </c>
      <c r="I206" s="124">
        <v>1836.0</v>
      </c>
      <c r="J206" s="125" t="s">
        <v>43</v>
      </c>
      <c r="K206" s="126">
        <v>1742.0</v>
      </c>
      <c r="L206" s="22" t="str">
        <f>IFERROR(__xludf.DUMMYFUNCTION("filter($O$1:$O$200,$K$1:$K$200=N206)"),"#N/A")</f>
        <v>#N/A</v>
      </c>
      <c r="M206" s="22"/>
      <c r="N206" s="127">
        <v>481.0</v>
      </c>
      <c r="O206" s="127">
        <v>0.0</v>
      </c>
      <c r="P206" s="127"/>
    </row>
    <row r="207">
      <c r="A207" s="119">
        <v>44371.0</v>
      </c>
      <c r="B207" s="120" t="str">
        <f>IFERROR(__xludf.DUMMYFUNCTION("FILTER($H$2:$H$445,$I$2:$I$445=D207)"),"Film Productions")</f>
        <v>Film Productions</v>
      </c>
      <c r="C207" s="120" t="str">
        <f>IFERROR(__xludf.DUMMYFUNCTION("filter($J$1:$J$500, $K$1:$K$500=D207)"),"Media")</f>
        <v>Media</v>
      </c>
      <c r="D207" s="121">
        <v>90.0</v>
      </c>
      <c r="F207" s="122">
        <v>80.0</v>
      </c>
      <c r="G207" s="18"/>
      <c r="H207" s="128" t="s">
        <v>233</v>
      </c>
      <c r="I207" s="124">
        <v>1579.0</v>
      </c>
      <c r="J207" s="125" t="s">
        <v>13</v>
      </c>
      <c r="K207" s="126">
        <v>1205.0</v>
      </c>
      <c r="L207" s="35">
        <f>IFERROR(__xludf.DUMMYFUNCTION("filter($O$1:$O$200,$K$1:$K$200=N207)"),210.0)</f>
        <v>210</v>
      </c>
      <c r="M207" s="22"/>
      <c r="N207" s="127">
        <v>1881.0</v>
      </c>
      <c r="O207" s="129">
        <v>200.0</v>
      </c>
      <c r="P207" s="129"/>
    </row>
    <row r="208">
      <c r="A208" s="119">
        <v>44371.0</v>
      </c>
      <c r="B208" s="120" t="str">
        <f>IFERROR(__xludf.DUMMYFUNCTION("FILTER($H$2:$H$445,$I$2:$I$445=D208)"),"Film Productions")</f>
        <v>Film Productions</v>
      </c>
      <c r="C208" s="120" t="str">
        <f>IFERROR(__xludf.DUMMYFUNCTION("filter($J$1:$J$500, $K$1:$K$500=D208)"),"Media")</f>
        <v>Media</v>
      </c>
      <c r="D208" s="121">
        <v>90.0</v>
      </c>
      <c r="F208" s="122">
        <v>135.0</v>
      </c>
      <c r="G208" s="18"/>
      <c r="H208" s="123" t="s">
        <v>234</v>
      </c>
      <c r="I208" s="124">
        <v>776.0</v>
      </c>
      <c r="J208" s="130"/>
      <c r="K208" s="131"/>
      <c r="L208" s="35">
        <f>IFERROR(__xludf.DUMMYFUNCTION("filter($O$1:$O$200,$K$1:$K$200=N208)"),270.0)</f>
        <v>270</v>
      </c>
      <c r="M208" s="22"/>
      <c r="N208" s="132">
        <v>1878.0</v>
      </c>
      <c r="O208" s="133">
        <v>0.0</v>
      </c>
      <c r="P208" s="133"/>
    </row>
    <row r="209">
      <c r="A209" s="119">
        <v>44371.0</v>
      </c>
      <c r="B209" s="120" t="str">
        <f>IFERROR(__xludf.DUMMYFUNCTION("FILTER($H$2:$H$445,$I$2:$I$445=D209)"),"Her Campus Rutgers")</f>
        <v>Her Campus Rutgers</v>
      </c>
      <c r="C209" s="120" t="str">
        <f>IFERROR(__xludf.DUMMYFUNCTION("filter($J$1:$J$500, $K$1:$K$500=D209)"),"Media")</f>
        <v>Media</v>
      </c>
      <c r="D209" s="121">
        <v>1741.0</v>
      </c>
      <c r="F209" s="122">
        <v>141.48</v>
      </c>
      <c r="G209" s="18"/>
      <c r="H209" s="123" t="s">
        <v>235</v>
      </c>
      <c r="I209" s="124">
        <v>269.0</v>
      </c>
      <c r="J209" s="125" t="s">
        <v>27</v>
      </c>
      <c r="K209" s="126">
        <v>1538.0</v>
      </c>
      <c r="L209" s="35">
        <f>IFERROR(__xludf.DUMMYFUNCTION("filter($O$1:$O$200,$K$1:$K$200=N209)"),0.0)</f>
        <v>0</v>
      </c>
      <c r="M209" s="22"/>
      <c r="N209" s="127">
        <v>1882.0</v>
      </c>
      <c r="O209" s="129">
        <v>0.0</v>
      </c>
      <c r="P209" s="129"/>
    </row>
    <row r="210">
      <c r="A210" s="119">
        <v>44371.0</v>
      </c>
      <c r="B210" s="120" t="str">
        <f>IFERROR(__xludf.DUMMYFUNCTION("FILTER($H$2:$H$445,$I$2:$I$445=D210)"),"The Anthologist")</f>
        <v>The Anthologist</v>
      </c>
      <c r="C210" s="120" t="str">
        <f>IFERROR(__xludf.DUMMYFUNCTION("filter($J$1:$J$500, $K$1:$K$500=D210)"),"Media")</f>
        <v>Media</v>
      </c>
      <c r="D210" s="121">
        <v>17.0</v>
      </c>
      <c r="F210" s="122">
        <v>175.0</v>
      </c>
      <c r="G210" s="18"/>
      <c r="H210" s="128" t="s">
        <v>236</v>
      </c>
      <c r="I210" s="124">
        <v>1819.0</v>
      </c>
      <c r="J210" s="130"/>
      <c r="K210" s="131"/>
      <c r="L210" s="22" t="str">
        <f>IFERROR(__xludf.DUMMYFUNCTION("filter($O$1:$O$200,$K$1:$K$200=N210)"),"#N/A")</f>
        <v>#N/A</v>
      </c>
      <c r="M210" s="22"/>
      <c r="N210" s="132">
        <v>1424.0</v>
      </c>
      <c r="O210" s="133">
        <v>0.0</v>
      </c>
      <c r="P210" s="75">
        <f>AVERAGE(F202:F210)</f>
        <v>463.0511111</v>
      </c>
    </row>
    <row r="211">
      <c r="A211" s="119">
        <v>44371.0</v>
      </c>
      <c r="B211" s="120" t="str">
        <f>IFERROR(__xludf.DUMMYFUNCTION("FILTER($H$2:$H$445,$I$2:$I$445=D211)"),"Photography Club")</f>
        <v>Photography Club</v>
      </c>
      <c r="C211" s="120" t="str">
        <f>IFERROR(__xludf.DUMMYFUNCTION("filter($J$1:$J$500, $K$1:$K$500=D211)"),"Media")</f>
        <v>Media</v>
      </c>
      <c r="D211" s="121">
        <v>549.0</v>
      </c>
      <c r="F211" s="122">
        <v>300.0</v>
      </c>
      <c r="G211" s="18"/>
      <c r="H211" s="128" t="s">
        <v>237</v>
      </c>
      <c r="I211" s="124">
        <v>218.0</v>
      </c>
      <c r="J211" s="125" t="s">
        <v>15</v>
      </c>
      <c r="K211" s="126">
        <v>722.0</v>
      </c>
      <c r="L211" s="22" t="str">
        <f>IFERROR(__xludf.DUMMYFUNCTION("filter($O$1:$O$200,$K$1:$K$200=N211)"),"#N/A")</f>
        <v>#N/A</v>
      </c>
      <c r="M211" s="22"/>
      <c r="N211" s="127">
        <v>1324.0</v>
      </c>
      <c r="O211" s="129">
        <v>150.0</v>
      </c>
      <c r="P211" s="129"/>
    </row>
    <row r="212">
      <c r="A212" s="119">
        <v>44371.0</v>
      </c>
      <c r="B212" s="120" t="str">
        <f>IFERROR(__xludf.DUMMYFUNCTION("FILTER($H$2:$H$445,$I$2:$I$445=D212)"),"The Examiner: Pre-Health Journal")</f>
        <v>The Examiner: Pre-Health Journal</v>
      </c>
      <c r="C212" s="120" t="str">
        <f>IFERROR(__xludf.DUMMYFUNCTION("filter($J$1:$J$500, $K$1:$K$500=D212)"),"Media")</f>
        <v>Media</v>
      </c>
      <c r="D212" s="121">
        <v>1078.0</v>
      </c>
      <c r="F212" s="122">
        <v>548.25</v>
      </c>
      <c r="G212" s="18"/>
      <c r="H212" s="123" t="s">
        <v>238</v>
      </c>
      <c r="I212" s="124">
        <v>1719.0</v>
      </c>
      <c r="J212" s="125" t="s">
        <v>25</v>
      </c>
      <c r="K212" s="126">
        <v>567.0</v>
      </c>
      <c r="L212" s="22" t="str">
        <f>IFERROR(__xludf.DUMMYFUNCTION("filter($O$1:$O$200,$K$1:$K$200=N212)"),"#N/A")</f>
        <v>#N/A</v>
      </c>
      <c r="M212" s="22"/>
      <c r="N212" s="127">
        <v>1766.0</v>
      </c>
      <c r="O212" s="129">
        <v>30.0</v>
      </c>
      <c r="P212" s="129"/>
    </row>
    <row r="213">
      <c r="A213" s="119">
        <v>44371.0</v>
      </c>
      <c r="B213" s="120" t="str">
        <f>IFERROR(__xludf.DUMMYFUNCTION("FILTER($H$2:$H$445,$I$2:$I$445=D213)"),"Her Campus Rutgers")</f>
        <v>Her Campus Rutgers</v>
      </c>
      <c r="C213" s="120" t="str">
        <f>IFERROR(__xludf.DUMMYFUNCTION("filter($J$1:$J$500, $K$1:$K$500=D213)"),"Media")</f>
        <v>Media</v>
      </c>
      <c r="D213" s="121">
        <v>1741.0</v>
      </c>
      <c r="F213" s="134">
        <v>1100.0</v>
      </c>
      <c r="G213" s="42"/>
      <c r="H213" s="123" t="s">
        <v>239</v>
      </c>
      <c r="I213" s="124">
        <v>1438.0</v>
      </c>
      <c r="J213" s="125" t="s">
        <v>17</v>
      </c>
      <c r="K213" s="126">
        <v>244.0</v>
      </c>
      <c r="L213" s="35">
        <f>IFERROR(__xludf.DUMMYFUNCTION("filter($O$1:$O$200,$K$1:$K$200=N213)"),430.0)</f>
        <v>430</v>
      </c>
      <c r="M213" s="22"/>
      <c r="N213" s="127">
        <v>702.0</v>
      </c>
      <c r="O213" s="129">
        <v>300.0</v>
      </c>
      <c r="P213" s="129"/>
    </row>
    <row r="214">
      <c r="A214" s="119">
        <v>44371.0</v>
      </c>
      <c r="B214" s="120" t="str">
        <f>IFERROR(__xludf.DUMMYFUNCTION("FILTER($H$2:$H$445,$I$2:$I$445=D214)"),"Photography Club")</f>
        <v>Photography Club</v>
      </c>
      <c r="C214" s="120" t="str">
        <f>IFERROR(__xludf.DUMMYFUNCTION("filter($J$1:$J$500, $K$1:$K$500=D214)"),"Media")</f>
        <v>Media</v>
      </c>
      <c r="D214" s="121">
        <v>549.0</v>
      </c>
      <c r="F214" s="134">
        <v>1493.0</v>
      </c>
      <c r="G214" s="42"/>
      <c r="H214" s="123" t="s">
        <v>240</v>
      </c>
      <c r="I214" s="124">
        <v>347.0</v>
      </c>
      <c r="J214" s="125" t="s">
        <v>19</v>
      </c>
      <c r="K214" s="126">
        <v>1883.0</v>
      </c>
      <c r="L214" s="22" t="str">
        <f>IFERROR(__xludf.DUMMYFUNCTION("filter($O$1:$O$200,$K$1:$K$200=N214)"),"#N/A")</f>
        <v>#N/A</v>
      </c>
      <c r="M214" s="22"/>
      <c r="N214" s="127">
        <v>1237.0</v>
      </c>
      <c r="O214" s="129">
        <v>0.0</v>
      </c>
      <c r="P214" s="129"/>
    </row>
    <row r="215">
      <c r="A215" s="135">
        <v>44371.0</v>
      </c>
      <c r="B215" s="136" t="str">
        <f>IFERROR(__xludf.DUMMYFUNCTION("FILTER($H$2:$H$445,$I$2:$I$445=D215)"),"Pre-Nursing Society")</f>
        <v>Pre-Nursing Society</v>
      </c>
      <c r="C215" s="136" t="str">
        <f>IFERROR(__xludf.DUMMYFUNCTION("filter($J$1:$J$500, $K$1:$K$500=D215)"),"No Category")</f>
        <v>No Category</v>
      </c>
      <c r="D215" s="137">
        <v>1905.0</v>
      </c>
      <c r="F215" s="138">
        <v>112.12</v>
      </c>
      <c r="G215" s="18"/>
      <c r="H215" s="139" t="s">
        <v>241</v>
      </c>
      <c r="I215" s="140">
        <v>84.0</v>
      </c>
      <c r="J215" s="141" t="s">
        <v>22</v>
      </c>
      <c r="K215" s="142">
        <v>1416.0</v>
      </c>
      <c r="L215" s="22" t="str">
        <f>IFERROR(__xludf.DUMMYFUNCTION("filter($O$1:$O$200,$K$1:$K$200=N215)"),"#N/A")</f>
        <v>#N/A</v>
      </c>
      <c r="M215" s="22"/>
      <c r="N215" s="143">
        <v>1543.0</v>
      </c>
      <c r="O215" s="144">
        <v>16.0</v>
      </c>
      <c r="P215" s="144">
        <f>AVERAGE(F213:F215)</f>
        <v>901.7066667</v>
      </c>
    </row>
    <row r="216">
      <c r="A216" s="135">
        <v>44371.0</v>
      </c>
      <c r="B216" s="136" t="str">
        <f>IFERROR(__xludf.DUMMYFUNCTION("FILTER($H$2:$H$445,$I$2:$I$445=D216)"),"Asian Pacific American Medical Student Association")</f>
        <v>Asian Pacific American Medical Student Association</v>
      </c>
      <c r="C216" s="136" t="str">
        <f>IFERROR(__xludf.DUMMYFUNCTION("filter($J$1:$J$500, $K$1:$K$500=D216)"),"No Category")</f>
        <v>No Category</v>
      </c>
      <c r="D216" s="137">
        <v>1972.0</v>
      </c>
      <c r="F216" s="138">
        <v>254.0</v>
      </c>
      <c r="G216" s="18"/>
      <c r="H216" s="139" t="s">
        <v>242</v>
      </c>
      <c r="I216" s="140">
        <v>1439.0</v>
      </c>
      <c r="J216" s="141" t="s">
        <v>37</v>
      </c>
      <c r="K216" s="142">
        <v>1373.0</v>
      </c>
      <c r="L216" s="22" t="str">
        <f>IFERROR(__xludf.DUMMYFUNCTION("filter($O$1:$O$200,$K$1:$K$200=N216)"),"#N/A")</f>
        <v>#N/A</v>
      </c>
      <c r="M216" s="22"/>
      <c r="N216" s="143">
        <v>496.0</v>
      </c>
      <c r="O216" s="144">
        <v>0.0</v>
      </c>
      <c r="P216" s="144"/>
    </row>
    <row r="217">
      <c r="A217" s="135">
        <v>44371.0</v>
      </c>
      <c r="B217" s="136" t="str">
        <f>IFERROR(__xludf.DUMMYFUNCTION("FILTER($H$2:$H$445,$I$2:$I$445=D217)"),"#N/A")</f>
        <v>#N/A</v>
      </c>
      <c r="C217" s="136" t="str">
        <f>IFERROR(__xludf.DUMMYFUNCTION("filter($J$1:$J$500, $K$1:$K$500=D217)"),"No Category")</f>
        <v>No Category</v>
      </c>
      <c r="D217" s="137">
        <v>1962.0</v>
      </c>
      <c r="F217" s="138">
        <v>364.75</v>
      </c>
      <c r="G217" s="18"/>
      <c r="H217" s="145" t="s">
        <v>243</v>
      </c>
      <c r="I217" s="140">
        <v>443.0</v>
      </c>
      <c r="J217" s="141" t="s">
        <v>17</v>
      </c>
      <c r="K217" s="142">
        <v>1376.0</v>
      </c>
      <c r="L217" s="35">
        <f>IFERROR(__xludf.DUMMYFUNCTION("filter($O$1:$O$200,$K$1:$K$200=N217)"),300.0)</f>
        <v>300</v>
      </c>
      <c r="M217" s="22"/>
      <c r="N217" s="143">
        <v>1945.0</v>
      </c>
      <c r="O217" s="144">
        <v>0.0</v>
      </c>
      <c r="P217" s="144"/>
    </row>
    <row r="218">
      <c r="A218" s="146">
        <v>44371.0</v>
      </c>
      <c r="B218" s="147" t="str">
        <f>IFERROR(__xludf.DUMMYFUNCTION("FILTER($H$2:$H$445,$I$2:$I$445=D218)"),"Haru Kpop Dance Cover Club ")</f>
        <v>Haru Kpop Dance Cover Club </v>
      </c>
      <c r="C218" s="147" t="str">
        <f>IFERROR(__xludf.DUMMYFUNCTION("filter($J$1:$J$500, $K$1:$K$500=D218)"),"Performing Arts")</f>
        <v>Performing Arts</v>
      </c>
      <c r="D218" s="148">
        <v>1467.0</v>
      </c>
      <c r="F218" s="149">
        <v>15.0</v>
      </c>
      <c r="G218" s="18"/>
      <c r="H218" s="150" t="s">
        <v>244</v>
      </c>
      <c r="I218" s="151">
        <v>1952.0</v>
      </c>
      <c r="J218" s="152" t="s">
        <v>15</v>
      </c>
      <c r="K218" s="153">
        <v>357.0</v>
      </c>
      <c r="L218" s="22" t="str">
        <f>IFERROR(__xludf.DUMMYFUNCTION("filter($O$1:$O$200,$K$1:$K$200=N218)"),"#N/A")</f>
        <v>#N/A</v>
      </c>
      <c r="M218" s="22"/>
      <c r="N218" s="154">
        <v>437.0</v>
      </c>
      <c r="O218" s="154">
        <v>50.0</v>
      </c>
      <c r="P218" s="154"/>
    </row>
    <row r="219">
      <c r="A219" s="146">
        <v>44371.0</v>
      </c>
      <c r="B219" s="147" t="str">
        <f>IFERROR(__xludf.DUMMYFUNCTION("FILTER($H$2:$H$445,$I$2:$I$445=D219)"),"RU Natya ")</f>
        <v>RU Natya </v>
      </c>
      <c r="C219" s="147" t="str">
        <f>IFERROR(__xludf.DUMMYFUNCTION("filter($J$1:$J$500, $K$1:$K$500=D219)"),"Performing Arts")</f>
        <v>Performing Arts</v>
      </c>
      <c r="D219" s="148">
        <v>1125.0</v>
      </c>
      <c r="F219" s="149">
        <v>20.0</v>
      </c>
      <c r="G219" s="18"/>
      <c r="H219" s="155" t="s">
        <v>245</v>
      </c>
      <c r="I219" s="151">
        <v>1312.0</v>
      </c>
      <c r="J219" s="155" t="s">
        <v>34</v>
      </c>
      <c r="K219" s="153">
        <v>17.0</v>
      </c>
      <c r="L219" s="22">
        <f>IFERROR(__xludf.DUMMYFUNCTION("filter($O$1:$O$200,$K$1:$K$200=N219)"),3100.0)</f>
        <v>3100</v>
      </c>
      <c r="M219" s="22"/>
      <c r="N219" s="154">
        <v>1942.0</v>
      </c>
      <c r="O219" s="156">
        <v>0.0</v>
      </c>
      <c r="P219" s="156"/>
    </row>
    <row r="220">
      <c r="A220" s="146">
        <v>44371.0</v>
      </c>
      <c r="B220" s="147" t="str">
        <f>IFERROR(__xludf.DUMMYFUNCTION("FILTER($H$2:$H$445,$I$2:$I$445=D220)"),"Asian Acapella Group ")</f>
        <v>Asian Acapella Group </v>
      </c>
      <c r="C220" s="147" t="str">
        <f>IFERROR(__xludf.DUMMYFUNCTION("filter($J$1:$J$500, $K$1:$K$500=D220)"),"Performing Arts")</f>
        <v>Performing Arts</v>
      </c>
      <c r="D220" s="148">
        <v>98.0</v>
      </c>
      <c r="F220" s="149">
        <v>23.17</v>
      </c>
      <c r="G220" s="18"/>
      <c r="H220" s="150" t="s">
        <v>246</v>
      </c>
      <c r="I220" s="151">
        <v>663.0</v>
      </c>
      <c r="J220" s="157"/>
      <c r="K220" s="158"/>
      <c r="L220" s="22" t="str">
        <f>IFERROR(__xludf.DUMMYFUNCTION("filter($O$1:$O$200,$K$1:$K$200=N220)"),"#N/A")</f>
        <v>#N/A</v>
      </c>
      <c r="M220" s="22"/>
      <c r="N220" s="159">
        <v>1256.0</v>
      </c>
      <c r="O220" s="160">
        <v>100.0</v>
      </c>
      <c r="P220" s="160"/>
    </row>
    <row r="221">
      <c r="A221" s="146">
        <v>44371.0</v>
      </c>
      <c r="B221" s="147" t="str">
        <f>IFERROR(__xludf.DUMMYFUNCTION("FILTER($H$2:$H$445,$I$2:$I$445=D221)"),"Shock Wave")</f>
        <v>Shock Wave</v>
      </c>
      <c r="C221" s="147" t="str">
        <f>IFERROR(__xludf.DUMMYFUNCTION("filter($J$1:$J$500, $K$1:$K$500=D221)"),"Performing Arts")</f>
        <v>Performing Arts</v>
      </c>
      <c r="D221" s="148">
        <v>437.0</v>
      </c>
      <c r="F221" s="149">
        <v>32.84</v>
      </c>
      <c r="G221" s="18"/>
      <c r="H221" s="155" t="s">
        <v>247</v>
      </c>
      <c r="I221" s="151">
        <v>1741.0</v>
      </c>
      <c r="J221" s="152" t="s">
        <v>30</v>
      </c>
      <c r="K221" s="153">
        <v>748.0</v>
      </c>
      <c r="L221" s="22" t="str">
        <f>IFERROR(__xludf.DUMMYFUNCTION("filter($O$1:$O$200,$K$1:$K$200=N221)"),"#N/A")</f>
        <v>#N/A</v>
      </c>
      <c r="M221" s="22"/>
      <c r="N221" s="154">
        <v>1795.0</v>
      </c>
      <c r="O221" s="156">
        <v>0.0</v>
      </c>
      <c r="P221" s="156"/>
    </row>
    <row r="222">
      <c r="A222" s="146">
        <v>44371.0</v>
      </c>
      <c r="B222" s="147" t="str">
        <f>IFERROR(__xludf.DUMMYFUNCTION("FILTER($H$2:$H$445,$I$2:$I$445=D222)"),"Belly Dance Troupe")</f>
        <v>Belly Dance Troupe</v>
      </c>
      <c r="C222" s="147" t="str">
        <f>IFERROR(__xludf.DUMMYFUNCTION("filter($J$1:$J$500, $K$1:$K$500=D222)"),"Performing Arts")</f>
        <v>Performing Arts</v>
      </c>
      <c r="D222" s="148">
        <v>712.0</v>
      </c>
      <c r="F222" s="149">
        <v>47.32</v>
      </c>
      <c r="G222" s="18"/>
      <c r="H222" s="150" t="s">
        <v>248</v>
      </c>
      <c r="I222" s="151">
        <v>1468.0</v>
      </c>
      <c r="J222" s="152" t="s">
        <v>27</v>
      </c>
      <c r="K222" s="153">
        <v>649.0</v>
      </c>
      <c r="L222" s="22" t="str">
        <f>IFERROR(__xludf.DUMMYFUNCTION("filter($O$1:$O$200,$K$1:$K$200=N222)"),"#N/A")</f>
        <v>#N/A</v>
      </c>
      <c r="M222" s="22"/>
      <c r="N222" s="154">
        <v>1974.0</v>
      </c>
      <c r="O222" s="156">
        <v>900.0</v>
      </c>
      <c r="P222" s="156"/>
    </row>
    <row r="223">
      <c r="A223" s="146">
        <v>44371.0</v>
      </c>
      <c r="B223" s="147" t="str">
        <f>IFERROR(__xludf.DUMMYFUNCTION("FILTER($H$2:$H$445,$I$2:$I$445=D223)"),"Kol Halayla")</f>
        <v>Kol Halayla</v>
      </c>
      <c r="C223" s="147" t="str">
        <f>IFERROR(__xludf.DUMMYFUNCTION("filter($J$1:$J$500, $K$1:$K$500=D223)"),"Performing Arts")</f>
        <v>Performing Arts</v>
      </c>
      <c r="D223" s="148">
        <v>222.0</v>
      </c>
      <c r="F223" s="149">
        <v>100.0</v>
      </c>
      <c r="G223" s="18"/>
      <c r="H223" s="150" t="s">
        <v>249</v>
      </c>
      <c r="I223" s="151">
        <v>1568.0</v>
      </c>
      <c r="J223" s="155" t="s">
        <v>27</v>
      </c>
      <c r="K223" s="153">
        <v>1103.0</v>
      </c>
      <c r="L223" s="22" t="str">
        <f>IFERROR(__xludf.DUMMYFUNCTION("filter($O$1:$O$200,$K$1:$K$200=N223)"),"#N/A")</f>
        <v>#N/A</v>
      </c>
      <c r="M223" s="22"/>
      <c r="N223" s="154">
        <v>663.0</v>
      </c>
      <c r="O223" s="156">
        <v>0.0</v>
      </c>
      <c r="P223" s="156"/>
    </row>
    <row r="224">
      <c r="A224" s="146">
        <v>44371.0</v>
      </c>
      <c r="B224" s="147" t="str">
        <f>IFERROR(__xludf.DUMMYFUNCTION("FILTER($H$2:$H$445,$I$2:$I$445=D224)"),"Kol Halayla")</f>
        <v>Kol Halayla</v>
      </c>
      <c r="C224" s="147" t="str">
        <f>IFERROR(__xludf.DUMMYFUNCTION("filter($J$1:$J$500, $K$1:$K$500=D224)"),"Performing Arts")</f>
        <v>Performing Arts</v>
      </c>
      <c r="D224" s="148">
        <v>222.0</v>
      </c>
      <c r="F224" s="149">
        <v>100.0</v>
      </c>
      <c r="G224" s="18"/>
      <c r="H224" s="150" t="s">
        <v>250</v>
      </c>
      <c r="I224" s="151">
        <v>495.0</v>
      </c>
      <c r="J224" s="152" t="s">
        <v>69</v>
      </c>
      <c r="K224" s="153">
        <v>1959.0</v>
      </c>
      <c r="L224" s="22" t="str">
        <f>IFERROR(__xludf.DUMMYFUNCTION("filter($O$1:$O$200,$K$1:$K$200=N224)"),"#N/A")</f>
        <v>#N/A</v>
      </c>
      <c r="M224" s="22"/>
      <c r="N224" s="154">
        <v>346.0</v>
      </c>
      <c r="O224" s="156">
        <v>0.0</v>
      </c>
      <c r="P224" s="156"/>
    </row>
    <row r="225">
      <c r="A225" s="146">
        <v>44371.0</v>
      </c>
      <c r="B225" s="147" t="str">
        <f>IFERROR(__xludf.DUMMYFUNCTION("FILTER($H$2:$H$445,$I$2:$I$445=D225)"),"College Avenue Players")</f>
        <v>College Avenue Players</v>
      </c>
      <c r="C225" s="147" t="str">
        <f>IFERROR(__xludf.DUMMYFUNCTION("filter($J$1:$J$500, $K$1:$K$500=D225)"),"Performing Arts")</f>
        <v>Performing Arts</v>
      </c>
      <c r="D225" s="148">
        <v>69.0</v>
      </c>
      <c r="F225" s="149">
        <v>100.0</v>
      </c>
      <c r="G225" s="18"/>
      <c r="H225" s="150" t="s">
        <v>251</v>
      </c>
      <c r="I225" s="151">
        <v>1816.0</v>
      </c>
      <c r="J225" s="157"/>
      <c r="K225" s="158"/>
      <c r="L225" s="35">
        <f>IFERROR(__xludf.DUMMYFUNCTION("filter($O$1:$O$200,$K$1:$K$200=N225)"),100.0)</f>
        <v>100</v>
      </c>
      <c r="M225" s="22"/>
      <c r="N225" s="159">
        <v>821.0</v>
      </c>
      <c r="O225" s="160">
        <v>170.0</v>
      </c>
      <c r="P225" s="75">
        <f>AVERAGE(F183:F225)</f>
        <v>370.72</v>
      </c>
    </row>
    <row r="226">
      <c r="A226" s="146">
        <v>44371.0</v>
      </c>
      <c r="B226" s="147" t="str">
        <f>IFERROR(__xludf.DUMMYFUNCTION("FILTER($H$2:$H$445,$I$2:$I$445=D226)"),"Kirkpatrick Choir ")</f>
        <v>Kirkpatrick Choir </v>
      </c>
      <c r="C226" s="147" t="str">
        <f>IFERROR(__xludf.DUMMYFUNCTION("filter($J$1:$J$500, $K$1:$K$500=D226)"),"Performing Arts")</f>
        <v>Performing Arts</v>
      </c>
      <c r="D226" s="148">
        <v>159.0</v>
      </c>
      <c r="F226" s="149">
        <v>112.0</v>
      </c>
      <c r="G226" s="18"/>
      <c r="H226" s="150" t="s">
        <v>252</v>
      </c>
      <c r="I226" s="151">
        <v>271.0</v>
      </c>
      <c r="J226" s="157"/>
      <c r="K226" s="158"/>
      <c r="L226" s="35">
        <f>IFERROR(__xludf.DUMMYFUNCTION("filter($O$1:$O$200,$K$1:$K$200=N226)"),1100.0)</f>
        <v>1100</v>
      </c>
      <c r="M226" s="22"/>
      <c r="N226" s="159">
        <v>293.0</v>
      </c>
      <c r="O226" s="160">
        <v>0.0</v>
      </c>
      <c r="P226" s="160"/>
    </row>
    <row r="227">
      <c r="A227" s="146">
        <v>44371.0</v>
      </c>
      <c r="B227" s="147" t="str">
        <f>IFERROR(__xludf.DUMMYFUNCTION("FILTER($H$2:$H$445,$I$2:$I$445=D227)"),"Queens Chorale")</f>
        <v>Queens Chorale</v>
      </c>
      <c r="C227" s="147" t="str">
        <f>IFERROR(__xludf.DUMMYFUNCTION("filter($J$1:$J$500, $K$1:$K$500=D227)"),"Performing Arts")</f>
        <v>Performing Arts</v>
      </c>
      <c r="D227" s="148">
        <v>269.0</v>
      </c>
      <c r="F227" s="149">
        <v>125.0</v>
      </c>
      <c r="G227" s="18"/>
      <c r="H227" s="150" t="s">
        <v>253</v>
      </c>
      <c r="I227" s="151">
        <v>721.0</v>
      </c>
      <c r="J227" s="152" t="s">
        <v>19</v>
      </c>
      <c r="K227" s="153">
        <v>1954.0</v>
      </c>
      <c r="L227" s="35">
        <f>IFERROR(__xludf.DUMMYFUNCTION("filter($O$1:$O$200,$K$1:$K$200=N227)"),735.0)</f>
        <v>735</v>
      </c>
      <c r="M227" s="22"/>
      <c r="N227" s="154">
        <v>1239.0</v>
      </c>
      <c r="O227" s="156">
        <v>0.0</v>
      </c>
      <c r="P227" s="156"/>
    </row>
    <row r="228">
      <c r="A228" s="146">
        <v>44371.0</v>
      </c>
      <c r="B228" s="147" t="str">
        <f>IFERROR(__xludf.DUMMYFUNCTION("FILTER($H$2:$H$445,$I$2:$I$445=D228)"),"ACDA")</f>
        <v>ACDA</v>
      </c>
      <c r="C228" s="147" t="str">
        <f>IFERROR(__xludf.DUMMYFUNCTION("filter($J$1:$J$500, $K$1:$K$500=D228)"),"Performing Arts")</f>
        <v>Performing Arts</v>
      </c>
      <c r="D228" s="148">
        <v>196.0</v>
      </c>
      <c r="F228" s="149">
        <v>180.0</v>
      </c>
      <c r="G228" s="18"/>
      <c r="H228" s="155" t="s">
        <v>254</v>
      </c>
      <c r="I228" s="151">
        <v>1415.0</v>
      </c>
      <c r="J228" s="152" t="s">
        <v>69</v>
      </c>
      <c r="K228" s="153">
        <v>1962.0</v>
      </c>
      <c r="L228" s="35">
        <f>IFERROR(__xludf.DUMMYFUNCTION("filter($O$1:$O$200,$K$1:$K$200=N228)"),325.0)</f>
        <v>325</v>
      </c>
      <c r="M228" s="22"/>
      <c r="N228" s="154">
        <v>74.0</v>
      </c>
      <c r="O228" s="156">
        <v>4200.0</v>
      </c>
      <c r="P228" s="156"/>
    </row>
    <row r="229">
      <c r="A229" s="146">
        <v>44371.0</v>
      </c>
      <c r="B229" s="147" t="str">
        <f>IFERROR(__xludf.DUMMYFUNCTION("FILTER($H$2:$H$445,$I$2:$I$445=D229)"),"Shock Wave")</f>
        <v>Shock Wave</v>
      </c>
      <c r="C229" s="147" t="str">
        <f>IFERROR(__xludf.DUMMYFUNCTION("filter($J$1:$J$500, $K$1:$K$500=D229)"),"Performing Arts")</f>
        <v>Performing Arts</v>
      </c>
      <c r="D229" s="148">
        <v>437.0</v>
      </c>
      <c r="F229" s="149">
        <v>196.0</v>
      </c>
      <c r="G229" s="18"/>
      <c r="H229" s="150" t="s">
        <v>255</v>
      </c>
      <c r="I229" s="161" t="s">
        <v>99</v>
      </c>
      <c r="J229" s="152" t="s">
        <v>69</v>
      </c>
      <c r="K229" s="153">
        <v>1932.0</v>
      </c>
      <c r="L229" s="22" t="str">
        <f>IFERROR(__xludf.DUMMYFUNCTION("filter($O$1:$O$200,$K$1:$K$200=N229)"),"#N/A")</f>
        <v>#N/A</v>
      </c>
      <c r="M229" s="22"/>
      <c r="N229" s="154">
        <v>1697.0</v>
      </c>
      <c r="O229" s="156">
        <v>500.0</v>
      </c>
      <c r="P229" s="156"/>
    </row>
    <row r="230">
      <c r="A230" s="146">
        <v>44371.0</v>
      </c>
      <c r="B230" s="147" t="str">
        <f>IFERROR(__xludf.DUMMYFUNCTION("FILTER($H$2:$H$445,$I$2:$I$445=D230)"),"Dhol Effect")</f>
        <v>Dhol Effect</v>
      </c>
      <c r="C230" s="147" t="str">
        <f>IFERROR(__xludf.DUMMYFUNCTION("filter($J$1:$J$500, $K$1:$K$500=D230)"),"Performing Arts")</f>
        <v>Performing Arts</v>
      </c>
      <c r="D230" s="148">
        <v>363.0</v>
      </c>
      <c r="F230" s="149">
        <v>200.0</v>
      </c>
      <c r="G230" s="18"/>
      <c r="H230" s="155" t="s">
        <v>256</v>
      </c>
      <c r="I230" s="151">
        <v>1785.0</v>
      </c>
      <c r="J230" s="152" t="s">
        <v>27</v>
      </c>
      <c r="K230" s="153">
        <v>782.0</v>
      </c>
      <c r="L230" s="22">
        <f>IFERROR(__xludf.DUMMYFUNCTION("filter($O$1:$O$200,$K$1:$K$200=N230)"),100.0)</f>
        <v>100</v>
      </c>
      <c r="M230" s="22"/>
      <c r="N230" s="154">
        <v>1839.0</v>
      </c>
      <c r="O230" s="156">
        <v>300.0</v>
      </c>
      <c r="P230" s="156"/>
    </row>
    <row r="231">
      <c r="A231" s="146">
        <v>44371.0</v>
      </c>
      <c r="B231" s="147" t="str">
        <f>IFERROR(__xludf.DUMMYFUNCTION("FILTER($H$2:$H$445,$I$2:$I$445=D231)"),"Rutgers University Voorhees Choir ")</f>
        <v>Rutgers University Voorhees Choir </v>
      </c>
      <c r="C231" s="147" t="str">
        <f>IFERROR(__xludf.DUMMYFUNCTION("filter($J$1:$J$500, $K$1:$K$500=D231)"),"Performing Arts")</f>
        <v>Performing Arts</v>
      </c>
      <c r="D231" s="148">
        <v>481.0</v>
      </c>
      <c r="F231" s="149">
        <v>200.0</v>
      </c>
      <c r="G231" s="18"/>
      <c r="H231" s="155" t="s">
        <v>257</v>
      </c>
      <c r="I231" s="151">
        <v>90.0</v>
      </c>
      <c r="J231" s="152" t="s">
        <v>69</v>
      </c>
      <c r="K231" s="153">
        <v>1907.0</v>
      </c>
      <c r="L231" s="35">
        <f>IFERROR(__xludf.DUMMYFUNCTION("filter($O$1:$O$200,$K$1:$K$200=N231)"),0.0)</f>
        <v>0</v>
      </c>
      <c r="M231" s="22"/>
      <c r="N231" s="154">
        <v>588.0</v>
      </c>
      <c r="O231" s="156">
        <v>0.0</v>
      </c>
      <c r="P231" s="156"/>
    </row>
    <row r="232">
      <c r="A232" s="146">
        <v>44371.0</v>
      </c>
      <c r="B232" s="147" t="str">
        <f>IFERROR(__xludf.DUMMYFUNCTION("FILTER($H$2:$H$445,$I$2:$I$445=D232)"),"Nehriyan Bhangra")</f>
        <v>Nehriyan Bhangra</v>
      </c>
      <c r="C232" s="147" t="str">
        <f>IFERROR(__xludf.DUMMYFUNCTION("filter($J$1:$J$500, $K$1:$K$500=D232)"),"Performing Arts")</f>
        <v>Performing Arts</v>
      </c>
      <c r="D232" s="148">
        <v>1439.0</v>
      </c>
      <c r="F232" s="149">
        <v>253.0</v>
      </c>
      <c r="G232" s="18"/>
      <c r="H232" s="150" t="s">
        <v>258</v>
      </c>
      <c r="I232" s="151">
        <v>1802.0</v>
      </c>
      <c r="J232" s="152" t="s">
        <v>17</v>
      </c>
      <c r="K232" s="153">
        <v>1692.0</v>
      </c>
      <c r="L232" s="22" t="str">
        <f>IFERROR(__xludf.DUMMYFUNCTION("filter($O$1:$O$200,$K$1:$K$200=N232)"),"#N/A")</f>
        <v>#N/A</v>
      </c>
      <c r="M232" s="22"/>
      <c r="N232" s="154">
        <v>17.0</v>
      </c>
      <c r="O232" s="156">
        <v>0.0</v>
      </c>
      <c r="P232" s="156"/>
    </row>
    <row r="233">
      <c r="A233" s="146">
        <v>44371.0</v>
      </c>
      <c r="B233" s="147" t="str">
        <f>IFERROR(__xludf.DUMMYFUNCTION("FILTER($H$2:$H$445,$I$2:$I$445=D233)"),"University Choir")</f>
        <v>University Choir</v>
      </c>
      <c r="C233" s="147" t="str">
        <f>IFERROR(__xludf.DUMMYFUNCTION("filter($J$1:$J$500, $K$1:$K$500=D233)"),"Performing Arts")</f>
        <v>Performing Arts</v>
      </c>
      <c r="D233" s="148">
        <v>653.0</v>
      </c>
      <c r="F233" s="149">
        <v>253.0</v>
      </c>
      <c r="G233" s="18"/>
      <c r="H233" s="150" t="s">
        <v>259</v>
      </c>
      <c r="I233" s="151">
        <v>1795.0</v>
      </c>
      <c r="J233" s="152" t="s">
        <v>17</v>
      </c>
      <c r="K233" s="153">
        <v>1874.0</v>
      </c>
      <c r="L233" s="22" t="str">
        <f>IFERROR(__xludf.DUMMYFUNCTION("filter($O$1:$O$200,$K$1:$K$200=N233)"),"#N/A")</f>
        <v>#N/A</v>
      </c>
      <c r="M233" s="22"/>
      <c r="N233" s="154">
        <v>1078.0</v>
      </c>
      <c r="O233" s="156">
        <v>0.0</v>
      </c>
      <c r="P233" s="156"/>
    </row>
    <row r="234">
      <c r="A234" s="146">
        <v>44371.0</v>
      </c>
      <c r="B234" s="147" t="str">
        <f>IFERROR(__xludf.DUMMYFUNCTION("FILTER($H$2:$H$445,$I$2:$I$445=D234)"),"First Light")</f>
        <v>First Light</v>
      </c>
      <c r="C234" s="147" t="str">
        <f>IFERROR(__xludf.DUMMYFUNCTION("filter($J$1:$J$500, $K$1:$K$500=D234)"),"Performing Arts")</f>
        <v>Performing Arts</v>
      </c>
      <c r="D234" s="148">
        <v>538.0</v>
      </c>
      <c r="F234" s="149">
        <v>286.21</v>
      </c>
      <c r="G234" s="18"/>
      <c r="H234" s="155" t="s">
        <v>260</v>
      </c>
      <c r="I234" s="151">
        <v>1775.0</v>
      </c>
      <c r="J234" s="152" t="s">
        <v>37</v>
      </c>
      <c r="K234" s="153">
        <v>1891.0</v>
      </c>
      <c r="L234" s="22" t="str">
        <f>IFERROR(__xludf.DUMMYFUNCTION("filter($O$1:$O$200,$K$1:$K$200=N234)"),"#N/A")</f>
        <v>#N/A</v>
      </c>
      <c r="M234" s="22"/>
      <c r="N234" s="154">
        <v>1355.0</v>
      </c>
      <c r="O234" s="156">
        <v>0.0</v>
      </c>
      <c r="P234" s="156"/>
    </row>
    <row r="235">
      <c r="A235" s="146">
        <v>44371.0</v>
      </c>
      <c r="B235" s="147" t="str">
        <f>IFERROR(__xludf.DUMMYFUNCTION("FILTER($H$2:$H$445,$I$2:$I$445=D235)"),"Swing Dance Club")</f>
        <v>Swing Dance Club</v>
      </c>
      <c r="C235" s="147" t="str">
        <f>IFERROR(__xludf.DUMMYFUNCTION("filter($J$1:$J$500, $K$1:$K$500=D235)"),"Performing Arts")</f>
        <v>Performing Arts</v>
      </c>
      <c r="D235" s="148">
        <v>1141.0</v>
      </c>
      <c r="F235" s="149">
        <v>300.0</v>
      </c>
      <c r="G235" s="18"/>
      <c r="H235" s="150" t="s">
        <v>261</v>
      </c>
      <c r="I235" s="151">
        <v>725.0</v>
      </c>
      <c r="J235" s="152" t="s">
        <v>25</v>
      </c>
      <c r="K235" s="153">
        <v>538.0</v>
      </c>
      <c r="L235" s="22" t="str">
        <f>IFERROR(__xludf.DUMMYFUNCTION("filter($O$1:$O$200,$K$1:$K$200=N235)"),"#N/A")</f>
        <v>#N/A</v>
      </c>
      <c r="M235" s="22"/>
      <c r="N235" s="154">
        <v>495.0</v>
      </c>
      <c r="O235" s="156">
        <v>0.0</v>
      </c>
      <c r="P235" s="156"/>
    </row>
    <row r="236">
      <c r="A236" s="146">
        <v>44371.0</v>
      </c>
      <c r="B236" s="147" t="str">
        <f>IFERROR(__xludf.DUMMYFUNCTION("FILTER($H$2:$H$445,$I$2:$I$445=D236)"),"Glee Club (The Rutgers University)")</f>
        <v>Glee Club (The Rutgers University)</v>
      </c>
      <c r="C236" s="147" t="str">
        <f>IFERROR(__xludf.DUMMYFUNCTION("filter($J$1:$J$500, $K$1:$K$500=D236)"),"Performing Arts")</f>
        <v>Performing Arts</v>
      </c>
      <c r="D236" s="148">
        <v>132.0</v>
      </c>
      <c r="F236" s="149">
        <v>365.0</v>
      </c>
      <c r="G236" s="18"/>
      <c r="H236" s="155" t="s">
        <v>262</v>
      </c>
      <c r="I236" s="151">
        <v>1883.0</v>
      </c>
      <c r="J236" s="157"/>
      <c r="K236" s="158"/>
      <c r="L236" s="22" t="str">
        <f>IFERROR(__xludf.DUMMYFUNCTION("filter($O$1:$O$200,$K$1:$K$200=N236)"),"#N/A")</f>
        <v>#N/A</v>
      </c>
      <c r="M236" s="22"/>
      <c r="N236" s="159">
        <v>1859.0</v>
      </c>
      <c r="O236" s="160">
        <v>0.0</v>
      </c>
      <c r="P236" s="160"/>
    </row>
    <row r="237">
      <c r="A237" s="146">
        <v>44371.0</v>
      </c>
      <c r="B237" s="147" t="str">
        <f>IFERROR(__xludf.DUMMYFUNCTION("FILTER($H$2:$H$445,$I$2:$I$445=D237)"),"Livingston Theatre Company ")</f>
        <v>Livingston Theatre Company </v>
      </c>
      <c r="C237" s="147" t="str">
        <f>IFERROR(__xludf.DUMMYFUNCTION("filter($J$1:$J$500, $K$1:$K$500=D237)"),"Performing Arts")</f>
        <v>Performing Arts</v>
      </c>
      <c r="D237" s="148">
        <v>761.0</v>
      </c>
      <c r="F237" s="149">
        <v>400.0</v>
      </c>
      <c r="G237" s="18"/>
      <c r="H237" s="150" t="s">
        <v>263</v>
      </c>
      <c r="I237" s="151">
        <v>1830.0</v>
      </c>
      <c r="J237" s="152" t="s">
        <v>27</v>
      </c>
      <c r="K237" s="153">
        <v>1829.0</v>
      </c>
      <c r="L237" s="35">
        <f>IFERROR(__xludf.DUMMYFUNCTION("filter($O$1:$O$200,$K$1:$K$200=N237)"),450.0)</f>
        <v>450</v>
      </c>
      <c r="M237" s="22"/>
      <c r="N237" s="154">
        <v>666.0</v>
      </c>
      <c r="O237" s="156">
        <v>320.0</v>
      </c>
      <c r="P237" s="156"/>
    </row>
    <row r="238">
      <c r="A238" s="146">
        <v>44371.0</v>
      </c>
      <c r="B238" s="147" t="str">
        <f>IFERROR(__xludf.DUMMYFUNCTION("FILTER($H$2:$H$445,$I$2:$I$445=D238)"),"Orphan Sporks")</f>
        <v>Orphan Sporks</v>
      </c>
      <c r="C238" s="147" t="str">
        <f>IFERROR(__xludf.DUMMYFUNCTION("filter($J$1:$J$500, $K$1:$K$500=D238)"),"Performing Arts")</f>
        <v>Performing Arts</v>
      </c>
      <c r="D238" s="148">
        <v>407.0</v>
      </c>
      <c r="F238" s="149">
        <v>402.62</v>
      </c>
      <c r="G238" s="18"/>
      <c r="H238" s="150" t="s">
        <v>264</v>
      </c>
      <c r="I238" s="151">
        <v>1828.0</v>
      </c>
      <c r="J238" s="152" t="s">
        <v>69</v>
      </c>
      <c r="K238" s="153">
        <v>1935.0</v>
      </c>
      <c r="L238" s="22" t="str">
        <f>IFERROR(__xludf.DUMMYFUNCTION("filter($O$1:$O$200,$K$1:$K$200=N238)"),"#N/A")</f>
        <v>#N/A</v>
      </c>
      <c r="M238" s="22"/>
      <c r="N238" s="154">
        <v>1763.0</v>
      </c>
      <c r="O238" s="156">
        <v>775.0</v>
      </c>
      <c r="P238" s="156"/>
    </row>
    <row r="239">
      <c r="A239" s="146">
        <v>44371.0</v>
      </c>
      <c r="B239" s="147" t="str">
        <f>IFERROR(__xludf.DUMMYFUNCTION("FILTER($H$2:$H$445,$I$2:$I$445=D239)"),"Raas and Garba Association")</f>
        <v>Raas and Garba Association</v>
      </c>
      <c r="C239" s="147" t="str">
        <f>IFERROR(__xludf.DUMMYFUNCTION("filter($J$1:$J$500, $K$1:$K$500=D239)"),"Performing Arts")</f>
        <v>Performing Arts</v>
      </c>
      <c r="D239" s="148">
        <v>639.0</v>
      </c>
      <c r="F239" s="149">
        <v>421.0</v>
      </c>
      <c r="G239" s="18"/>
      <c r="H239" s="150" t="s">
        <v>265</v>
      </c>
      <c r="I239" s="151">
        <v>1879.0</v>
      </c>
      <c r="J239" s="152" t="s">
        <v>13</v>
      </c>
      <c r="K239" s="153">
        <v>1875.0</v>
      </c>
      <c r="L239" s="22" t="str">
        <f>IFERROR(__xludf.DUMMYFUNCTION("filter($O$1:$O$200,$K$1:$K$200=N239)"),"#N/A")</f>
        <v>#N/A</v>
      </c>
      <c r="M239" s="22"/>
      <c r="N239" s="154">
        <v>545.0</v>
      </c>
      <c r="O239" s="156">
        <v>225.0</v>
      </c>
      <c r="P239" s="156"/>
    </row>
    <row r="240">
      <c r="A240" s="146">
        <v>44371.0</v>
      </c>
      <c r="B240" s="147" t="str">
        <f>IFERROR(__xludf.DUMMYFUNCTION("FILTER($H$2:$H$445,$I$2:$I$445=D240)"),"Chinese Dance Troupe ")</f>
        <v>Chinese Dance Troupe </v>
      </c>
      <c r="C240" s="147" t="str">
        <f>IFERROR(__xludf.DUMMYFUNCTION("filter($J$1:$J$500, $K$1:$K$500=D240)"),"Performing Arts")</f>
        <v>Performing Arts</v>
      </c>
      <c r="D240" s="148">
        <v>178.0</v>
      </c>
      <c r="F240" s="149">
        <v>439.0</v>
      </c>
      <c r="G240" s="18"/>
      <c r="H240" s="150" t="s">
        <v>266</v>
      </c>
      <c r="I240" s="151">
        <v>773.0</v>
      </c>
      <c r="J240" s="152" t="s">
        <v>69</v>
      </c>
      <c r="K240" s="153">
        <v>1963.0</v>
      </c>
      <c r="L240" s="22" t="str">
        <f>IFERROR(__xludf.DUMMYFUNCTION("filter($O$1:$O$200,$K$1:$K$200=N240)"),"#N/A")</f>
        <v>#N/A</v>
      </c>
      <c r="M240" s="22"/>
      <c r="N240" s="154">
        <v>391.0</v>
      </c>
      <c r="O240" s="156">
        <v>0.0</v>
      </c>
      <c r="P240" s="156"/>
    </row>
    <row r="241">
      <c r="A241" s="146">
        <v>44371.0</v>
      </c>
      <c r="B241" s="147" t="str">
        <f>IFERROR(__xludf.DUMMYFUNCTION("FILTER($H$2:$H$445,$I$2:$I$445=D241)"),"South Asian Performing Arts")</f>
        <v>South Asian Performing Arts</v>
      </c>
      <c r="C241" s="147" t="str">
        <f>IFERROR(__xludf.DUMMYFUNCTION("filter($J$1:$J$500, $K$1:$K$500=D241)"),"Performing Arts")</f>
        <v>Performing Arts</v>
      </c>
      <c r="D241" s="148">
        <v>386.0</v>
      </c>
      <c r="F241" s="149">
        <v>482.43</v>
      </c>
      <c r="G241" s="18"/>
      <c r="H241" s="150" t="s">
        <v>267</v>
      </c>
      <c r="I241" s="151">
        <v>707.0</v>
      </c>
      <c r="J241" s="152" t="s">
        <v>30</v>
      </c>
      <c r="K241" s="153">
        <v>1938.0</v>
      </c>
      <c r="L241" s="22" t="str">
        <f>IFERROR(__xludf.DUMMYFUNCTION("filter($O$1:$O$200,$K$1:$K$200=N241)"),"#N/A")</f>
        <v>#N/A</v>
      </c>
      <c r="M241" s="22"/>
      <c r="N241" s="154">
        <v>782.0</v>
      </c>
      <c r="O241" s="156">
        <v>0.0</v>
      </c>
      <c r="P241" s="156"/>
    </row>
    <row r="242">
      <c r="A242" s="146">
        <v>44371.0</v>
      </c>
      <c r="B242" s="147" t="str">
        <f>IFERROR(__xludf.DUMMYFUNCTION("FILTER($H$2:$H$445,$I$2:$I$445=D242)"),"Deep Treble")</f>
        <v>Deep Treble</v>
      </c>
      <c r="C242" s="147" t="str">
        <f>IFERROR(__xludf.DUMMYFUNCTION("filter($J$1:$J$500, $K$1:$K$500=D242)"),"Performing Arts")</f>
        <v>Performing Arts</v>
      </c>
      <c r="D242" s="148">
        <v>320.0</v>
      </c>
      <c r="F242" s="149">
        <v>561.0</v>
      </c>
      <c r="G242" s="18"/>
      <c r="H242" s="150" t="s">
        <v>268</v>
      </c>
      <c r="I242" s="151">
        <v>496.0</v>
      </c>
      <c r="J242" s="152" t="s">
        <v>25</v>
      </c>
      <c r="K242" s="153">
        <v>1948.0</v>
      </c>
      <c r="L242" s="22" t="str">
        <f>IFERROR(__xludf.DUMMYFUNCTION("filter($O$1:$O$200,$K$1:$K$200=N242)"),"#N/A")</f>
        <v>#N/A</v>
      </c>
      <c r="M242" s="22"/>
      <c r="N242" s="154">
        <v>1425.0</v>
      </c>
      <c r="O242" s="156">
        <v>0.0</v>
      </c>
      <c r="P242" s="156"/>
    </row>
    <row r="243">
      <c r="A243" s="146">
        <v>44371.0</v>
      </c>
      <c r="B243" s="147" t="str">
        <f>IFERROR(__xludf.DUMMYFUNCTION("FILTER($H$2:$H$445,$I$2:$I$445=D243)"),"Orphan Sporks")</f>
        <v>Orphan Sporks</v>
      </c>
      <c r="C243" s="147" t="str">
        <f>IFERROR(__xludf.DUMMYFUNCTION("filter($J$1:$J$500, $K$1:$K$500=D243)"),"Performing Arts")</f>
        <v>Performing Arts</v>
      </c>
      <c r="D243" s="148">
        <v>407.0</v>
      </c>
      <c r="F243" s="149">
        <v>565.0</v>
      </c>
      <c r="G243" s="18"/>
      <c r="H243" s="155" t="s">
        <v>269</v>
      </c>
      <c r="I243" s="151">
        <v>1944.0</v>
      </c>
      <c r="J243" s="152" t="s">
        <v>15</v>
      </c>
      <c r="K243" s="153">
        <v>767.0</v>
      </c>
      <c r="L243" s="35">
        <f>IFERROR(__xludf.DUMMYFUNCTION("filter($O$1:$O$200,$K$1:$K$200=N243)"),750.0)</f>
        <v>750</v>
      </c>
      <c r="M243" s="22"/>
      <c r="N243" s="154">
        <v>1880.0</v>
      </c>
      <c r="O243" s="156">
        <v>0.0</v>
      </c>
      <c r="P243" s="156"/>
    </row>
    <row r="244">
      <c r="A244" s="146">
        <v>44371.0</v>
      </c>
      <c r="B244" s="147" t="str">
        <f>IFERROR(__xludf.DUMMYFUNCTION("FILTER($H$2:$H$445,$I$2:$I$445=D244)"),"Liberated Gospel Choir")</f>
        <v>Liberated Gospel Choir</v>
      </c>
      <c r="C244" s="147" t="str">
        <f>IFERROR(__xludf.DUMMYFUNCTION("filter($J$1:$J$500, $K$1:$K$500=D244)"),"Performing Arts")</f>
        <v>Performing Arts</v>
      </c>
      <c r="D244" s="148">
        <v>677.0</v>
      </c>
      <c r="F244" s="149">
        <v>565.5</v>
      </c>
      <c r="G244" s="18"/>
      <c r="H244" s="150" t="s">
        <v>270</v>
      </c>
      <c r="I244" s="162" t="s">
        <v>271</v>
      </c>
      <c r="J244" s="152" t="s">
        <v>37</v>
      </c>
      <c r="K244" s="153">
        <v>1857.0</v>
      </c>
      <c r="L244" s="22" t="str">
        <f>IFERROR(__xludf.DUMMYFUNCTION("filter($O$1:$O$200,$K$1:$K$200=N244)"),"#N/A")</f>
        <v>#N/A</v>
      </c>
      <c r="M244" s="22"/>
      <c r="N244" s="154">
        <v>1957.0</v>
      </c>
      <c r="O244" s="156">
        <v>0.0</v>
      </c>
      <c r="P244" s="156"/>
    </row>
    <row r="245">
      <c r="A245" s="146">
        <v>44371.0</v>
      </c>
      <c r="B245" s="147" t="str">
        <f>IFERROR(__xludf.DUMMYFUNCTION("FILTER($H$2:$H$445,$I$2:$I$445=D245)"),"Queens Chorale")</f>
        <v>Queens Chorale</v>
      </c>
      <c r="C245" s="147" t="str">
        <f>IFERROR(__xludf.DUMMYFUNCTION("filter($J$1:$J$500, $K$1:$K$500=D245)"),"Performing Arts")</f>
        <v>Performing Arts</v>
      </c>
      <c r="D245" s="148">
        <v>269.0</v>
      </c>
      <c r="F245" s="149">
        <v>600.0</v>
      </c>
      <c r="G245" s="18"/>
      <c r="H245" s="150" t="s">
        <v>272</v>
      </c>
      <c r="I245" s="151">
        <v>1396.0</v>
      </c>
      <c r="J245" s="152" t="s">
        <v>13</v>
      </c>
      <c r="K245" s="153">
        <v>1079.0</v>
      </c>
      <c r="L245" s="22" t="str">
        <f>IFERROR(__xludf.DUMMYFUNCTION("filter($O$1:$O$200,$K$1:$K$200=N245)"),"#N/A")</f>
        <v>#N/A</v>
      </c>
      <c r="M245" s="22"/>
      <c r="N245" s="154">
        <v>1883.0</v>
      </c>
      <c r="O245" s="156">
        <v>0.0</v>
      </c>
      <c r="P245" s="156"/>
    </row>
    <row r="246">
      <c r="A246" s="146">
        <v>44371.0</v>
      </c>
      <c r="B246" s="147" t="str">
        <f>IFERROR(__xludf.DUMMYFUNCTION("FILTER($H$2:$H$445,$I$2:$I$445=D246)"),"Swing Dance Club")</f>
        <v>Swing Dance Club</v>
      </c>
      <c r="C246" s="147" t="str">
        <f>IFERROR(__xludf.DUMMYFUNCTION("filter($J$1:$J$500, $K$1:$K$500=D246)"),"Performing Arts")</f>
        <v>Performing Arts</v>
      </c>
      <c r="D246" s="148">
        <v>1141.0</v>
      </c>
      <c r="F246" s="149">
        <v>617.0</v>
      </c>
      <c r="G246" s="18"/>
      <c r="H246" s="155" t="s">
        <v>273</v>
      </c>
      <c r="I246" s="151">
        <v>1703.0</v>
      </c>
      <c r="J246" s="152" t="s">
        <v>19</v>
      </c>
      <c r="K246" s="153">
        <v>1798.0</v>
      </c>
      <c r="L246" s="22">
        <f>IFERROR(__xludf.DUMMYFUNCTION("filter($O$1:$O$200,$K$1:$K$200=N246)"),0.0)</f>
        <v>0</v>
      </c>
      <c r="M246" s="22"/>
      <c r="N246" s="154">
        <v>1486.0</v>
      </c>
      <c r="O246" s="156">
        <v>150.0</v>
      </c>
      <c r="P246" s="156"/>
    </row>
    <row r="247">
      <c r="A247" s="146">
        <v>44371.0</v>
      </c>
      <c r="B247" s="147" t="str">
        <f>IFERROR(__xludf.DUMMYFUNCTION("FILTER($H$2:$H$445,$I$2:$I$445=D247)"),"Dhol Effect")</f>
        <v>Dhol Effect</v>
      </c>
      <c r="C247" s="147" t="str">
        <f>IFERROR(__xludf.DUMMYFUNCTION("filter($J$1:$J$500, $K$1:$K$500=D247)"),"Performing Arts")</f>
        <v>Performing Arts</v>
      </c>
      <c r="D247" s="148">
        <v>363.0</v>
      </c>
      <c r="F247" s="149">
        <v>733.0</v>
      </c>
      <c r="G247" s="18"/>
      <c r="H247" s="150" t="s">
        <v>274</v>
      </c>
      <c r="I247" s="151">
        <v>1121.0</v>
      </c>
      <c r="J247" s="152" t="s">
        <v>17</v>
      </c>
      <c r="K247" s="153">
        <v>1939.0</v>
      </c>
      <c r="L247" s="35">
        <f>IFERROR(__xludf.DUMMYFUNCTION("filter($O$1:$O$200,$K$1:$K$200=N247)"),300.0)</f>
        <v>300</v>
      </c>
      <c r="M247" s="22"/>
      <c r="N247" s="154">
        <v>1950.0</v>
      </c>
      <c r="O247" s="156">
        <v>0.0</v>
      </c>
      <c r="P247" s="156"/>
    </row>
    <row r="248">
      <c r="A248" s="146">
        <v>44371.0</v>
      </c>
      <c r="B248" s="147" t="str">
        <f>IFERROR(__xludf.DUMMYFUNCTION("FILTER($H$2:$H$445,$I$2:$I$445=D248)"),"Rutgers Tamash ")</f>
        <v>Rutgers Tamash </v>
      </c>
      <c r="C248" s="147" t="str">
        <f>IFERROR(__xludf.DUMMYFUNCTION("filter($J$1:$J$500, $K$1:$K$500=D248)"),"Performing Arts")</f>
        <v>Performing Arts</v>
      </c>
      <c r="D248" s="148">
        <v>1948.0</v>
      </c>
      <c r="F248" s="149">
        <v>833.0</v>
      </c>
      <c r="G248" s="18"/>
      <c r="H248" s="150" t="s">
        <v>275</v>
      </c>
      <c r="I248" s="151">
        <v>899.0</v>
      </c>
      <c r="J248" s="152" t="s">
        <v>22</v>
      </c>
      <c r="K248" s="153">
        <v>1391.0</v>
      </c>
      <c r="L248" s="35">
        <f>IFERROR(__xludf.DUMMYFUNCTION("filter($O$1:$O$200,$K$1:$K$200=N248)"),1000.0)</f>
        <v>1000</v>
      </c>
      <c r="M248" s="22"/>
      <c r="N248" s="154">
        <v>1231.0</v>
      </c>
      <c r="O248" s="156">
        <v>1650.0</v>
      </c>
      <c r="P248" s="156"/>
    </row>
    <row r="249">
      <c r="A249" s="146">
        <v>44371.0</v>
      </c>
      <c r="B249" s="147" t="str">
        <f>IFERROR(__xludf.DUMMYFUNCTION("FILTER($H$2:$H$445,$I$2:$I$445=D249)"),"University Choir")</f>
        <v>University Choir</v>
      </c>
      <c r="C249" s="147" t="str">
        <f>IFERROR(__xludf.DUMMYFUNCTION("filter($J$1:$J$500, $K$1:$K$500=D249)"),"Performing Arts")</f>
        <v>Performing Arts</v>
      </c>
      <c r="D249" s="148">
        <v>653.0</v>
      </c>
      <c r="F249" s="149">
        <v>945.0</v>
      </c>
      <c r="G249" s="18"/>
      <c r="H249" s="155" t="s">
        <v>276</v>
      </c>
      <c r="I249" s="151">
        <v>132.0</v>
      </c>
      <c r="J249" s="152" t="s">
        <v>25</v>
      </c>
      <c r="K249" s="153">
        <v>677.0</v>
      </c>
      <c r="L249" s="35">
        <f>IFERROR(__xludf.DUMMYFUNCTION("filter($O$1:$O$200,$K$1:$K$200=N249)"),800.0)</f>
        <v>800</v>
      </c>
      <c r="M249" s="22"/>
      <c r="N249" s="154">
        <v>271.0</v>
      </c>
      <c r="O249" s="156">
        <v>800.0</v>
      </c>
      <c r="P249" s="156"/>
    </row>
    <row r="250">
      <c r="A250" s="146">
        <v>44371.0</v>
      </c>
      <c r="B250" s="147" t="str">
        <f>IFERROR(__xludf.DUMMYFUNCTION("FILTER($H$2:$H$445,$I$2:$I$445=D250)"),"Kirkpatrick Choir ")</f>
        <v>Kirkpatrick Choir </v>
      </c>
      <c r="C250" s="147" t="str">
        <f>IFERROR(__xludf.DUMMYFUNCTION("filter($J$1:$J$500, $K$1:$K$500=D250)"),"Performing Arts")</f>
        <v>Performing Arts</v>
      </c>
      <c r="D250" s="148">
        <v>159.0</v>
      </c>
      <c r="F250" s="149">
        <v>950.0</v>
      </c>
      <c r="G250" s="18"/>
      <c r="H250" s="150" t="s">
        <v>277</v>
      </c>
      <c r="I250" s="151">
        <v>575.0</v>
      </c>
      <c r="J250" s="152" t="s">
        <v>13</v>
      </c>
      <c r="K250" s="153">
        <v>1157.0</v>
      </c>
      <c r="L250" s="35">
        <f>IFERROR(__xludf.DUMMYFUNCTION("filter($O$1:$O$200,$K$1:$K$200=N250)"),0.0)</f>
        <v>0</v>
      </c>
      <c r="M250" s="22"/>
      <c r="N250" s="154">
        <v>494.0</v>
      </c>
      <c r="O250" s="156">
        <v>400.0</v>
      </c>
      <c r="P250" s="156"/>
    </row>
    <row r="251">
      <c r="A251" s="146">
        <v>44371.0</v>
      </c>
      <c r="B251" s="147" t="str">
        <f>IFERROR(__xludf.DUMMYFUNCTION("FILTER($H$2:$H$445,$I$2:$I$445=D251)"),"First Light")</f>
        <v>First Light</v>
      </c>
      <c r="C251" s="147" t="str">
        <f>IFERROR(__xludf.DUMMYFUNCTION("filter($J$1:$J$500, $K$1:$K$500=D251)"),"Performing Arts")</f>
        <v>Performing Arts</v>
      </c>
      <c r="D251" s="148">
        <v>538.0</v>
      </c>
      <c r="F251" s="163">
        <v>1250.0</v>
      </c>
      <c r="G251" s="42"/>
      <c r="H251" s="155" t="s">
        <v>278</v>
      </c>
      <c r="I251" s="151">
        <v>1373.0</v>
      </c>
      <c r="J251" s="152" t="s">
        <v>22</v>
      </c>
      <c r="K251" s="153">
        <v>726.0</v>
      </c>
      <c r="L251" s="22" t="str">
        <f>IFERROR(__xludf.DUMMYFUNCTION("filter($O$1:$O$200,$K$1:$K$200=N251)"),"#N/A")</f>
        <v>#N/A</v>
      </c>
      <c r="M251" s="22"/>
      <c r="N251" s="154">
        <v>386.0</v>
      </c>
      <c r="O251" s="154">
        <v>877.0</v>
      </c>
      <c r="P251" s="154"/>
    </row>
    <row r="252">
      <c r="A252" s="146">
        <v>44371.0</v>
      </c>
      <c r="B252" s="147" t="str">
        <f>IFERROR(__xludf.DUMMYFUNCTION("FILTER($H$2:$H$445,$I$2:$I$445=D252)"),"ACDA")</f>
        <v>ACDA</v>
      </c>
      <c r="C252" s="147" t="str">
        <f>IFERROR(__xludf.DUMMYFUNCTION("filter($J$1:$J$500, $K$1:$K$500=D252)"),"Performing Arts")</f>
        <v>Performing Arts</v>
      </c>
      <c r="D252" s="148">
        <v>196.0</v>
      </c>
      <c r="F252" s="163">
        <v>1400.0</v>
      </c>
      <c r="G252" s="42"/>
      <c r="H252" s="150" t="s">
        <v>279</v>
      </c>
      <c r="I252" s="151">
        <v>380.0</v>
      </c>
      <c r="J252" s="152" t="s">
        <v>27</v>
      </c>
      <c r="K252" s="153">
        <v>1123.0</v>
      </c>
      <c r="L252" s="22" t="str">
        <f>IFERROR(__xludf.DUMMYFUNCTION("filter($O$1:$O$200,$K$1:$K$200=N252)"),"#N/A")</f>
        <v>#N/A</v>
      </c>
      <c r="M252" s="22"/>
      <c r="N252" s="154">
        <v>1777.0</v>
      </c>
      <c r="O252" s="156">
        <v>0.0</v>
      </c>
      <c r="P252" s="156"/>
    </row>
    <row r="253">
      <c r="A253" s="146">
        <v>44371.0</v>
      </c>
      <c r="B253" s="147" t="str">
        <f>IFERROR(__xludf.DUMMYFUNCTION("FILTER($H$2:$H$445,$I$2:$I$445=D253)"),"Rutgers Tamash ")</f>
        <v>Rutgers Tamash </v>
      </c>
      <c r="C253" s="147" t="str">
        <f>IFERROR(__xludf.DUMMYFUNCTION("filter($J$1:$J$500, $K$1:$K$500=D253)"),"Performing Arts")</f>
        <v>Performing Arts</v>
      </c>
      <c r="D253" s="148">
        <v>1948.0</v>
      </c>
      <c r="F253" s="163">
        <v>1440.0</v>
      </c>
      <c r="G253" s="42"/>
      <c r="H253" s="150" t="s">
        <v>280</v>
      </c>
      <c r="I253" s="151">
        <v>767.0</v>
      </c>
      <c r="J253" s="152" t="s">
        <v>34</v>
      </c>
      <c r="K253" s="153">
        <v>90.0</v>
      </c>
      <c r="L253" s="35">
        <f>IFERROR(__xludf.DUMMYFUNCTION("filter($O$1:$O$200,$K$1:$K$200=N253)"),170.0)</f>
        <v>170</v>
      </c>
      <c r="M253" s="22"/>
      <c r="N253" s="154">
        <v>1475.0</v>
      </c>
      <c r="O253" s="156">
        <v>300.0</v>
      </c>
      <c r="P253" s="156"/>
    </row>
    <row r="254">
      <c r="A254" s="146">
        <v>44371.0</v>
      </c>
      <c r="B254" s="147" t="str">
        <f>IFERROR(__xludf.DUMMYFUNCTION("FILTER($H$2:$H$445,$I$2:$I$445=D254)"),"Chinese Dance Troupe ")</f>
        <v>Chinese Dance Troupe </v>
      </c>
      <c r="C254" s="147" t="str">
        <f>IFERROR(__xludf.DUMMYFUNCTION("filter($J$1:$J$500, $K$1:$K$500=D254)"),"Performing Arts")</f>
        <v>Performing Arts</v>
      </c>
      <c r="D254" s="148">
        <v>178.0</v>
      </c>
      <c r="F254" s="163">
        <v>2374.76</v>
      </c>
      <c r="G254" s="42"/>
      <c r="H254" s="155" t="s">
        <v>281</v>
      </c>
      <c r="I254" s="151">
        <v>159.0</v>
      </c>
      <c r="J254" s="152" t="s">
        <v>25</v>
      </c>
      <c r="K254" s="153">
        <v>1125.0</v>
      </c>
      <c r="L254" s="35">
        <f>IFERROR(__xludf.DUMMYFUNCTION("filter($O$1:$O$200,$K$1:$K$200=N254)"),870.0)</f>
        <v>870</v>
      </c>
      <c r="M254" s="22"/>
      <c r="N254" s="154">
        <v>1141.0</v>
      </c>
      <c r="O254" s="154">
        <v>1100.0</v>
      </c>
      <c r="P254" s="154"/>
    </row>
    <row r="255">
      <c r="A255" s="146">
        <v>44371.0</v>
      </c>
      <c r="B255" s="147" t="str">
        <f>IFERROR(__xludf.DUMMYFUNCTION("FILTER($H$2:$H$445,$I$2:$I$445=D255)"),"Nuttin  but V.O.C.A.L.S.")</f>
        <v>Nuttin  but V.O.C.A.L.S.</v>
      </c>
      <c r="C255" s="147" t="str">
        <f>IFERROR(__xludf.DUMMYFUNCTION("filter($J$1:$J$500, $K$1:$K$500=D255)"),"Performing Arts")</f>
        <v>Performing Arts</v>
      </c>
      <c r="D255" s="148">
        <v>1334.0</v>
      </c>
      <c r="F255" s="163">
        <v>2400.0</v>
      </c>
      <c r="G255" s="42"/>
      <c r="H255" s="150" t="s">
        <v>282</v>
      </c>
      <c r="I255" s="151">
        <v>1323.0</v>
      </c>
      <c r="J255" s="152" t="s">
        <v>27</v>
      </c>
      <c r="K255" s="153">
        <v>405.0</v>
      </c>
      <c r="L255" s="35">
        <f>IFERROR(__xludf.DUMMYFUNCTION("filter($O$1:$O$200,$K$1:$K$200=N255)"),250.0)</f>
        <v>250</v>
      </c>
      <c r="M255" s="22"/>
      <c r="N255" s="154">
        <v>1292.0</v>
      </c>
      <c r="O255" s="156">
        <v>600.0</v>
      </c>
      <c r="P255" s="156"/>
    </row>
    <row r="256">
      <c r="A256" s="146">
        <v>44371.0</v>
      </c>
      <c r="B256" s="147" t="str">
        <f>IFERROR(__xludf.DUMMYFUNCTION("FILTER($H$2:$H$445,$I$2:$I$445=D256)"),"RU Bhangra")</f>
        <v>RU Bhangra</v>
      </c>
      <c r="C256" s="147" t="str">
        <f>IFERROR(__xludf.DUMMYFUNCTION("filter($J$1:$J$500, $K$1:$K$500=D256)"),"Performing Arts")</f>
        <v>Performing Arts</v>
      </c>
      <c r="D256" s="148">
        <v>587.0</v>
      </c>
      <c r="F256" s="163">
        <v>2500.0</v>
      </c>
      <c r="G256" s="42"/>
      <c r="H256" s="150" t="s">
        <v>283</v>
      </c>
      <c r="I256" s="151">
        <v>1411.0</v>
      </c>
      <c r="J256" s="152" t="s">
        <v>22</v>
      </c>
      <c r="K256" s="153">
        <v>707.0</v>
      </c>
      <c r="L256" s="35">
        <f>IFERROR(__xludf.DUMMYFUNCTION("filter($O$1:$O$200,$K$1:$K$200=N256)"),50.0)</f>
        <v>50</v>
      </c>
      <c r="M256" s="22"/>
      <c r="N256" s="154">
        <v>733.0</v>
      </c>
      <c r="O256" s="156">
        <v>1120.0</v>
      </c>
      <c r="P256" s="156"/>
    </row>
    <row r="257">
      <c r="A257" s="146">
        <v>44371.0</v>
      </c>
      <c r="B257" s="147" t="str">
        <f>IFERROR(__xludf.DUMMYFUNCTION("FILTER($H$2:$H$445,$I$2:$I$445=D257)"),"Liberated Gospel Choir")</f>
        <v>Liberated Gospel Choir</v>
      </c>
      <c r="C257" s="147" t="str">
        <f>IFERROR(__xludf.DUMMYFUNCTION("filter($J$1:$J$500, $K$1:$K$500=D257)"),"Performing Arts")</f>
        <v>Performing Arts</v>
      </c>
      <c r="D257" s="148">
        <v>677.0</v>
      </c>
      <c r="F257" s="163">
        <v>2739.0</v>
      </c>
      <c r="G257" s="42"/>
      <c r="H257" s="150" t="s">
        <v>284</v>
      </c>
      <c r="I257" s="151">
        <v>131.0</v>
      </c>
      <c r="J257" s="152" t="s">
        <v>37</v>
      </c>
      <c r="K257" s="153">
        <v>663.0</v>
      </c>
      <c r="L257" s="22" t="str">
        <f>IFERROR(__xludf.DUMMYFUNCTION("filter($O$1:$O$200,$K$1:$K$200=N257)"),"#N/A")</f>
        <v>#N/A</v>
      </c>
      <c r="M257" s="22"/>
      <c r="N257" s="154">
        <v>615.0</v>
      </c>
      <c r="O257" s="156">
        <v>0.0</v>
      </c>
      <c r="P257" s="156"/>
    </row>
    <row r="258">
      <c r="A258" s="146">
        <v>44371.0</v>
      </c>
      <c r="B258" s="147" t="str">
        <f>IFERROR(__xludf.DUMMYFUNCTION("FILTER($H$2:$H$445,$I$2:$I$445=D258)"),"Asian Acapella Group ")</f>
        <v>Asian Acapella Group </v>
      </c>
      <c r="C258" s="147" t="str">
        <f>IFERROR(__xludf.DUMMYFUNCTION("filter($J$1:$J$500, $K$1:$K$500=D258)"),"Performing Arts")</f>
        <v>Performing Arts</v>
      </c>
      <c r="D258" s="148">
        <v>98.0</v>
      </c>
      <c r="F258" s="163">
        <v>2822.0</v>
      </c>
      <c r="G258" s="42"/>
      <c r="H258" s="150" t="s">
        <v>285</v>
      </c>
      <c r="I258" s="151">
        <v>6.0</v>
      </c>
      <c r="J258" s="152" t="s">
        <v>15</v>
      </c>
      <c r="K258" s="153">
        <v>1193.0</v>
      </c>
      <c r="L258" s="22" t="str">
        <f>IFERROR(__xludf.DUMMYFUNCTION("filter($O$1:$O$200,$K$1:$K$200=N258)"),"#N/A")</f>
        <v>#N/A</v>
      </c>
      <c r="M258" s="22"/>
      <c r="N258" s="154">
        <v>1538.0</v>
      </c>
      <c r="O258" s="156">
        <v>0.0</v>
      </c>
      <c r="P258" s="156"/>
    </row>
    <row r="259">
      <c r="A259" s="146">
        <v>44371.0</v>
      </c>
      <c r="B259" s="147" t="str">
        <f>IFERROR(__xludf.DUMMYFUNCTION("FILTER($H$2:$H$445,$I$2:$I$445=D259)"),"Carbaret Theatre")</f>
        <v>Carbaret Theatre</v>
      </c>
      <c r="C259" s="147" t="str">
        <f>IFERROR(__xludf.DUMMYFUNCTION("filter($J$1:$J$500, $K$1:$K$500=D259)"),"Performing Arts")</f>
        <v>Performing Arts</v>
      </c>
      <c r="D259" s="148">
        <v>1023.0</v>
      </c>
      <c r="F259" s="163">
        <v>3485.03</v>
      </c>
      <c r="G259" s="42"/>
      <c r="H259" s="155" t="s">
        <v>286</v>
      </c>
      <c r="I259" s="151">
        <v>66.0</v>
      </c>
      <c r="J259" s="152" t="s">
        <v>22</v>
      </c>
      <c r="K259" s="153">
        <v>586.0</v>
      </c>
      <c r="L259" s="22" t="str">
        <f>IFERROR(__xludf.DUMMYFUNCTION("filter($O$1:$O$200,$K$1:$K$200=N259)"),"#N/A")</f>
        <v>#N/A</v>
      </c>
      <c r="M259" s="22"/>
      <c r="N259" s="154">
        <v>1274.0</v>
      </c>
      <c r="O259" s="156">
        <v>820.0</v>
      </c>
      <c r="P259" s="156"/>
    </row>
    <row r="260">
      <c r="A260" s="146">
        <v>44371.0</v>
      </c>
      <c r="B260" s="147" t="str">
        <f>IFERROR(__xludf.DUMMYFUNCTION("FILTER($H$2:$H$445,$I$2:$I$445=D260)"),"Livingston Theatre Company ")</f>
        <v>Livingston Theatre Company </v>
      </c>
      <c r="C260" s="147" t="str">
        <f>IFERROR(__xludf.DUMMYFUNCTION("filter($J$1:$J$500, $K$1:$K$500=D260)"),"Performing Arts")</f>
        <v>Performing Arts</v>
      </c>
      <c r="D260" s="148">
        <v>761.0</v>
      </c>
      <c r="F260" s="163">
        <v>4609.09</v>
      </c>
      <c r="G260" s="42"/>
      <c r="H260" s="150" t="s">
        <v>287</v>
      </c>
      <c r="I260" s="151">
        <v>1608.0</v>
      </c>
      <c r="J260" s="152" t="s">
        <v>27</v>
      </c>
      <c r="K260" s="153">
        <v>615.0</v>
      </c>
      <c r="L260" s="35">
        <f>IFERROR(__xludf.DUMMYFUNCTION("filter($O$1:$O$200,$K$1:$K$200=N260)"),0.0)</f>
        <v>0</v>
      </c>
      <c r="M260" s="22"/>
      <c r="N260" s="154">
        <v>1943.0</v>
      </c>
      <c r="O260" s="156">
        <v>0.0</v>
      </c>
      <c r="P260" s="156"/>
    </row>
    <row r="261">
      <c r="A261" s="164">
        <v>44371.0</v>
      </c>
      <c r="B261" s="165" t="str">
        <f>IFERROR(__xludf.DUMMYFUNCTION("FILTER($H$2:$H$445,$I$2:$I$445=D261)"),"RU Sister2Sister")</f>
        <v>RU Sister2Sister</v>
      </c>
      <c r="C261" s="165" t="str">
        <f>IFERROR(__xludf.DUMMYFUNCTION("filter($J$1:$J$500, $K$1:$K$500=D261)"),"Philanthropic")</f>
        <v>Philanthropic</v>
      </c>
      <c r="D261" s="166">
        <v>1951.0</v>
      </c>
      <c r="F261" s="167">
        <v>6.32</v>
      </c>
      <c r="G261" s="18"/>
      <c r="H261" s="168" t="s">
        <v>288</v>
      </c>
      <c r="I261" s="169">
        <v>745.0</v>
      </c>
      <c r="J261" s="170" t="s">
        <v>13</v>
      </c>
      <c r="K261" s="171">
        <v>75.0</v>
      </c>
      <c r="L261" s="35">
        <f>IFERROR(__xludf.DUMMYFUNCTION("filter($O$1:$O$200,$K$1:$K$200=N261)"),0.0)</f>
        <v>0</v>
      </c>
      <c r="M261" s="22"/>
      <c r="N261" s="172">
        <v>1822.0</v>
      </c>
      <c r="O261" s="173">
        <v>0.0</v>
      </c>
      <c r="P261" s="173"/>
    </row>
    <row r="262">
      <c r="A262" s="164">
        <v>44371.0</v>
      </c>
      <c r="B262" s="165" t="str">
        <f>IFERROR(__xludf.DUMMYFUNCTION("FILTER($H$2:$H$445,$I$2:$I$445=D262)"),"Rutgers University Knights for Autism Awareness")</f>
        <v>Rutgers University Knights for Autism Awareness</v>
      </c>
      <c r="C262" s="165" t="str">
        <f>IFERROR(__xludf.DUMMYFUNCTION("filter($J$1:$J$500, $K$1:$K$500=D262)"),"Philanthropic")</f>
        <v>Philanthropic</v>
      </c>
      <c r="D262" s="166">
        <v>1766.0</v>
      </c>
      <c r="F262" s="167">
        <v>30.0</v>
      </c>
      <c r="G262" s="18"/>
      <c r="H262" s="168" t="s">
        <v>289</v>
      </c>
      <c r="I262" s="169">
        <v>666.0</v>
      </c>
      <c r="J262" s="170" t="s">
        <v>19</v>
      </c>
      <c r="K262" s="171">
        <v>217.0</v>
      </c>
      <c r="L262" s="22" t="str">
        <f>IFERROR(__xludf.DUMMYFUNCTION("filter($O$1:$O$200,$K$1:$K$200=N262)"),"#N/A")</f>
        <v>#N/A</v>
      </c>
      <c r="M262" s="22"/>
      <c r="N262" s="172">
        <v>468.0</v>
      </c>
      <c r="O262" s="173">
        <v>0.0</v>
      </c>
      <c r="P262" s="173"/>
    </row>
    <row r="263">
      <c r="A263" s="164">
        <v>44371.0</v>
      </c>
      <c r="B263" s="165" t="str">
        <f>IFERROR(__xludf.DUMMYFUNCTION("FILTER($H$2:$H$445,$I$2:$I$445=D263)"),"Oxfam")</f>
        <v>Oxfam</v>
      </c>
      <c r="C263" s="165" t="str">
        <f>IFERROR(__xludf.DUMMYFUNCTION("filter($J$1:$J$500, $K$1:$K$500=D263)"),"Philanthropic")</f>
        <v>Philanthropic</v>
      </c>
      <c r="D263" s="166">
        <v>630.0</v>
      </c>
      <c r="F263" s="167">
        <v>50.0</v>
      </c>
      <c r="G263" s="18"/>
      <c r="H263" s="168" t="s">
        <v>290</v>
      </c>
      <c r="I263" s="169">
        <v>1873.0</v>
      </c>
      <c r="J263" s="170" t="s">
        <v>17</v>
      </c>
      <c r="K263" s="171">
        <v>691.0</v>
      </c>
      <c r="L263" s="22" t="str">
        <f>IFERROR(__xludf.DUMMYFUNCTION("filter($O$1:$O$200,$K$1:$K$200=N263)"),"#N/A")</f>
        <v>#N/A</v>
      </c>
      <c r="M263" s="22"/>
      <c r="N263" s="172">
        <v>357.0</v>
      </c>
      <c r="O263" s="173">
        <v>0.0</v>
      </c>
      <c r="P263" s="173"/>
    </row>
    <row r="264">
      <c r="A264" s="164">
        <v>44371.0</v>
      </c>
      <c r="B264" s="165" t="str">
        <f>IFERROR(__xludf.DUMMYFUNCTION("FILTER($H$2:$H$445,$I$2:$I$445=D264)"),"Pencils of Promise")</f>
        <v>Pencils of Promise</v>
      </c>
      <c r="C264" s="165" t="str">
        <f>IFERROR(__xludf.DUMMYFUNCTION("filter($J$1:$J$500, $K$1:$K$500=D264)"),"Philanthropic")</f>
        <v>Philanthropic</v>
      </c>
      <c r="D264" s="166">
        <v>1490.0</v>
      </c>
      <c r="F264" s="167">
        <v>100.0</v>
      </c>
      <c r="G264" s="18"/>
      <c r="H264" s="168" t="s">
        <v>291</v>
      </c>
      <c r="I264" s="169">
        <v>1510.0</v>
      </c>
      <c r="J264" s="170" t="s">
        <v>15</v>
      </c>
      <c r="K264" s="171">
        <v>346.0</v>
      </c>
      <c r="L264" s="35">
        <f>IFERROR(__xludf.DUMMYFUNCTION("filter($O$1:$O$200,$K$1:$K$200=N264)"),100.0)</f>
        <v>100</v>
      </c>
      <c r="M264" s="22"/>
      <c r="N264" s="172">
        <v>653.0</v>
      </c>
      <c r="O264" s="172">
        <v>1020.0</v>
      </c>
      <c r="P264" s="172"/>
    </row>
    <row r="265">
      <c r="A265" s="164">
        <v>44371.0</v>
      </c>
      <c r="B265" s="165" t="str">
        <f>IFERROR(__xludf.DUMMYFUNCTION("FILTER($H$2:$H$445,$I$2:$I$445=D265)"),"American Cancer Society on RU Campus")</f>
        <v>American Cancer Society on RU Campus</v>
      </c>
      <c r="C265" s="165" t="str">
        <f>IFERROR(__xludf.DUMMYFUNCTION("filter($J$1:$J$500, $K$1:$K$500=D265)"),"Philanthropic")</f>
        <v>Philanthropic</v>
      </c>
      <c r="D265" s="166">
        <v>748.0</v>
      </c>
      <c r="F265" s="167">
        <v>100.0</v>
      </c>
      <c r="G265" s="18"/>
      <c r="H265" s="174" t="s">
        <v>292</v>
      </c>
      <c r="I265" s="169">
        <v>1779.0</v>
      </c>
      <c r="J265" s="170" t="s">
        <v>13</v>
      </c>
      <c r="K265" s="171">
        <v>620.0</v>
      </c>
      <c r="L265" s="22" t="str">
        <f>IFERROR(__xludf.DUMMYFUNCTION("filter($O$1:$O$200,$K$1:$K$200=N265)"),"#N/A")</f>
        <v>#N/A</v>
      </c>
      <c r="M265" s="22"/>
      <c r="N265" s="172">
        <v>1193.0</v>
      </c>
      <c r="O265" s="173">
        <v>550.0</v>
      </c>
      <c r="P265" s="173"/>
    </row>
    <row r="266">
      <c r="A266" s="164">
        <v>44371.0</v>
      </c>
      <c r="B266" s="165" t="str">
        <f>IFERROR(__xludf.DUMMYFUNCTION("FILTER($H$2:$H$445,$I$2:$I$445=D266)"),"Save a Child's Heart")</f>
        <v>Save a Child's Heart</v>
      </c>
      <c r="C266" s="165" t="str">
        <f>IFERROR(__xludf.DUMMYFUNCTION("filter($J$1:$J$500, $K$1:$K$500=D266)"),"Philanthropic")</f>
        <v>Philanthropic</v>
      </c>
      <c r="D266" s="166">
        <v>1878.0</v>
      </c>
      <c r="F266" s="167">
        <v>118.0</v>
      </c>
      <c r="G266" s="18"/>
      <c r="H266" s="174" t="s">
        <v>293</v>
      </c>
      <c r="I266" s="169">
        <v>264.0</v>
      </c>
      <c r="J266" s="170" t="s">
        <v>17</v>
      </c>
      <c r="K266" s="171">
        <v>1437.0</v>
      </c>
      <c r="L266" s="35">
        <f>IFERROR(__xludf.DUMMYFUNCTION("filter($O$1:$O$200,$K$1:$K$200=N266)"),400.0)</f>
        <v>400</v>
      </c>
      <c r="M266" s="22"/>
      <c r="N266" s="172">
        <v>1084.0</v>
      </c>
      <c r="O266" s="173">
        <v>150.0</v>
      </c>
      <c r="P266" s="173"/>
    </row>
    <row r="267">
      <c r="A267" s="164">
        <v>44371.0</v>
      </c>
      <c r="B267" s="165" t="str">
        <f>IFERROR(__xludf.DUMMYFUNCTION("FILTER($H$2:$H$445,$I$2:$I$445=D267)"),"Baby Friendly Space Club")</f>
        <v>Baby Friendly Space Club</v>
      </c>
      <c r="C267" s="165" t="str">
        <f>IFERROR(__xludf.DUMMYFUNCTION("filter($J$1:$J$500, $K$1:$K$500=D267)"),"Philanthropic")</f>
        <v>Philanthropic</v>
      </c>
      <c r="D267" s="166">
        <v>1946.0</v>
      </c>
      <c r="F267" s="167">
        <v>130.0</v>
      </c>
      <c r="G267" s="18"/>
      <c r="H267" s="168" t="s">
        <v>294</v>
      </c>
      <c r="I267" s="169">
        <v>746.0</v>
      </c>
      <c r="J267" s="170" t="s">
        <v>13</v>
      </c>
      <c r="K267" s="171">
        <v>96.0</v>
      </c>
      <c r="L267" s="22">
        <f>IFERROR(__xludf.DUMMYFUNCTION("filter($O$1:$O$200,$K$1:$K$200=N267)"),2780.0)</f>
        <v>2780</v>
      </c>
      <c r="M267" s="22"/>
      <c r="N267" s="172">
        <v>352.0</v>
      </c>
      <c r="O267" s="173">
        <v>100.0</v>
      </c>
      <c r="P267" s="173"/>
    </row>
    <row r="268">
      <c r="A268" s="164">
        <v>44371.0</v>
      </c>
      <c r="B268" s="165" t="str">
        <f>IFERROR(__xludf.DUMMYFUNCTION("FILTER($H$2:$H$445,$I$2:$I$445=D268)"),"Into the Light")</f>
        <v>Into the Light</v>
      </c>
      <c r="C268" s="165" t="str">
        <f>IFERROR(__xludf.DUMMYFUNCTION("filter($J$1:$J$500, $K$1:$K$500=D268)"),"Philanthropic")</f>
        <v>Philanthropic</v>
      </c>
      <c r="D268" s="166">
        <v>1866.0</v>
      </c>
      <c r="F268" s="167">
        <v>154.0</v>
      </c>
      <c r="G268" s="18"/>
      <c r="H268" s="174" t="s">
        <v>295</v>
      </c>
      <c r="I268" s="169">
        <v>1490.0</v>
      </c>
      <c r="J268" s="170" t="s">
        <v>25</v>
      </c>
      <c r="K268" s="171">
        <v>1467.0</v>
      </c>
      <c r="L268" s="22" t="str">
        <f>IFERROR(__xludf.DUMMYFUNCTION("filter($O$1:$O$200,$K$1:$K$200=N268)"),"#N/A")</f>
        <v>#N/A</v>
      </c>
      <c r="M268" s="22"/>
      <c r="N268" s="172">
        <v>1416.0</v>
      </c>
      <c r="O268" s="173">
        <v>140.0</v>
      </c>
      <c r="P268" s="173"/>
    </row>
    <row r="269">
      <c r="A269" s="164">
        <v>44371.0</v>
      </c>
      <c r="B269" s="165" t="str">
        <f>IFERROR(__xludf.DUMMYFUNCTION("FILTER($H$2:$H$445,$I$2:$I$445=D269)"),"Pencils of Promise")</f>
        <v>Pencils of Promise</v>
      </c>
      <c r="C269" s="165" t="str">
        <f>IFERROR(__xludf.DUMMYFUNCTION("filter($J$1:$J$500, $K$1:$K$500=D269)"),"Philanthropic")</f>
        <v>Philanthropic</v>
      </c>
      <c r="D269" s="166">
        <v>1490.0</v>
      </c>
      <c r="F269" s="167">
        <v>154.0</v>
      </c>
      <c r="G269" s="18"/>
      <c r="H269" s="168" t="s">
        <v>296</v>
      </c>
      <c r="I269" s="169">
        <v>1292.0</v>
      </c>
      <c r="J269" s="170" t="s">
        <v>22</v>
      </c>
      <c r="K269" s="171">
        <v>1656.0</v>
      </c>
      <c r="L269" s="35">
        <f>IFERROR(__xludf.DUMMYFUNCTION("filter($O$1:$O$200,$K$1:$K$200=N269)"),0.0)</f>
        <v>0</v>
      </c>
      <c r="M269" s="22"/>
      <c r="N269" s="172">
        <v>1653.0</v>
      </c>
      <c r="O269" s="173">
        <v>0.0</v>
      </c>
      <c r="P269" s="173"/>
    </row>
    <row r="270">
      <c r="A270" s="164">
        <v>44371.0</v>
      </c>
      <c r="B270" s="165" t="str">
        <f>IFERROR(__xludf.DUMMYFUNCTION("FILTER($H$2:$H$445,$I$2:$I$445=D270)"),"American Cancer Society on RU Campus")</f>
        <v>American Cancer Society on RU Campus</v>
      </c>
      <c r="C270" s="165" t="str">
        <f>IFERROR(__xludf.DUMMYFUNCTION("filter($J$1:$J$500, $K$1:$K$500=D270)"),"Philanthropic")</f>
        <v>Philanthropic</v>
      </c>
      <c r="D270" s="166">
        <v>748.0</v>
      </c>
      <c r="F270" s="167">
        <v>168.0</v>
      </c>
      <c r="G270" s="18"/>
      <c r="H270" s="174" t="s">
        <v>297</v>
      </c>
      <c r="I270" s="169">
        <v>1835.0</v>
      </c>
      <c r="J270" s="170" t="s">
        <v>17</v>
      </c>
      <c r="K270" s="171">
        <v>1831.0</v>
      </c>
      <c r="L270" s="35" t="str">
        <f>IFERROR(__xludf.DUMMYFUNCTION("filter($O$1:$O$200,$K$1:$K$200=N270)"),"#REF!")</f>
        <v>#REF!</v>
      </c>
      <c r="M270" s="22"/>
      <c r="N270" s="171"/>
      <c r="O270" s="171"/>
      <c r="P270" s="171"/>
    </row>
    <row r="271">
      <c r="A271" s="164">
        <v>44371.0</v>
      </c>
      <c r="B271" s="165" t="str">
        <f>IFERROR(__xludf.DUMMYFUNCTION("FILTER($H$2:$H$445,$I$2:$I$445=D271)"),"Into the Light")</f>
        <v>Into the Light</v>
      </c>
      <c r="C271" s="165" t="str">
        <f>IFERROR(__xludf.DUMMYFUNCTION("filter($J$1:$J$500, $K$1:$K$500=D271)"),"Philanthropic")</f>
        <v>Philanthropic</v>
      </c>
      <c r="D271" s="166">
        <v>1866.0</v>
      </c>
      <c r="F271" s="167">
        <v>180.0</v>
      </c>
      <c r="G271" s="18"/>
      <c r="H271" s="168" t="s">
        <v>298</v>
      </c>
      <c r="I271" s="169">
        <v>675.0</v>
      </c>
      <c r="J271" s="170" t="s">
        <v>27</v>
      </c>
      <c r="K271" s="171">
        <v>157.0</v>
      </c>
      <c r="L271" s="22" t="str">
        <f>IFERROR(__xludf.DUMMYFUNCTION("filter($O$1:$O$200,$K$1:$K$200=N271)"),"#N/A")</f>
        <v>#N/A</v>
      </c>
      <c r="M271" s="22"/>
      <c r="N271" s="172">
        <v>347.0</v>
      </c>
      <c r="O271" s="173">
        <v>1060.0</v>
      </c>
      <c r="P271" s="173"/>
    </row>
    <row r="272">
      <c r="A272" s="164">
        <v>44371.0</v>
      </c>
      <c r="B272" s="165" t="str">
        <f>IFERROR(__xludf.DUMMYFUNCTION("FILTER($H$2:$H$445,$I$2:$I$445=D272)"),"Ronald McDonald House Charities Club (RMHC)")</f>
        <v>Ronald McDonald House Charities Club (RMHC)</v>
      </c>
      <c r="C272" s="165" t="str">
        <f>IFERROR(__xludf.DUMMYFUNCTION("filter($J$1:$J$500, $K$1:$K$500=D272)"),"Philanthropic")</f>
        <v>Philanthropic</v>
      </c>
      <c r="D272" s="166">
        <v>1593.0</v>
      </c>
      <c r="F272" s="167">
        <v>205.0</v>
      </c>
      <c r="G272" s="18"/>
      <c r="H272" s="168" t="s">
        <v>299</v>
      </c>
      <c r="I272" s="169">
        <v>1882.0</v>
      </c>
      <c r="J272" s="170" t="s">
        <v>43</v>
      </c>
      <c r="K272" s="171">
        <v>1579.0</v>
      </c>
      <c r="L272" s="22" t="str">
        <f>IFERROR(__xludf.DUMMYFUNCTION("filter($O$1:$O$200,$K$1:$K$200=N272)"),"#N/A")</f>
        <v>#N/A</v>
      </c>
      <c r="M272" s="22"/>
      <c r="N272" s="172">
        <v>1191.0</v>
      </c>
      <c r="O272" s="173">
        <v>1350.0</v>
      </c>
      <c r="P272" s="173"/>
    </row>
    <row r="273">
      <c r="A273" s="164">
        <v>44371.0</v>
      </c>
      <c r="B273" s="165" t="str">
        <f>IFERROR(__xludf.DUMMYFUNCTION("FILTER($H$2:$H$445,$I$2:$I$445=D273)"),"PERIOD")</f>
        <v>PERIOD</v>
      </c>
      <c r="C273" s="165" t="str">
        <f>IFERROR(__xludf.DUMMYFUNCTION("filter($J$1:$J$500, $K$1:$K$500=D273)"),"Philanthropic")</f>
        <v>Philanthropic</v>
      </c>
      <c r="D273" s="166">
        <v>1938.0</v>
      </c>
      <c r="F273" s="167">
        <v>253.0</v>
      </c>
      <c r="G273" s="18"/>
      <c r="H273" s="174" t="s">
        <v>300</v>
      </c>
      <c r="I273" s="169">
        <v>1251.0</v>
      </c>
      <c r="J273" s="170" t="s">
        <v>15</v>
      </c>
      <c r="K273" s="171">
        <v>1410.0</v>
      </c>
      <c r="L273" s="22" t="str">
        <f>IFERROR(__xludf.DUMMYFUNCTION("filter($O$1:$O$200,$K$1:$K$200=N273)"),"#N/A")</f>
        <v>#N/A</v>
      </c>
      <c r="M273" s="22"/>
      <c r="N273" s="172">
        <v>1578.0</v>
      </c>
      <c r="O273" s="173">
        <v>340.0</v>
      </c>
      <c r="P273" s="173"/>
    </row>
    <row r="274">
      <c r="A274" s="164">
        <v>44371.0</v>
      </c>
      <c r="B274" s="165" t="str">
        <f>IFERROR(__xludf.DUMMYFUNCTION("FILTER($H$2:$H$445,$I$2:$I$445=D274)"),"UNICEF")</f>
        <v>UNICEF</v>
      </c>
      <c r="C274" s="165" t="str">
        <f>IFERROR(__xludf.DUMMYFUNCTION("filter($J$1:$J$500, $K$1:$K$500=D274)"),"Philanthropic")</f>
        <v>Philanthropic</v>
      </c>
      <c r="D274" s="166">
        <v>628.0</v>
      </c>
      <c r="F274" s="167">
        <v>300.0</v>
      </c>
      <c r="G274" s="18"/>
      <c r="H274" s="168" t="s">
        <v>301</v>
      </c>
      <c r="I274" s="169">
        <v>1347.0</v>
      </c>
      <c r="J274" s="170" t="s">
        <v>25</v>
      </c>
      <c r="K274" s="171">
        <v>697.0</v>
      </c>
      <c r="L274" s="22" t="str">
        <f>IFERROR(__xludf.DUMMYFUNCTION("filter($O$1:$O$200,$K$1:$K$200=N274)"),"#N/A")</f>
        <v>#N/A</v>
      </c>
      <c r="M274" s="22"/>
      <c r="N274" s="172">
        <v>1886.0</v>
      </c>
      <c r="O274" s="173">
        <v>300.0</v>
      </c>
      <c r="P274" s="173"/>
    </row>
    <row r="275">
      <c r="A275" s="164">
        <v>44371.0</v>
      </c>
      <c r="B275" s="165" t="str">
        <f>IFERROR(__xludf.DUMMYFUNCTION("FILTER($H$2:$H$445,$I$2:$I$445=D275)"),"The Ashley Lauren Foundation")</f>
        <v>The Ashley Lauren Foundation</v>
      </c>
      <c r="C275" s="165" t="str">
        <f>IFERROR(__xludf.DUMMYFUNCTION("filter($J$1:$J$500, $K$1:$K$500=D275)"),"Philanthropic")</f>
        <v>Philanthropic</v>
      </c>
      <c r="D275" s="166">
        <v>1486.0</v>
      </c>
      <c r="F275" s="167">
        <v>331.0</v>
      </c>
      <c r="G275" s="18"/>
      <c r="H275" s="174" t="s">
        <v>302</v>
      </c>
      <c r="I275" s="169">
        <v>333.0</v>
      </c>
      <c r="J275" s="170" t="s">
        <v>17</v>
      </c>
      <c r="K275" s="171">
        <v>1662.0</v>
      </c>
      <c r="L275" s="35" t="str">
        <f>IFERROR(__xludf.DUMMYFUNCTION("filter($O$1:$O$200,$K$1:$K$200=N275)"),"#REF!")</f>
        <v>#REF!</v>
      </c>
      <c r="M275" s="22"/>
      <c r="N275" s="171"/>
      <c r="O275" s="171"/>
      <c r="P275" s="171"/>
    </row>
    <row r="276">
      <c r="A276" s="164">
        <v>44371.0</v>
      </c>
      <c r="B276" s="165" t="str">
        <f>IFERROR(__xludf.DUMMYFUNCTION("FILTER($H$2:$H$445,$I$2:$I$445=D276)"),"PERIOD")</f>
        <v>PERIOD</v>
      </c>
      <c r="C276" s="165" t="str">
        <f>IFERROR(__xludf.DUMMYFUNCTION("filter($J$1:$J$500, $K$1:$K$500=D276)"),"Philanthropic")</f>
        <v>Philanthropic</v>
      </c>
      <c r="D276" s="166">
        <v>1938.0</v>
      </c>
      <c r="F276" s="167">
        <v>362.9</v>
      </c>
      <c r="G276" s="18"/>
      <c r="H276" s="168" t="s">
        <v>303</v>
      </c>
      <c r="I276" s="169">
        <v>1972.0</v>
      </c>
      <c r="J276" s="168" t="s">
        <v>22</v>
      </c>
      <c r="K276" s="171">
        <v>128.0</v>
      </c>
      <c r="L276" s="35">
        <f>IFERROR(__xludf.DUMMYFUNCTION("filter($O$1:$O$200,$K$1:$K$200=N276)"),900.0)</f>
        <v>900</v>
      </c>
      <c r="M276" s="22"/>
      <c r="N276" s="172">
        <v>1754.0</v>
      </c>
      <c r="O276" s="173">
        <v>200.0</v>
      </c>
      <c r="P276" s="173"/>
    </row>
    <row r="277">
      <c r="A277" s="164">
        <v>44371.0</v>
      </c>
      <c r="B277" s="165" t="str">
        <f>IFERROR(__xludf.DUMMYFUNCTION("FILTER($H$2:$H$445,$I$2:$I$445=D277)"),"Operation Smile")</f>
        <v>Operation Smile</v>
      </c>
      <c r="C277" s="165" t="str">
        <f>IFERROR(__xludf.DUMMYFUNCTION("filter($J$1:$J$500, $K$1:$K$500=D277)"),"Philanthropic")</f>
        <v>Philanthropic</v>
      </c>
      <c r="D277" s="166">
        <v>232.0</v>
      </c>
      <c r="F277" s="167">
        <v>433.12</v>
      </c>
      <c r="G277" s="18"/>
      <c r="H277" s="174" t="s">
        <v>304</v>
      </c>
      <c r="I277" s="169">
        <v>1475.0</v>
      </c>
      <c r="J277" s="170" t="s">
        <v>30</v>
      </c>
      <c r="K277" s="171">
        <v>1957.0</v>
      </c>
      <c r="L277" s="35" t="str">
        <f>IFERROR(__xludf.DUMMYFUNCTION("filter($O$1:$O$200,$K$1:$K$200=N277)"),"#REF!")</f>
        <v>#REF!</v>
      </c>
      <c r="M277" s="22"/>
      <c r="N277" s="171"/>
      <c r="O277" s="171"/>
      <c r="P277" s="175">
        <f>AVERAGE(F251:F277)</f>
        <v>1040.563704</v>
      </c>
    </row>
    <row r="278">
      <c r="A278" s="164">
        <v>44371.0</v>
      </c>
      <c r="B278" s="165" t="str">
        <f>IFERROR(__xludf.DUMMYFUNCTION("FILTER($H$2:$H$445,$I$2:$I$445=D278)"),"Operation Smile")</f>
        <v>Operation Smile</v>
      </c>
      <c r="C278" s="165" t="str">
        <f>IFERROR(__xludf.DUMMYFUNCTION("filter($J$1:$J$500, $K$1:$K$500=D278)"),"Philanthropic")</f>
        <v>Philanthropic</v>
      </c>
      <c r="D278" s="166">
        <v>232.0</v>
      </c>
      <c r="F278" s="167">
        <v>440.14</v>
      </c>
      <c r="G278" s="18"/>
      <c r="H278" s="174" t="s">
        <v>305</v>
      </c>
      <c r="I278" s="169">
        <v>21.0</v>
      </c>
      <c r="J278" s="170" t="s">
        <v>43</v>
      </c>
      <c r="K278" s="171">
        <v>1091.0</v>
      </c>
      <c r="L278" s="22" t="str">
        <f>IFERROR(__xludf.DUMMYFUNCTION("filter($O$1:$O$200,$K$1:$K$200=N278)"),"#N/A")</f>
        <v>#N/A</v>
      </c>
      <c r="M278" s="22"/>
      <c r="N278" s="172">
        <v>209.0</v>
      </c>
      <c r="O278" s="173">
        <v>1300.0</v>
      </c>
      <c r="P278" s="173"/>
    </row>
    <row r="279">
      <c r="A279" s="164">
        <v>44371.0</v>
      </c>
      <c r="B279" s="165" t="str">
        <f>IFERROR(__xludf.DUMMYFUNCTION("FILTER($H$2:$H$445,$I$2:$I$445=D279)"),"UNICEF")</f>
        <v>UNICEF</v>
      </c>
      <c r="C279" s="165" t="str">
        <f>IFERROR(__xludf.DUMMYFUNCTION("filter($J$1:$J$500, $K$1:$K$500=D279)"),"Philanthropic")</f>
        <v>Philanthropic</v>
      </c>
      <c r="D279" s="166">
        <v>628.0</v>
      </c>
      <c r="F279" s="167">
        <v>449.0</v>
      </c>
      <c r="G279" s="18"/>
      <c r="H279" s="168" t="s">
        <v>306</v>
      </c>
      <c r="I279" s="169">
        <v>1880.0</v>
      </c>
      <c r="J279" s="170" t="s">
        <v>43</v>
      </c>
      <c r="K279" s="171">
        <v>1876.0</v>
      </c>
      <c r="L279" s="35" t="str">
        <f>IFERROR(__xludf.DUMMYFUNCTION("filter($O$1:$O$200,$K$1:$K$200=N279)"),"#REF!")</f>
        <v>#REF!</v>
      </c>
      <c r="M279" s="22"/>
      <c r="N279" s="171"/>
      <c r="O279" s="171"/>
      <c r="P279" s="171"/>
    </row>
    <row r="280">
      <c r="A280" s="164">
        <v>44371.0</v>
      </c>
      <c r="B280" s="165" t="str">
        <f>IFERROR(__xludf.DUMMYFUNCTION("FILTER($H$2:$H$445,$I$2:$I$445=D280)"),"Alzheimer's Buddies")</f>
        <v>Alzheimer's Buddies</v>
      </c>
      <c r="C280" s="165" t="str">
        <f>IFERROR(__xludf.DUMMYFUNCTION("filter($J$1:$J$500, $K$1:$K$500=D280)"),"Philanthropic")</f>
        <v>Philanthropic</v>
      </c>
      <c r="D280" s="166">
        <v>1877.0</v>
      </c>
      <c r="F280" s="167">
        <v>470.0</v>
      </c>
      <c r="G280" s="18"/>
      <c r="H280" s="168" t="s">
        <v>307</v>
      </c>
      <c r="I280" s="169">
        <v>295.0</v>
      </c>
      <c r="J280" s="170" t="s">
        <v>15</v>
      </c>
      <c r="K280" s="171">
        <v>148.0</v>
      </c>
      <c r="L280" s="22" t="str">
        <f>IFERROR(__xludf.DUMMYFUNCTION("filter($O$1:$O$200,$K$1:$K$200=N280)"),"#N/A")</f>
        <v>#N/A</v>
      </c>
      <c r="M280" s="22"/>
      <c r="N280" s="172">
        <v>628.0</v>
      </c>
      <c r="O280" s="173">
        <v>300.0</v>
      </c>
      <c r="P280" s="173"/>
    </row>
    <row r="281">
      <c r="A281" s="164">
        <v>44371.0</v>
      </c>
      <c r="B281" s="165" t="str">
        <f>IFERROR(__xludf.DUMMYFUNCTION("FILTER($H$2:$H$445,$I$2:$I$445=D281)"),"Ronald McDonald House Charities Club (RMHC)")</f>
        <v>Ronald McDonald House Charities Club (RMHC)</v>
      </c>
      <c r="C281" s="165" t="str">
        <f>IFERROR(__xludf.DUMMYFUNCTION("filter($J$1:$J$500, $K$1:$K$500=D281)"),"Philanthropic")</f>
        <v>Philanthropic</v>
      </c>
      <c r="D281" s="166">
        <v>1593.0</v>
      </c>
      <c r="F281" s="167">
        <v>496.1</v>
      </c>
      <c r="G281" s="18"/>
      <c r="H281" s="168" t="s">
        <v>308</v>
      </c>
      <c r="I281" s="169">
        <v>1871.0</v>
      </c>
      <c r="J281" s="168" t="s">
        <v>22</v>
      </c>
      <c r="K281" s="171">
        <v>296.0</v>
      </c>
      <c r="L281" s="22" t="str">
        <f>IFERROR(__xludf.DUMMYFUNCTION("filter($O$1:$O$200,$K$1:$K$200=N281)"),"#N/A")</f>
        <v>#N/A</v>
      </c>
      <c r="M281" s="22"/>
      <c r="N281" s="172">
        <v>1318.0</v>
      </c>
      <c r="O281" s="173">
        <v>4190.0</v>
      </c>
      <c r="P281" s="173"/>
    </row>
    <row r="282">
      <c r="A282" s="164">
        <v>44371.0</v>
      </c>
      <c r="B282" s="165" t="str">
        <f>IFERROR(__xludf.DUMMYFUNCTION("FILTER($H$2:$H$445,$I$2:$I$445=D282)"),"Rutgers University Knights for Autism Awareness")</f>
        <v>Rutgers University Knights for Autism Awareness</v>
      </c>
      <c r="C282" s="165" t="str">
        <f>IFERROR(__xludf.DUMMYFUNCTION("filter($J$1:$J$500, $K$1:$K$500=D282)"),"Philanthropic")</f>
        <v>Philanthropic</v>
      </c>
      <c r="D282" s="166">
        <v>1766.0</v>
      </c>
      <c r="F282" s="167">
        <v>696.0</v>
      </c>
      <c r="G282" s="18"/>
      <c r="H282" s="174" t="s">
        <v>309</v>
      </c>
      <c r="I282" s="169">
        <v>676.0</v>
      </c>
      <c r="J282" s="170" t="s">
        <v>13</v>
      </c>
      <c r="K282" s="171">
        <v>1510.0</v>
      </c>
      <c r="L282" s="35">
        <f>IFERROR(__xludf.DUMMYFUNCTION("filter($O$1:$O$200,$K$1:$K$200=N282)"),750.0)</f>
        <v>750</v>
      </c>
      <c r="M282" s="22"/>
      <c r="N282" s="172">
        <v>741.0</v>
      </c>
      <c r="O282" s="173">
        <v>0.0</v>
      </c>
      <c r="P282" s="173"/>
    </row>
    <row r="283">
      <c r="A283" s="164">
        <v>44371.0</v>
      </c>
      <c r="B283" s="165" t="str">
        <f>IFERROR(__xludf.DUMMYFUNCTION("FILTER($H$2:$H$445,$I$2:$I$445=D283)"),"Palestine Children's Relief Fund")</f>
        <v>Palestine Children's Relief Fund</v>
      </c>
      <c r="C283" s="165" t="str">
        <f>IFERROR(__xludf.DUMMYFUNCTION("filter($J$1:$J$500, $K$1:$K$500=D283)"),"Philanthropic")</f>
        <v>Philanthropic</v>
      </c>
      <c r="D283" s="166">
        <v>1184.0</v>
      </c>
      <c r="F283" s="167">
        <v>999.0</v>
      </c>
      <c r="G283" s="18"/>
      <c r="H283" s="168" t="s">
        <v>310</v>
      </c>
      <c r="I283" s="169">
        <v>301.0</v>
      </c>
      <c r="J283" s="170" t="s">
        <v>27</v>
      </c>
      <c r="K283" s="171">
        <v>1795.0</v>
      </c>
      <c r="L283" s="35" t="str">
        <f>IFERROR(__xludf.DUMMYFUNCTION("filter($O$1:$O$200,$K$1:$K$200=N283)"),"#REF!")</f>
        <v>#REF!</v>
      </c>
      <c r="M283" s="22"/>
      <c r="N283" s="171"/>
      <c r="O283" s="171"/>
      <c r="P283" s="171"/>
    </row>
    <row r="284">
      <c r="A284" s="164">
        <v>44371.0</v>
      </c>
      <c r="B284" s="165" t="str">
        <f>IFERROR(__xludf.DUMMYFUNCTION("FILTER($H$2:$H$445,$I$2:$I$445=D284)"),"Thaakat Foundation")</f>
        <v>Thaakat Foundation</v>
      </c>
      <c r="C284" s="165" t="str">
        <f>IFERROR(__xludf.DUMMYFUNCTION("filter($J$1:$J$500, $K$1:$K$500=D284)"),"Philanthropic")</f>
        <v>Philanthropic</v>
      </c>
      <c r="D284" s="166">
        <v>1231.0</v>
      </c>
      <c r="F284" s="176">
        <v>1330.0</v>
      </c>
      <c r="G284" s="42"/>
      <c r="H284" s="168" t="s">
        <v>311</v>
      </c>
      <c r="I284" s="169">
        <v>1908.0</v>
      </c>
      <c r="J284" s="170" t="s">
        <v>22</v>
      </c>
      <c r="K284" s="171">
        <v>1772.0</v>
      </c>
      <c r="L284" s="35" t="str">
        <f>IFERROR(__xludf.DUMMYFUNCTION("filter($O$1:$O$200,$K$1:$K$200=N284)"),"#REF!")</f>
        <v>#REF!</v>
      </c>
      <c r="M284" s="22"/>
      <c r="N284" s="171"/>
      <c r="O284" s="173">
        <v>232598.88</v>
      </c>
      <c r="P284" s="173"/>
    </row>
    <row r="285">
      <c r="A285" s="164">
        <v>44371.0</v>
      </c>
      <c r="B285" s="165" t="str">
        <f>IFERROR(__xludf.DUMMYFUNCTION("FILTER($H$2:$H$445,$I$2:$I$445=D285)"),"United Muslim Relief")</f>
        <v>United Muslim Relief</v>
      </c>
      <c r="C285" s="165" t="str">
        <f>IFERROR(__xludf.DUMMYFUNCTION("filter($J$1:$J$500, $K$1:$K$500=D285)"),"Philanthropic")</f>
        <v>Philanthropic</v>
      </c>
      <c r="D285" s="166">
        <v>1318.0</v>
      </c>
      <c r="F285" s="176">
        <v>1584.03</v>
      </c>
      <c r="G285" s="42"/>
      <c r="H285" s="168" t="s">
        <v>312</v>
      </c>
      <c r="I285" s="169">
        <v>1474.0</v>
      </c>
      <c r="J285" s="170" t="s">
        <v>37</v>
      </c>
      <c r="K285" s="171">
        <v>415.0</v>
      </c>
      <c r="L285" s="22" t="str">
        <f>IFERROR(__xludf.DUMMYFUNCTION("filter($O$1:$O$200,$K$1:$K$200=N285)"),"#N/A")</f>
        <v>#N/A</v>
      </c>
      <c r="M285" s="22"/>
      <c r="N285" s="172">
        <v>1391.0</v>
      </c>
      <c r="O285" s="173">
        <v>1500.0</v>
      </c>
      <c r="P285" s="173"/>
    </row>
    <row r="286">
      <c r="A286" s="164">
        <v>44371.0</v>
      </c>
      <c r="B286" s="165" t="str">
        <f>IFERROR(__xludf.DUMMYFUNCTION("FILTER($H$2:$H$445,$I$2:$I$445=D286)"),"United Muslim Relief")</f>
        <v>United Muslim Relief</v>
      </c>
      <c r="C286" s="165" t="str">
        <f>IFERROR(__xludf.DUMMYFUNCTION("filter($J$1:$J$500, $K$1:$K$500=D286)"),"Philanthropic")</f>
        <v>Philanthropic</v>
      </c>
      <c r="D286" s="166">
        <v>1318.0</v>
      </c>
      <c r="F286" s="176">
        <v>1849.96</v>
      </c>
      <c r="G286" s="42"/>
      <c r="H286" s="174" t="s">
        <v>313</v>
      </c>
      <c r="I286" s="169">
        <v>1826.0</v>
      </c>
      <c r="J286" s="170" t="s">
        <v>15</v>
      </c>
      <c r="K286" s="171">
        <v>1750.0</v>
      </c>
      <c r="L286" s="35" t="str">
        <f>IFERROR(__xludf.DUMMYFUNCTION("filter($O$1:$O$200,$K$1:$K$200=N286)"),"#REF!")</f>
        <v>#REF!</v>
      </c>
      <c r="M286" s="22"/>
      <c r="N286" s="171"/>
      <c r="O286" s="171"/>
      <c r="P286" s="171"/>
    </row>
    <row r="287">
      <c r="A287" s="164">
        <v>44371.0</v>
      </c>
      <c r="B287" s="165" t="str">
        <f>IFERROR(__xludf.DUMMYFUNCTION("FILTER($H$2:$H$445,$I$2:$I$445=D287)"),"Palestine Children's Relief Fund")</f>
        <v>Palestine Children's Relief Fund</v>
      </c>
      <c r="C287" s="165" t="str">
        <f>IFERROR(__xludf.DUMMYFUNCTION("filter($J$1:$J$500, $K$1:$K$500=D287)"),"Philanthropic")</f>
        <v>Philanthropic</v>
      </c>
      <c r="D287" s="166">
        <v>1184.0</v>
      </c>
      <c r="F287" s="176">
        <v>3775.93</v>
      </c>
      <c r="G287" s="42"/>
      <c r="H287" s="174" t="s">
        <v>314</v>
      </c>
      <c r="I287" s="169">
        <v>722.0</v>
      </c>
      <c r="J287" s="170" t="s">
        <v>19</v>
      </c>
      <c r="K287" s="171">
        <v>496.0</v>
      </c>
      <c r="L287" s="22" t="str">
        <f>IFERROR(__xludf.DUMMYFUNCTION("filter($O$1:$O$200,$K$1:$K$200=N287)"),"#N/A")</f>
        <v>#N/A</v>
      </c>
      <c r="M287" s="22"/>
      <c r="N287" s="172">
        <v>353.0</v>
      </c>
      <c r="O287" s="173">
        <v>1975.0</v>
      </c>
      <c r="P287" s="173"/>
    </row>
    <row r="288">
      <c r="A288" s="177">
        <v>44371.0</v>
      </c>
      <c r="B288" s="178" t="str">
        <f>IFERROR(__xludf.DUMMYFUNCTION("FILTER($H$2:$H$445,$I$2:$I$445=D288)"),"Women in Information Technology")</f>
        <v>Women in Information Technology</v>
      </c>
      <c r="C288" s="178" t="str">
        <f>IFERROR(__xludf.DUMMYFUNCTION("filter($J$1:$J$500, $K$1:$K$500=D288)"),"Pre-Professional")</f>
        <v>Pre-Professional</v>
      </c>
      <c r="D288" s="179">
        <v>1578.0</v>
      </c>
      <c r="F288" s="180">
        <v>38.12</v>
      </c>
      <c r="G288" s="18"/>
      <c r="H288" s="181" t="s">
        <v>315</v>
      </c>
      <c r="I288" s="182">
        <v>1978.0</v>
      </c>
      <c r="J288" s="183" t="s">
        <v>25</v>
      </c>
      <c r="K288" s="184">
        <v>320.0</v>
      </c>
      <c r="L288" s="35" t="str">
        <f>IFERROR(__xludf.DUMMYFUNCTION("filter($O$1:$O$200,$K$1:$K$200=N288)"),"#REF!")</f>
        <v>#REF!</v>
      </c>
      <c r="M288" s="22"/>
      <c r="N288" s="184"/>
      <c r="O288" s="184"/>
      <c r="P288" s="184"/>
    </row>
    <row r="289">
      <c r="A289" s="177">
        <v>44371.0</v>
      </c>
      <c r="B289" s="178" t="str">
        <f>IFERROR(__xludf.DUMMYFUNCTION("FILTER($H$2:$H$445,$I$2:$I$445=D289)"),"Art History Student Association")</f>
        <v>Art History Student Association</v>
      </c>
      <c r="C289" s="178" t="str">
        <f>IFERROR(__xludf.DUMMYFUNCTION("filter($J$1:$J$500, $K$1:$K$500=D289)"),"Pre-Professional")</f>
        <v>Pre-Professional</v>
      </c>
      <c r="D289" s="179">
        <v>746.0</v>
      </c>
      <c r="F289" s="180">
        <v>50.0</v>
      </c>
      <c r="G289" s="18"/>
      <c r="H289" s="181" t="s">
        <v>316</v>
      </c>
      <c r="I289" s="182">
        <v>1702.0</v>
      </c>
      <c r="J289" s="183" t="s">
        <v>27</v>
      </c>
      <c r="K289" s="184">
        <v>1832.0</v>
      </c>
      <c r="L289" s="35" t="str">
        <f>IFERROR(__xludf.DUMMYFUNCTION("filter($O$1:$O$200,$K$1:$K$200=N289)"),"#REF!")</f>
        <v>#REF!</v>
      </c>
      <c r="M289" s="22"/>
      <c r="N289" s="184"/>
      <c r="O289" s="184"/>
      <c r="P289" s="184"/>
    </row>
    <row r="290">
      <c r="A290" s="177">
        <v>44371.0</v>
      </c>
      <c r="B290" s="178" t="str">
        <f>IFERROR(__xludf.DUMMYFUNCTION("FILTER($H$2:$H$445,$I$2:$I$445=D290)"),"Pre-Optometry Professions Society")</f>
        <v>Pre-Optometry Professions Society</v>
      </c>
      <c r="C290" s="178" t="str">
        <f>IFERROR(__xludf.DUMMYFUNCTION("filter($J$1:$J$500, $K$1:$K$500=D290)"),"Pre-Professional")</f>
        <v>Pre-Professional</v>
      </c>
      <c r="D290" s="179">
        <v>1042.0</v>
      </c>
      <c r="F290" s="180">
        <v>60.0</v>
      </c>
      <c r="G290" s="18"/>
      <c r="H290" s="181" t="s">
        <v>317</v>
      </c>
      <c r="I290" s="182">
        <v>1489.0</v>
      </c>
      <c r="J290" s="183" t="s">
        <v>13</v>
      </c>
      <c r="K290" s="184">
        <v>575.0</v>
      </c>
      <c r="L290" s="35" t="str">
        <f>IFERROR(__xludf.DUMMYFUNCTION("filter($O$1:$O$200,$K$1:$K$200=N290)"),"#REF!")</f>
        <v>#REF!</v>
      </c>
      <c r="M290" s="22"/>
      <c r="N290" s="184"/>
      <c r="O290" s="184"/>
      <c r="P290" s="184"/>
    </row>
    <row r="291">
      <c r="A291" s="177">
        <v>44371.0</v>
      </c>
      <c r="B291" s="178" t="str">
        <f>IFERROR(__xludf.DUMMYFUNCTION("FILTER($H$2:$H$445,$I$2:$I$445=D291)"),"Global Surgery Student Alliance at Rutgers")</f>
        <v>Global Surgery Student Alliance at Rutgers</v>
      </c>
      <c r="C291" s="178" t="str">
        <f>IFERROR(__xludf.DUMMYFUNCTION("filter($J$1:$J$500, $K$1:$K$500=D291)"),"Pre-Professional")</f>
        <v>Pre-Professional</v>
      </c>
      <c r="D291" s="179">
        <v>1873.0</v>
      </c>
      <c r="F291" s="180">
        <v>100.0</v>
      </c>
      <c r="G291" s="18"/>
      <c r="H291" s="181" t="s">
        <v>318</v>
      </c>
      <c r="I291" s="182">
        <v>224.0</v>
      </c>
      <c r="J291" s="183" t="s">
        <v>37</v>
      </c>
      <c r="K291" s="184">
        <v>154.0</v>
      </c>
      <c r="L291" s="35" t="str">
        <f>IFERROR(__xludf.DUMMYFUNCTION("filter($O$1:$O$200,$K$1:$K$200=N291)"),"#REF!")</f>
        <v>#REF!</v>
      </c>
      <c r="M291" s="22"/>
      <c r="N291" s="184"/>
      <c r="O291" s="184"/>
      <c r="P291" s="184"/>
    </row>
    <row r="292">
      <c r="A292" s="177">
        <v>44371.0</v>
      </c>
      <c r="B292" s="178" t="str">
        <f>IFERROR(__xludf.DUMMYFUNCTION("FILTER($H$2:$H$445,$I$2:$I$445=D292)"),"Cognitive Science Club")</f>
        <v>Cognitive Science Club</v>
      </c>
      <c r="C292" s="178" t="str">
        <f>IFERROR(__xludf.DUMMYFUNCTION("filter($J$1:$J$500, $K$1:$K$500=D292)"),"Pre-Professional")</f>
        <v>Pre-Professional</v>
      </c>
      <c r="D292" s="179">
        <v>338.0</v>
      </c>
      <c r="F292" s="180">
        <v>100.01</v>
      </c>
      <c r="G292" s="18"/>
      <c r="H292" s="185" t="s">
        <v>319</v>
      </c>
      <c r="I292" s="182">
        <v>145.0</v>
      </c>
      <c r="J292" s="183" t="s">
        <v>37</v>
      </c>
      <c r="K292" s="184">
        <v>1042.0</v>
      </c>
      <c r="L292" s="35" t="str">
        <f>IFERROR(__xludf.DUMMYFUNCTION("filter($O$1:$O$200,$K$1:$K$200=N292)"),"#REF!")</f>
        <v>#REF!</v>
      </c>
      <c r="M292" s="22"/>
      <c r="N292" s="184"/>
      <c r="O292" s="184"/>
      <c r="P292" s="184"/>
    </row>
    <row r="293">
      <c r="A293" s="177">
        <v>44371.0</v>
      </c>
      <c r="B293" s="178" t="str">
        <f>IFERROR(__xludf.DUMMYFUNCTION("FILTER($H$2:$H$445,$I$2:$I$445=D293)"),"Collegiate 100")</f>
        <v>Collegiate 100</v>
      </c>
      <c r="C293" s="178" t="str">
        <f>IFERROR(__xludf.DUMMYFUNCTION("filter($J$1:$J$500, $K$1:$K$500=D293)"),"Pre-Professional")</f>
        <v>Pre-Professional</v>
      </c>
      <c r="D293" s="179">
        <v>1478.0</v>
      </c>
      <c r="F293" s="180">
        <v>113.0</v>
      </c>
      <c r="G293" s="18"/>
      <c r="H293" s="185" t="s">
        <v>320</v>
      </c>
      <c r="I293" s="182">
        <v>1877.0</v>
      </c>
      <c r="J293" s="183" t="s">
        <v>19</v>
      </c>
      <c r="K293" s="184">
        <v>1665.0</v>
      </c>
      <c r="L293" s="35" t="str">
        <f>IFERROR(__xludf.DUMMYFUNCTION("filter($O$1:$O$200,$K$1:$K$200=N293)"),"#REF!")</f>
        <v>#REF!</v>
      </c>
      <c r="M293" s="22"/>
      <c r="N293" s="184"/>
      <c r="O293" s="184"/>
      <c r="P293" s="184"/>
    </row>
    <row r="294">
      <c r="A294" s="177">
        <v>44371.0</v>
      </c>
      <c r="B294" s="178" t="str">
        <f>IFERROR(__xludf.DUMMYFUNCTION("FILTER($H$2:$H$445,$I$2:$I$445=D294)"),"Rutgers University Mobile App Development")</f>
        <v>Rutgers University Mobile App Development</v>
      </c>
      <c r="C294" s="178" t="str">
        <f>IFERROR(__xludf.DUMMYFUNCTION("filter($J$1:$J$500, $K$1:$K$500=D294)"),"Pre-Professional")</f>
        <v>Pre-Professional</v>
      </c>
      <c r="D294" s="179">
        <v>1324.0</v>
      </c>
      <c r="F294" s="180">
        <v>150.0</v>
      </c>
      <c r="G294" s="18"/>
      <c r="H294" s="181" t="s">
        <v>321</v>
      </c>
      <c r="I294" s="182">
        <v>1612.0</v>
      </c>
      <c r="J294" s="183" t="s">
        <v>25</v>
      </c>
      <c r="K294" s="184">
        <v>407.0</v>
      </c>
      <c r="L294" s="35" t="str">
        <f>IFERROR(__xludf.DUMMYFUNCTION("filter($O$1:$O$200,$K$1:$K$200=N294)"),"#REF!")</f>
        <v>#REF!</v>
      </c>
      <c r="M294" s="22"/>
      <c r="N294" s="184"/>
      <c r="O294" s="184"/>
      <c r="P294" s="184"/>
    </row>
    <row r="295">
      <c r="A295" s="177">
        <v>44371.0</v>
      </c>
      <c r="B295" s="178" t="str">
        <f>IFERROR(__xludf.DUMMYFUNCTION("FILTER($H$2:$H$445,$I$2:$I$445=D295)"),"Women in the Health Professions")</f>
        <v>Women in the Health Professions</v>
      </c>
      <c r="C295" s="178" t="str">
        <f>IFERROR(__xludf.DUMMYFUNCTION("filter($J$1:$J$500, $K$1:$K$500=D295)"),"Pre-Professional")</f>
        <v>Pre-Professional</v>
      </c>
      <c r="D295" s="179">
        <v>1084.0</v>
      </c>
      <c r="F295" s="180">
        <v>150.0</v>
      </c>
      <c r="G295" s="18"/>
      <c r="H295" s="181" t="s">
        <v>322</v>
      </c>
      <c r="I295" s="182">
        <v>726.0</v>
      </c>
      <c r="J295" s="183" t="s">
        <v>34</v>
      </c>
      <c r="K295" s="184">
        <v>549.0</v>
      </c>
      <c r="L295" s="35" t="str">
        <f>IFERROR(__xludf.DUMMYFUNCTION("filter($O$1:$O$200,$K$1:$K$200=N295)"),"#REF!")</f>
        <v>#REF!</v>
      </c>
      <c r="M295" s="22"/>
      <c r="N295" s="184"/>
      <c r="O295" s="184"/>
      <c r="P295" s="184"/>
    </row>
    <row r="296">
      <c r="A296" s="177">
        <v>44371.0</v>
      </c>
      <c r="B296" s="178" t="str">
        <f>IFERROR(__xludf.DUMMYFUNCTION("FILTER($H$2:$H$445,$I$2:$I$445=D296)"),"New Jersey Public Heatlh Association-Rutgers Student Chapter (NJPHA-RSC)")</f>
        <v>New Jersey Public Heatlh Association-Rutgers Student Chapter (NJPHA-RSC)</v>
      </c>
      <c r="C296" s="178" t="str">
        <f>IFERROR(__xludf.DUMMYFUNCTION("filter($J$1:$J$500, $K$1:$K$500=D296)"),"Pre-Professional")</f>
        <v>Pre-Professional</v>
      </c>
      <c r="D296" s="179">
        <v>443.0</v>
      </c>
      <c r="F296" s="180">
        <v>168.0</v>
      </c>
      <c r="G296" s="18"/>
      <c r="H296" s="181" t="s">
        <v>323</v>
      </c>
      <c r="I296" s="182">
        <v>1766.0</v>
      </c>
      <c r="J296" s="183" t="s">
        <v>15</v>
      </c>
      <c r="K296" s="184">
        <v>1926.0</v>
      </c>
      <c r="L296" s="35" t="str">
        <f>IFERROR(__xludf.DUMMYFUNCTION("filter($O$1:$O$200,$K$1:$K$200=N296)"),"#REF!")</f>
        <v>#REF!</v>
      </c>
      <c r="M296" s="22"/>
      <c r="N296" s="184"/>
      <c r="O296" s="184"/>
      <c r="P296" s="184"/>
    </row>
    <row r="297">
      <c r="A297" s="177">
        <v>44371.0</v>
      </c>
      <c r="B297" s="178" t="str">
        <f>IFERROR(__xludf.DUMMYFUNCTION("FILTER($H$2:$H$445,$I$2:$I$445=D297)"),"Health Professions United")</f>
        <v>Health Professions United</v>
      </c>
      <c r="C297" s="178" t="str">
        <f>IFERROR(__xludf.DUMMYFUNCTION("filter($J$1:$J$500, $K$1:$K$500=D297)"),"Pre-Professional")</f>
        <v>Pre-Professional</v>
      </c>
      <c r="D297" s="179">
        <v>48.0</v>
      </c>
      <c r="F297" s="180">
        <v>200.0</v>
      </c>
      <c r="G297" s="18"/>
      <c r="H297" s="185" t="s">
        <v>324</v>
      </c>
      <c r="I297" s="182">
        <v>588.0</v>
      </c>
      <c r="J297" s="183" t="s">
        <v>19</v>
      </c>
      <c r="K297" s="184">
        <v>1273.0</v>
      </c>
      <c r="L297" s="35" t="str">
        <f>IFERROR(__xludf.DUMMYFUNCTION("filter($O$1:$O$200,$K$1:$K$200=N297)"),"#REF!")</f>
        <v>#REF!</v>
      </c>
      <c r="M297" s="22"/>
      <c r="N297" s="184"/>
      <c r="O297" s="184"/>
      <c r="P297" s="184"/>
    </row>
    <row r="298">
      <c r="A298" s="177">
        <v>44371.0</v>
      </c>
      <c r="B298" s="178" t="str">
        <f>IFERROR(__xludf.DUMMYFUNCTION("FILTER($H$2:$H$445,$I$2:$I$445=D298)"),"Pre-Dental Society of Rutgers University")</f>
        <v>Pre-Dental Society of Rutgers University</v>
      </c>
      <c r="C298" s="178" t="str">
        <f>IFERROR(__xludf.DUMMYFUNCTION("filter($J$1:$J$500, $K$1:$K$500=D298)"),"Pre-Professional")</f>
        <v>Pre-Professional</v>
      </c>
      <c r="D298" s="179">
        <v>415.0</v>
      </c>
      <c r="F298" s="180">
        <v>200.0</v>
      </c>
      <c r="G298" s="18"/>
      <c r="H298" s="181" t="s">
        <v>325</v>
      </c>
      <c r="I298" s="182">
        <v>661.0</v>
      </c>
      <c r="J298" s="183" t="s">
        <v>37</v>
      </c>
      <c r="K298" s="184">
        <v>1934.0</v>
      </c>
      <c r="L298" s="35" t="str">
        <f>IFERROR(__xludf.DUMMYFUNCTION("filter($O$1:$O$200,$K$1:$K$200=N298)"),"#REF!")</f>
        <v>#REF!</v>
      </c>
      <c r="M298" s="22"/>
      <c r="N298" s="184"/>
      <c r="O298" s="184"/>
      <c r="P298" s="184"/>
    </row>
    <row r="299">
      <c r="A299" s="177">
        <v>44371.0</v>
      </c>
      <c r="B299" s="178" t="str">
        <f>IFERROR(__xludf.DUMMYFUNCTION("FILTER($H$2:$H$445,$I$2:$I$445=D299)"),"New Jersey Public Heatlh Association-Rutgers Student Chapter (NJPHA-RSC)")</f>
        <v>New Jersey Public Heatlh Association-Rutgers Student Chapter (NJPHA-RSC)</v>
      </c>
      <c r="C299" s="178" t="str">
        <f>IFERROR(__xludf.DUMMYFUNCTION("filter($J$1:$J$500, $K$1:$K$500=D299)"),"Pre-Professional")</f>
        <v>Pre-Professional</v>
      </c>
      <c r="D299" s="179">
        <v>443.0</v>
      </c>
      <c r="F299" s="180">
        <v>210.0</v>
      </c>
      <c r="G299" s="18"/>
      <c r="H299" s="181" t="s">
        <v>326</v>
      </c>
      <c r="I299" s="182">
        <v>136.0</v>
      </c>
      <c r="J299" s="183" t="s">
        <v>37</v>
      </c>
      <c r="K299" s="184">
        <v>746.0</v>
      </c>
      <c r="L299" s="35" t="str">
        <f>IFERROR(__xludf.DUMMYFUNCTION("filter($O$1:$O$200,$K$1:$K$200=N299)"),"#REF!")</f>
        <v>#REF!</v>
      </c>
      <c r="M299" s="22"/>
      <c r="N299" s="184"/>
      <c r="O299" s="184"/>
      <c r="P299" s="184"/>
    </row>
    <row r="300">
      <c r="A300" s="177">
        <v>44371.0</v>
      </c>
      <c r="B300" s="178" t="str">
        <f>IFERROR(__xludf.DUMMYFUNCTION("FILTER($H$2:$H$445,$I$2:$I$445=D300)"),"Criminal Justice Organization")</f>
        <v>Criminal Justice Organization</v>
      </c>
      <c r="C300" s="178" t="str">
        <f>IFERROR(__xludf.DUMMYFUNCTION("filter($J$1:$J$500, $K$1:$K$500=D300)"),"Pre-Professional")</f>
        <v>Pre-Professional</v>
      </c>
      <c r="D300" s="179">
        <v>1483.0</v>
      </c>
      <c r="F300" s="180">
        <v>253.0</v>
      </c>
      <c r="G300" s="18"/>
      <c r="H300" s="181" t="s">
        <v>327</v>
      </c>
      <c r="I300" s="182">
        <v>649.0</v>
      </c>
      <c r="J300" s="183" t="s">
        <v>22</v>
      </c>
      <c r="K300" s="184">
        <v>1663.0</v>
      </c>
      <c r="L300" s="35" t="str">
        <f>IFERROR(__xludf.DUMMYFUNCTION("filter($O$1:$O$200,$K$1:$K$200=N300)"),"#REF!")</f>
        <v>#REF!</v>
      </c>
      <c r="M300" s="22"/>
      <c r="N300" s="184"/>
      <c r="O300" s="184"/>
      <c r="P300" s="184"/>
    </row>
    <row r="301">
      <c r="A301" s="177">
        <v>44371.0</v>
      </c>
      <c r="B301" s="178" t="str">
        <f>IFERROR(__xludf.DUMMYFUNCTION("FILTER($H$2:$H$445,$I$2:$I$445=D301)"),"Future Teachers Association")</f>
        <v>Future Teachers Association</v>
      </c>
      <c r="C301" s="178" t="str">
        <f>IFERROR(__xludf.DUMMYFUNCTION("filter($J$1:$J$500, $K$1:$K$500=D301)"),"Pre-Professional")</f>
        <v>Pre-Professional</v>
      </c>
      <c r="D301" s="179">
        <v>1387.0</v>
      </c>
      <c r="F301" s="180">
        <v>286.0</v>
      </c>
      <c r="G301" s="18"/>
      <c r="H301" s="181" t="s">
        <v>328</v>
      </c>
      <c r="I301" s="182">
        <v>1762.0</v>
      </c>
      <c r="J301" s="183" t="s">
        <v>22</v>
      </c>
      <c r="K301" s="184">
        <v>1719.0</v>
      </c>
      <c r="L301" s="35" t="str">
        <f>IFERROR(__xludf.DUMMYFUNCTION("filter($O$1:$O$200,$K$1:$K$200=N301)"),"#REF!")</f>
        <v>#REF!</v>
      </c>
      <c r="M301" s="22"/>
      <c r="N301" s="184"/>
      <c r="O301" s="184"/>
      <c r="P301" s="184"/>
    </row>
    <row r="302">
      <c r="A302" s="177">
        <v>44371.0</v>
      </c>
      <c r="B302" s="178" t="str">
        <f>IFERROR(__xludf.DUMMYFUNCTION("FILTER($H$2:$H$445,$I$2:$I$445=D302)"),"STEM Ambassadors")</f>
        <v>STEM Ambassadors</v>
      </c>
      <c r="C302" s="178" t="str">
        <f>IFERROR(__xludf.DUMMYFUNCTION("filter($J$1:$J$500, $K$1:$K$500=D302)"),"Pre-Professional")</f>
        <v>Pre-Professional</v>
      </c>
      <c r="D302" s="179">
        <v>1839.0</v>
      </c>
      <c r="F302" s="180">
        <v>300.0</v>
      </c>
      <c r="G302" s="18"/>
      <c r="H302" s="185" t="s">
        <v>329</v>
      </c>
      <c r="I302" s="182">
        <v>1155.0</v>
      </c>
      <c r="J302" s="183" t="s">
        <v>13</v>
      </c>
      <c r="K302" s="184">
        <v>163.0</v>
      </c>
      <c r="L302" s="35" t="str">
        <f>IFERROR(__xludf.DUMMYFUNCTION("filter($O$1:$O$200,$K$1:$K$200=N302)"),"#REF!")</f>
        <v>#REF!</v>
      </c>
      <c r="M302" s="22"/>
      <c r="N302" s="184"/>
      <c r="O302" s="184"/>
      <c r="P302" s="184"/>
    </row>
    <row r="303">
      <c r="A303" s="177">
        <v>44371.0</v>
      </c>
      <c r="B303" s="178" t="str">
        <f>IFERROR(__xludf.DUMMYFUNCTION("FILTER($H$2:$H$445,$I$2:$I$445=D303)"),"Association of International Relations(RUAIR)")</f>
        <v>Association of International Relations(RUAIR)</v>
      </c>
      <c r="C303" s="178" t="str">
        <f>IFERROR(__xludf.DUMMYFUNCTION("filter($J$1:$J$500, $K$1:$K$500=D303)"),"Pre-Professional")</f>
        <v>Pre-Professional</v>
      </c>
      <c r="D303" s="179">
        <v>154.0</v>
      </c>
      <c r="F303" s="180">
        <v>326.15</v>
      </c>
      <c r="G303" s="18"/>
      <c r="H303" s="181" t="s">
        <v>330</v>
      </c>
      <c r="I303" s="182">
        <v>163.0</v>
      </c>
      <c r="J303" s="183" t="s">
        <v>17</v>
      </c>
      <c r="K303" s="184">
        <v>1169.0</v>
      </c>
      <c r="L303" s="35" t="str">
        <f>IFERROR(__xludf.DUMMYFUNCTION("filter($O$1:$O$200,$K$1:$K$200=N303)"),"#REF!")</f>
        <v>#REF!</v>
      </c>
      <c r="M303" s="22"/>
      <c r="N303" s="184"/>
      <c r="O303" s="184"/>
      <c r="P303" s="184"/>
    </row>
    <row r="304">
      <c r="A304" s="177">
        <v>44371.0</v>
      </c>
      <c r="B304" s="178" t="str">
        <f>IFERROR(__xludf.DUMMYFUNCTION("FILTER($H$2:$H$445,$I$2:$I$445=D304)"),"Pre-Dental Society of Rutgers University")</f>
        <v>Pre-Dental Society of Rutgers University</v>
      </c>
      <c r="C304" s="178" t="str">
        <f>IFERROR(__xludf.DUMMYFUNCTION("filter($J$1:$J$500, $K$1:$K$500=D304)"),"Pre-Professional")</f>
        <v>Pre-Professional</v>
      </c>
      <c r="D304" s="179">
        <v>415.0</v>
      </c>
      <c r="F304" s="180">
        <v>390.0</v>
      </c>
      <c r="G304" s="18"/>
      <c r="H304" s="185" t="s">
        <v>331</v>
      </c>
      <c r="I304" s="182">
        <v>137.0</v>
      </c>
      <c r="J304" s="183" t="s">
        <v>15</v>
      </c>
      <c r="K304" s="184">
        <v>759.0</v>
      </c>
      <c r="L304" s="35" t="str">
        <f>IFERROR(__xludf.DUMMYFUNCTION("filter($O$1:$O$200,$K$1:$K$200=N304)"),"#REF!")</f>
        <v>#REF!</v>
      </c>
      <c r="M304" s="22"/>
      <c r="N304" s="184"/>
      <c r="O304" s="184"/>
      <c r="P304" s="184"/>
    </row>
    <row r="305">
      <c r="A305" s="177">
        <v>44371.0</v>
      </c>
      <c r="B305" s="178" t="str">
        <f>IFERROR(__xludf.DUMMYFUNCTION("FILTER($H$2:$H$445,$I$2:$I$445=D305)"),"Collegiate 100")</f>
        <v>Collegiate 100</v>
      </c>
      <c r="C305" s="178" t="str">
        <f>IFERROR(__xludf.DUMMYFUNCTION("filter($J$1:$J$500, $K$1:$K$500=D305)"),"Pre-Professional")</f>
        <v>Pre-Professional</v>
      </c>
      <c r="D305" s="179">
        <v>1478.0</v>
      </c>
      <c r="F305" s="180">
        <v>400.0</v>
      </c>
      <c r="G305" s="18"/>
      <c r="H305" s="181" t="s">
        <v>332</v>
      </c>
      <c r="I305" s="182">
        <v>688.0</v>
      </c>
      <c r="J305" s="183" t="s">
        <v>15</v>
      </c>
      <c r="K305" s="184">
        <v>347.0</v>
      </c>
      <c r="L305" s="35" t="str">
        <f>IFERROR(__xludf.DUMMYFUNCTION("filter($O$1:$O$200,$K$1:$K$200=N305)"),"#REF!")</f>
        <v>#REF!</v>
      </c>
      <c r="M305" s="22"/>
      <c r="N305" s="184"/>
      <c r="O305" s="184"/>
      <c r="P305" s="184"/>
    </row>
    <row r="306">
      <c r="A306" s="177">
        <v>44371.0</v>
      </c>
      <c r="B306" s="178" t="str">
        <f>IFERROR(__xludf.DUMMYFUNCTION("FILTER($H$2:$H$445,$I$2:$I$445=D306)"),"Health Occupation Students of America (HOSA)")</f>
        <v>Health Occupation Students of America (HOSA)</v>
      </c>
      <c r="C306" s="178" t="str">
        <f>IFERROR(__xludf.DUMMYFUNCTION("filter($J$1:$J$500, $K$1:$K$500=D306)"),"Pre-Professional")</f>
        <v>Pre-Professional</v>
      </c>
      <c r="D306" s="179">
        <v>1373.0</v>
      </c>
      <c r="F306" s="180">
        <v>400.0</v>
      </c>
      <c r="G306" s="18"/>
      <c r="H306" s="181" t="s">
        <v>333</v>
      </c>
      <c r="I306" s="182">
        <v>69.0</v>
      </c>
      <c r="J306" s="183" t="s">
        <v>27</v>
      </c>
      <c r="K306" s="184">
        <v>391.0</v>
      </c>
      <c r="L306" s="35" t="str">
        <f>IFERROR(__xludf.DUMMYFUNCTION("filter($O$1:$O$200,$K$1:$K$200=N306)"),"#REF!")</f>
        <v>#REF!</v>
      </c>
      <c r="M306" s="22"/>
      <c r="N306" s="184"/>
      <c r="O306" s="184"/>
      <c r="P306" s="184"/>
    </row>
    <row r="307">
      <c r="A307" s="177">
        <v>44371.0</v>
      </c>
      <c r="B307" s="178" t="str">
        <f>IFERROR(__xludf.DUMMYFUNCTION("FILTER($H$2:$H$445,$I$2:$I$445=D307)"),"Mock Trial Association")</f>
        <v>Mock Trial Association</v>
      </c>
      <c r="C307" s="178" t="str">
        <f>IFERROR(__xludf.DUMMYFUNCTION("filter($J$1:$J$500, $K$1:$K$500=D307)"),"Pre-Professional")</f>
        <v>Pre-Professional</v>
      </c>
      <c r="D307" s="179">
        <v>661.0</v>
      </c>
      <c r="F307" s="180">
        <v>437.0</v>
      </c>
      <c r="G307" s="18"/>
      <c r="H307" s="185" t="s">
        <v>334</v>
      </c>
      <c r="I307" s="182">
        <v>1943.0</v>
      </c>
      <c r="J307" s="183" t="s">
        <v>37</v>
      </c>
      <c r="K307" s="184">
        <v>1873.0</v>
      </c>
      <c r="L307" s="35" t="str">
        <f>IFERROR(__xludf.DUMMYFUNCTION("filter($O$1:$O$200,$K$1:$K$200=N307)"),"#REF!")</f>
        <v>#REF!</v>
      </c>
      <c r="M307" s="22"/>
      <c r="N307" s="184"/>
      <c r="O307" s="184"/>
      <c r="P307" s="184"/>
    </row>
    <row r="308">
      <c r="A308" s="177">
        <v>44371.0</v>
      </c>
      <c r="B308" s="178" t="str">
        <f>IFERROR(__xludf.DUMMYFUNCTION("FILTER($H$2:$H$445,$I$2:$I$445=D308)"),"Minority Association of Pre-Health Students")</f>
        <v>Minority Association of Pre-Health Students</v>
      </c>
      <c r="C308" s="178" t="str">
        <f>IFERROR(__xludf.DUMMYFUNCTION("filter($J$1:$J$500, $K$1:$K$500=D308)"),"Pre-Professional")</f>
        <v>Pre-Professional</v>
      </c>
      <c r="D308" s="179">
        <v>72.0</v>
      </c>
      <c r="F308" s="180">
        <v>449.0</v>
      </c>
      <c r="G308" s="18"/>
      <c r="H308" s="181" t="s">
        <v>335</v>
      </c>
      <c r="I308" s="182">
        <v>494.0</v>
      </c>
      <c r="J308" s="186"/>
      <c r="K308" s="187"/>
      <c r="L308" s="35" t="str">
        <f>IFERROR(__xludf.DUMMYFUNCTION("filter($O$1:$O$200,$K$1:$K$200=N308)"),"#REF!")</f>
        <v>#REF!</v>
      </c>
      <c r="M308" s="22"/>
      <c r="N308" s="187"/>
      <c r="O308" s="187"/>
      <c r="P308" s="188">
        <f>AVERAGE(F266:F308)</f>
        <v>457.1967442</v>
      </c>
    </row>
    <row r="309">
      <c r="A309" s="177">
        <v>44371.0</v>
      </c>
      <c r="B309" s="178" t="str">
        <f>IFERROR(__xludf.DUMMYFUNCTION("FILTER($H$2:$H$445,$I$2:$I$445=D309)"),"The Society for the Advancement of Chicanos and Native Americans in Science (SACNAS)")</f>
        <v>The Society for the Advancement of Chicanos and Native Americans in Science (SACNAS)</v>
      </c>
      <c r="C309" s="178" t="str">
        <f>IFERROR(__xludf.DUMMYFUNCTION("filter($J$1:$J$500, $K$1:$K$500=D309)"),"Pre-Professional")</f>
        <v>Pre-Professional</v>
      </c>
      <c r="D309" s="179">
        <v>1697.0</v>
      </c>
      <c r="F309" s="180">
        <v>500.0</v>
      </c>
      <c r="G309" s="18"/>
      <c r="H309" s="181" t="s">
        <v>336</v>
      </c>
      <c r="I309" s="182">
        <v>646.0</v>
      </c>
      <c r="J309" s="183" t="s">
        <v>15</v>
      </c>
      <c r="K309" s="184">
        <v>287.0</v>
      </c>
      <c r="L309" s="35" t="str">
        <f>IFERROR(__xludf.DUMMYFUNCTION("filter($O$1:$O$200,$K$1:$K$200=N309)"),"#REF!")</f>
        <v>#REF!</v>
      </c>
      <c r="M309" s="22"/>
      <c r="N309" s="184"/>
      <c r="O309" s="184"/>
      <c r="P309" s="184"/>
    </row>
    <row r="310">
      <c r="A310" s="177">
        <v>44371.0</v>
      </c>
      <c r="B310" s="178" t="str">
        <f>IFERROR(__xludf.DUMMYFUNCTION("FILTER($H$2:$H$445,$I$2:$I$445=D310)"),"The Society for the Advancement of Chicanos and Native Americans in Science (SACNAS)")</f>
        <v>The Society for the Advancement of Chicanos and Native Americans in Science (SACNAS)</v>
      </c>
      <c r="C310" s="178" t="str">
        <f>IFERROR(__xludf.DUMMYFUNCTION("filter($J$1:$J$500, $K$1:$K$500=D310)"),"Pre-Professional")</f>
        <v>Pre-Professional</v>
      </c>
      <c r="D310" s="179">
        <v>1697.0</v>
      </c>
      <c r="F310" s="180">
        <v>505.0</v>
      </c>
      <c r="G310" s="18"/>
      <c r="H310" s="181" t="s">
        <v>337</v>
      </c>
      <c r="I310" s="182">
        <v>128.0</v>
      </c>
      <c r="J310" s="183" t="s">
        <v>43</v>
      </c>
      <c r="K310" s="184">
        <v>1543.0</v>
      </c>
      <c r="L310" s="35" t="str">
        <f>IFERROR(__xludf.DUMMYFUNCTION("filter($O$1:$O$200,$K$1:$K$200=N310)"),"#REF!")</f>
        <v>#REF!</v>
      </c>
      <c r="M310" s="22"/>
      <c r="N310" s="184"/>
      <c r="O310" s="184"/>
      <c r="P310" s="184"/>
    </row>
    <row r="311">
      <c r="A311" s="177">
        <v>44371.0</v>
      </c>
      <c r="B311" s="178" t="str">
        <f>IFERROR(__xludf.DUMMYFUNCTION("FILTER($H$2:$H$445,$I$2:$I$445=D311)"),"Health Occupation Students of America (HOSA)")</f>
        <v>Health Occupation Students of America (HOSA)</v>
      </c>
      <c r="C311" s="178" t="str">
        <f>IFERROR(__xludf.DUMMYFUNCTION("filter($J$1:$J$500, $K$1:$K$500=D311)"),"Pre-Professional")</f>
        <v>Pre-Professional</v>
      </c>
      <c r="D311" s="179">
        <v>1373.0</v>
      </c>
      <c r="F311" s="180">
        <v>717.0</v>
      </c>
      <c r="G311" s="18"/>
      <c r="H311" s="181" t="s">
        <v>338</v>
      </c>
      <c r="I311" s="182">
        <v>770.0</v>
      </c>
      <c r="J311" s="183" t="s">
        <v>13</v>
      </c>
      <c r="K311" s="184">
        <v>1722.0</v>
      </c>
      <c r="L311" s="35" t="str">
        <f>IFERROR(__xludf.DUMMYFUNCTION("filter($O$1:$O$200,$K$1:$K$200=N311)"),"#REF!")</f>
        <v>#REF!</v>
      </c>
      <c r="M311" s="22"/>
      <c r="N311" s="184"/>
      <c r="O311" s="184"/>
      <c r="P311" s="184"/>
    </row>
    <row r="312">
      <c r="A312" s="177">
        <v>44371.0</v>
      </c>
      <c r="B312" s="178" t="str">
        <f>IFERROR(__xludf.DUMMYFUNCTION("FILTER($H$2:$H$445,$I$2:$I$445=D312)"),"Mock Trial Association")</f>
        <v>Mock Trial Association</v>
      </c>
      <c r="C312" s="178" t="str">
        <f>IFERROR(__xludf.DUMMYFUNCTION("filter($J$1:$J$500, $K$1:$K$500=D312)"),"Pre-Professional")</f>
        <v>Pre-Professional</v>
      </c>
      <c r="D312" s="179">
        <v>661.0</v>
      </c>
      <c r="F312" s="180">
        <v>730.0</v>
      </c>
      <c r="G312" s="18"/>
      <c r="H312" s="181" t="s">
        <v>339</v>
      </c>
      <c r="I312" s="182">
        <v>1973.0</v>
      </c>
      <c r="J312" s="183" t="s">
        <v>27</v>
      </c>
      <c r="K312" s="184">
        <v>675.0</v>
      </c>
      <c r="L312" s="35" t="str">
        <f>IFERROR(__xludf.DUMMYFUNCTION("filter($O$1:$O$200,$K$1:$K$200=N312)"),"#REF!")</f>
        <v>#REF!</v>
      </c>
      <c r="M312" s="22"/>
      <c r="N312" s="184"/>
      <c r="O312" s="184"/>
      <c r="P312" s="184"/>
    </row>
    <row r="313">
      <c r="A313" s="177">
        <v>44371.0</v>
      </c>
      <c r="B313" s="178" t="str">
        <f>IFERROR(__xludf.DUMMYFUNCTION("FILTER($H$2:$H$445,$I$2:$I$445=D313)"),"Future Healthcare Administrators")</f>
        <v>Future Healthcare Administrators</v>
      </c>
      <c r="C313" s="178" t="str">
        <f>IFERROR(__xludf.DUMMYFUNCTION("filter($J$1:$J$500, $K$1:$K$500=D313)"),"Pre-Professional")</f>
        <v>Pre-Professional</v>
      </c>
      <c r="D313" s="179">
        <v>1468.0</v>
      </c>
      <c r="F313" s="180">
        <v>800.0</v>
      </c>
      <c r="G313" s="18"/>
      <c r="H313" s="181" t="s">
        <v>340</v>
      </c>
      <c r="I313" s="182">
        <v>62.0</v>
      </c>
      <c r="J313" s="183" t="s">
        <v>15</v>
      </c>
      <c r="K313" s="184">
        <v>353.0</v>
      </c>
      <c r="L313" s="35" t="str">
        <f>IFERROR(__xludf.DUMMYFUNCTION("filter($O$1:$O$200,$K$1:$K$200=N313)"),"#REF!")</f>
        <v>#REF!</v>
      </c>
      <c r="M313" s="22"/>
      <c r="N313" s="184"/>
      <c r="O313" s="184"/>
      <c r="P313" s="184"/>
    </row>
    <row r="314">
      <c r="A314" s="177">
        <v>44371.0</v>
      </c>
      <c r="B314" s="178" t="str">
        <f>IFERROR(__xludf.DUMMYFUNCTION("FILTER($H$2:$H$445,$I$2:$I$445=D314)"),"Society of Professional Journalists")</f>
        <v>Society of Professional Journalists</v>
      </c>
      <c r="C314" s="178" t="str">
        <f>IFERROR(__xludf.DUMMYFUNCTION("filter($J$1:$J$500, $K$1:$K$500=D314)"),"Pre-Professional")</f>
        <v>Pre-Professional</v>
      </c>
      <c r="D314" s="179">
        <v>271.0</v>
      </c>
      <c r="F314" s="180">
        <v>800.0</v>
      </c>
      <c r="G314" s="18"/>
      <c r="H314" s="185" t="s">
        <v>341</v>
      </c>
      <c r="I314" s="189">
        <v>1875.0</v>
      </c>
      <c r="J314" s="183" t="s">
        <v>34</v>
      </c>
      <c r="K314" s="184">
        <v>1078.0</v>
      </c>
      <c r="L314" s="35" t="str">
        <f>IFERROR(__xludf.DUMMYFUNCTION("filter($O$1:$O$200,$K$1:$K$200=N314)"),"#REF!")</f>
        <v>#REF!</v>
      </c>
      <c r="M314" s="22"/>
      <c r="N314" s="184"/>
      <c r="O314" s="184"/>
      <c r="P314" s="184"/>
    </row>
    <row r="315">
      <c r="A315" s="177">
        <v>44371.0</v>
      </c>
      <c r="B315" s="178" t="str">
        <f>IFERROR(__xludf.DUMMYFUNCTION("FILTER($H$2:$H$445,$I$2:$I$445=D315)"),"American Medical Student Association")</f>
        <v>American Medical Student Association</v>
      </c>
      <c r="C315" s="178" t="str">
        <f>IFERROR(__xludf.DUMMYFUNCTION("filter($J$1:$J$500, $K$1:$K$500=D315)"),"Pre-Professional")</f>
        <v>Pre-Professional</v>
      </c>
      <c r="D315" s="179">
        <v>291.0</v>
      </c>
      <c r="F315" s="180">
        <v>825.0</v>
      </c>
      <c r="G315" s="18"/>
      <c r="H315" s="190" t="s">
        <v>342</v>
      </c>
      <c r="I315" s="189">
        <v>1496.0</v>
      </c>
      <c r="J315" s="183" t="s">
        <v>15</v>
      </c>
      <c r="K315" s="184">
        <v>1952.0</v>
      </c>
      <c r="L315" s="35" t="str">
        <f>IFERROR(__xludf.DUMMYFUNCTION("filter($O$1:$O$200,$K$1:$K$200=N315)"),"#REF!")</f>
        <v>#REF!</v>
      </c>
      <c r="M315" s="22"/>
      <c r="N315" s="184"/>
      <c r="O315" s="184"/>
      <c r="P315" s="184"/>
    </row>
    <row r="316">
      <c r="A316" s="177">
        <v>44371.0</v>
      </c>
      <c r="B316" s="178" t="str">
        <f>IFERROR(__xludf.DUMMYFUNCTION("FILTER($H$2:$H$445,$I$2:$I$445=D316)"),"National Black Law Students Association")</f>
        <v>National Black Law Students Association</v>
      </c>
      <c r="C316" s="178" t="str">
        <f>IFERROR(__xludf.DUMMYFUNCTION("filter($J$1:$J$500, $K$1:$K$500=D316)"),"Pre-Professional")</f>
        <v>Pre-Professional</v>
      </c>
      <c r="D316" s="179">
        <v>1278.0</v>
      </c>
      <c r="F316" s="180">
        <v>850.0</v>
      </c>
      <c r="G316" s="18"/>
      <c r="H316" s="181" t="s">
        <v>343</v>
      </c>
      <c r="I316" s="182">
        <v>1483.0</v>
      </c>
      <c r="J316" s="183" t="s">
        <v>37</v>
      </c>
      <c r="K316" s="184">
        <v>443.0</v>
      </c>
      <c r="L316" s="35" t="str">
        <f>IFERROR(__xludf.DUMMYFUNCTION("filter($O$1:$O$200,$K$1:$K$200=N316)"),"#REF!")</f>
        <v>#REF!</v>
      </c>
      <c r="M316" s="22"/>
      <c r="N316" s="184"/>
      <c r="O316" s="184"/>
      <c r="P316" s="184"/>
    </row>
    <row r="317">
      <c r="A317" s="177">
        <v>44371.0</v>
      </c>
      <c r="B317" s="178" t="str">
        <f>IFERROR(__xludf.DUMMYFUNCTION("FILTER($H$2:$H$445,$I$2:$I$445=D317)"),"Building Research, Advocacy, and Innovation in Neuroscience (BRAIN)")</f>
        <v>Building Research, Advocacy, and Innovation in Neuroscience (BRAIN)</v>
      </c>
      <c r="C317" s="178" t="str">
        <f>IFERROR(__xludf.DUMMYFUNCTION("filter($J$1:$J$500, $K$1:$K$500=D317)"),"Pre-Professional")</f>
        <v>Pre-Professional</v>
      </c>
      <c r="D317" s="179">
        <v>1541.0</v>
      </c>
      <c r="F317" s="180">
        <v>890.0</v>
      </c>
      <c r="G317" s="18"/>
      <c r="H317" s="181" t="s">
        <v>344</v>
      </c>
      <c r="I317" s="182">
        <v>1665.0</v>
      </c>
      <c r="J317" s="183" t="s">
        <v>30</v>
      </c>
      <c r="K317" s="184">
        <v>1608.0</v>
      </c>
      <c r="L317" s="35" t="str">
        <f>IFERROR(__xludf.DUMMYFUNCTION("filter($O$1:$O$200,$K$1:$K$200=N317)"),"#REF!")</f>
        <v>#REF!</v>
      </c>
      <c r="M317" s="22"/>
      <c r="N317" s="184"/>
      <c r="O317" s="184"/>
      <c r="P317" s="184"/>
    </row>
    <row r="318">
      <c r="A318" s="177">
        <v>44371.0</v>
      </c>
      <c r="B318" s="178" t="str">
        <f>IFERROR(__xludf.DUMMYFUNCTION("FILTER($H$2:$H$445,$I$2:$I$445=D318)"),"Rutgers University Mobile App Development")</f>
        <v>Rutgers University Mobile App Development</v>
      </c>
      <c r="C318" s="178" t="str">
        <f>IFERROR(__xludf.DUMMYFUNCTION("filter($J$1:$J$500, $K$1:$K$500=D318)"),"Pre-Professional")</f>
        <v>Pre-Professional</v>
      </c>
      <c r="D318" s="179">
        <v>1324.0</v>
      </c>
      <c r="F318" s="180">
        <v>911.0</v>
      </c>
      <c r="G318" s="18"/>
      <c r="H318" s="181" t="s">
        <v>345</v>
      </c>
      <c r="I318" s="182">
        <v>1479.0</v>
      </c>
      <c r="J318" s="183" t="s">
        <v>19</v>
      </c>
      <c r="K318" s="184">
        <v>1746.0</v>
      </c>
      <c r="L318" s="35" t="str">
        <f>IFERROR(__xludf.DUMMYFUNCTION("filter($O$1:$O$200,$K$1:$K$200=N318)"),"#REF!")</f>
        <v>#REF!</v>
      </c>
      <c r="M318" s="22"/>
      <c r="N318" s="184"/>
      <c r="O318" s="184"/>
      <c r="P318" s="184"/>
    </row>
    <row r="319">
      <c r="A319" s="177">
        <v>44371.0</v>
      </c>
      <c r="B319" s="178" t="str">
        <f>IFERROR(__xludf.DUMMYFUNCTION("FILTER($H$2:$H$445,$I$2:$I$445=D319)"),"Global Surgery Student Alliance at Rutgers")</f>
        <v>Global Surgery Student Alliance at Rutgers</v>
      </c>
      <c r="C319" s="178" t="str">
        <f>IFERROR(__xludf.DUMMYFUNCTION("filter($J$1:$J$500, $K$1:$K$500=D319)"),"Pre-Professional")</f>
        <v>Pre-Professional</v>
      </c>
      <c r="D319" s="179">
        <v>1873.0</v>
      </c>
      <c r="F319" s="180">
        <v>954.0</v>
      </c>
      <c r="G319" s="18"/>
      <c r="H319" s="181" t="s">
        <v>346</v>
      </c>
      <c r="I319" s="182">
        <v>1906.0</v>
      </c>
      <c r="J319" s="183" t="s">
        <v>22</v>
      </c>
      <c r="K319" s="184">
        <v>1459.0</v>
      </c>
      <c r="L319" s="35" t="str">
        <f>IFERROR(__xludf.DUMMYFUNCTION("filter($O$1:$O$200,$K$1:$K$200=N319)"),"#REF!")</f>
        <v>#REF!</v>
      </c>
      <c r="M319" s="22"/>
      <c r="N319" s="184"/>
      <c r="O319" s="184"/>
      <c r="P319" s="184"/>
    </row>
    <row r="320">
      <c r="A320" s="177">
        <v>44371.0</v>
      </c>
      <c r="B320" s="178" t="str">
        <f>IFERROR(__xludf.DUMMYFUNCTION("FILTER($H$2:$H$445,$I$2:$I$445=D320)"),"Pre-Optometry Professions Society")</f>
        <v>Pre-Optometry Professions Society</v>
      </c>
      <c r="C320" s="178" t="str">
        <f>IFERROR(__xludf.DUMMYFUNCTION("filter($J$1:$J$500, $K$1:$K$500=D320)"),"Pre-Professional")</f>
        <v>Pre-Professional</v>
      </c>
      <c r="D320" s="179">
        <v>1042.0</v>
      </c>
      <c r="F320" s="191">
        <v>1044.0</v>
      </c>
      <c r="G320" s="42"/>
      <c r="H320" s="185" t="s">
        <v>347</v>
      </c>
      <c r="I320" s="182">
        <v>1697.0</v>
      </c>
      <c r="J320" s="183" t="s">
        <v>13</v>
      </c>
      <c r="K320" s="184">
        <v>1817.0</v>
      </c>
      <c r="L320" s="35" t="str">
        <f>IFERROR(__xludf.DUMMYFUNCTION("filter($O$1:$O$200,$K$1:$K$200=N320)"),"#REF!")</f>
        <v>#REF!</v>
      </c>
      <c r="M320" s="22"/>
      <c r="N320" s="184"/>
      <c r="O320" s="184"/>
      <c r="P320" s="184"/>
    </row>
    <row r="321">
      <c r="A321" s="177">
        <v>44371.0</v>
      </c>
      <c r="B321" s="178" t="str">
        <f>IFERROR(__xludf.DUMMYFUNCTION("FILTER($H$2:$H$445,$I$2:$I$445=D321)"),"Women in Information Technology")</f>
        <v>Women in Information Technology</v>
      </c>
      <c r="C321" s="178" t="str">
        <f>IFERROR(__xludf.DUMMYFUNCTION("filter($J$1:$J$500, $K$1:$K$500=D321)"),"Pre-Professional")</f>
        <v>Pre-Professional</v>
      </c>
      <c r="D321" s="179">
        <v>1578.0</v>
      </c>
      <c r="F321" s="191">
        <v>1074.65</v>
      </c>
      <c r="G321" s="42"/>
      <c r="H321" s="185" t="s">
        <v>348</v>
      </c>
      <c r="I321" s="182">
        <v>1593.0</v>
      </c>
      <c r="J321" s="183" t="s">
        <v>19</v>
      </c>
      <c r="K321" s="184">
        <v>1591.0</v>
      </c>
      <c r="L321" s="35" t="str">
        <f>IFERROR(__xludf.DUMMYFUNCTION("filter($O$1:$O$200,$K$1:$K$200=N321)"),"#REF!")</f>
        <v>#REF!</v>
      </c>
      <c r="M321" s="22"/>
      <c r="N321" s="184"/>
      <c r="O321" s="184"/>
      <c r="P321" s="184"/>
    </row>
    <row r="322">
      <c r="A322" s="177">
        <v>44371.0</v>
      </c>
      <c r="B322" s="178" t="str">
        <f>IFERROR(__xludf.DUMMYFUNCTION("FILTER($H$2:$H$445,$I$2:$I$445=D322)"),"Future Healthcare Administrators")</f>
        <v>Future Healthcare Administrators</v>
      </c>
      <c r="C322" s="178" t="str">
        <f>IFERROR(__xludf.DUMMYFUNCTION("filter($J$1:$J$500, $K$1:$K$500=D322)"),"Pre-Professional")</f>
        <v>Pre-Professional</v>
      </c>
      <c r="D322" s="179">
        <v>1468.0</v>
      </c>
      <c r="F322" s="191">
        <v>1182.0</v>
      </c>
      <c r="G322" s="42"/>
      <c r="H322" s="185" t="s">
        <v>349</v>
      </c>
      <c r="I322" s="182">
        <v>19.0</v>
      </c>
      <c r="J322" s="183" t="s">
        <v>43</v>
      </c>
      <c r="K322" s="184">
        <v>1688.0</v>
      </c>
      <c r="L322" s="35" t="str">
        <f>IFERROR(__xludf.DUMMYFUNCTION("filter($O$1:$O$200,$K$1:$K$200=N322)"),"#REF!")</f>
        <v>#REF!</v>
      </c>
      <c r="M322" s="22"/>
      <c r="N322" s="184"/>
      <c r="O322" s="184"/>
      <c r="P322" s="184"/>
    </row>
    <row r="323">
      <c r="A323" s="177">
        <v>44371.0</v>
      </c>
      <c r="B323" s="178" t="str">
        <f>IFERROR(__xludf.DUMMYFUNCTION("FILTER($H$2:$H$445,$I$2:$I$445=D323)"),"Women in Computer Science")</f>
        <v>Women in Computer Science</v>
      </c>
      <c r="C323" s="178" t="str">
        <f>IFERROR(__xludf.DUMMYFUNCTION("filter($J$1:$J$500, $K$1:$K$500=D323)"),"Pre-Professional")</f>
        <v>Pre-Professional</v>
      </c>
      <c r="D323" s="179">
        <v>209.0</v>
      </c>
      <c r="F323" s="191">
        <v>1192.08</v>
      </c>
      <c r="G323" s="42"/>
      <c r="H323" s="185" t="s">
        <v>350</v>
      </c>
      <c r="I323" s="182">
        <v>1939.0</v>
      </c>
      <c r="J323" s="183" t="s">
        <v>27</v>
      </c>
      <c r="K323" s="184">
        <v>1119.0</v>
      </c>
      <c r="L323" s="35" t="str">
        <f>IFERROR(__xludf.DUMMYFUNCTION("filter($O$1:$O$200,$K$1:$K$200=N323)"),"#REF!")</f>
        <v>#REF!</v>
      </c>
      <c r="M323" s="22"/>
      <c r="N323" s="184"/>
      <c r="O323" s="184"/>
      <c r="P323" s="184"/>
    </row>
    <row r="324">
      <c r="A324" s="177">
        <v>44371.0</v>
      </c>
      <c r="B324" s="178" t="str">
        <f>IFERROR(__xludf.DUMMYFUNCTION("FILTER($H$2:$H$445,$I$2:$I$445=D324)"),"Cognitive Science Club")</f>
        <v>Cognitive Science Club</v>
      </c>
      <c r="C324" s="178" t="str">
        <f>IFERROR(__xludf.DUMMYFUNCTION("filter($J$1:$J$500, $K$1:$K$500=D324)"),"Pre-Professional")</f>
        <v>Pre-Professional</v>
      </c>
      <c r="D324" s="179">
        <v>338.0</v>
      </c>
      <c r="F324" s="191">
        <v>1244.0</v>
      </c>
      <c r="G324" s="42"/>
      <c r="H324" s="185" t="s">
        <v>351</v>
      </c>
      <c r="I324" s="182">
        <v>1839.0</v>
      </c>
      <c r="J324" s="183" t="s">
        <v>30</v>
      </c>
      <c r="K324" s="184">
        <v>1946.0</v>
      </c>
      <c r="L324" s="35" t="str">
        <f>IFERROR(__xludf.DUMMYFUNCTION("filter($O$1:$O$200,$K$1:$K$200=N324)"),"#REF!")</f>
        <v>#REF!</v>
      </c>
      <c r="M324" s="22"/>
      <c r="N324" s="184"/>
      <c r="O324" s="184"/>
      <c r="P324" s="184"/>
    </row>
    <row r="325">
      <c r="A325" s="177">
        <v>44371.0</v>
      </c>
      <c r="B325" s="178" t="str">
        <f>IFERROR(__xludf.DUMMYFUNCTION("FILTER($H$2:$H$445,$I$2:$I$445=D325)"),"Blueprint")</f>
        <v>Blueprint</v>
      </c>
      <c r="C325" s="178" t="str">
        <f>IFERROR(__xludf.DUMMYFUNCTION("filter($J$1:$J$500, $K$1:$K$500=D325)"),"Pre-Professional")</f>
        <v>Pre-Professional</v>
      </c>
      <c r="D325" s="179">
        <v>1934.0</v>
      </c>
      <c r="F325" s="191">
        <v>2149.0</v>
      </c>
      <c r="G325" s="42"/>
      <c r="H325" s="181" t="s">
        <v>352</v>
      </c>
      <c r="I325" s="182">
        <v>232.0</v>
      </c>
      <c r="J325" s="183" t="s">
        <v>13</v>
      </c>
      <c r="K325" s="184">
        <v>1411.0</v>
      </c>
      <c r="L325" s="35" t="str">
        <f>IFERROR(__xludf.DUMMYFUNCTION("filter($O$1:$O$200,$K$1:$K$200=N325)"),"#REF!")</f>
        <v>#REF!</v>
      </c>
      <c r="M325" s="22"/>
      <c r="N325" s="184"/>
      <c r="O325" s="184"/>
      <c r="P325" s="184"/>
    </row>
    <row r="326">
      <c r="A326" s="177">
        <v>44371.0</v>
      </c>
      <c r="B326" s="178" t="str">
        <f>IFERROR(__xludf.DUMMYFUNCTION("FILTER($H$2:$H$445,$I$2:$I$445=D326)"),"Women in Computer Science")</f>
        <v>Women in Computer Science</v>
      </c>
      <c r="C326" s="178" t="str">
        <f>IFERROR(__xludf.DUMMYFUNCTION("filter($J$1:$J$500, $K$1:$K$500=D326)"),"Pre-Professional")</f>
        <v>Pre-Professional</v>
      </c>
      <c r="D326" s="179">
        <v>209.0</v>
      </c>
      <c r="F326" s="191">
        <v>2155.0</v>
      </c>
      <c r="G326" s="42"/>
      <c r="H326" s="181" t="s">
        <v>353</v>
      </c>
      <c r="I326" s="182">
        <v>149.0</v>
      </c>
      <c r="J326" s="183" t="s">
        <v>19</v>
      </c>
      <c r="K326" s="184">
        <v>1961.0</v>
      </c>
      <c r="L326" s="35" t="str">
        <f>IFERROR(__xludf.DUMMYFUNCTION("filter($O$1:$O$200,$K$1:$K$200=N326)"),"#REF!")</f>
        <v>#REF!</v>
      </c>
      <c r="M326" s="22"/>
      <c r="N326" s="184"/>
      <c r="O326" s="184"/>
      <c r="P326" s="184"/>
    </row>
    <row r="327">
      <c r="A327" s="177">
        <v>44371.0</v>
      </c>
      <c r="B327" s="178" t="str">
        <f>IFERROR(__xludf.DUMMYFUNCTION("FILTER($H$2:$H$445,$I$2:$I$445=D327)"),"Blueprint")</f>
        <v>Blueprint</v>
      </c>
      <c r="C327" s="178" t="str">
        <f>IFERROR(__xludf.DUMMYFUNCTION("filter($J$1:$J$500, $K$1:$K$500=D327)"),"Pre-Professional")</f>
        <v>Pre-Professional</v>
      </c>
      <c r="D327" s="179">
        <v>1934.0</v>
      </c>
      <c r="F327" s="191">
        <v>2340.0</v>
      </c>
      <c r="G327" s="42"/>
      <c r="H327" s="181" t="s">
        <v>354</v>
      </c>
      <c r="I327" s="182">
        <v>452.0</v>
      </c>
      <c r="J327" s="183" t="s">
        <v>25</v>
      </c>
      <c r="K327" s="184">
        <v>132.0</v>
      </c>
      <c r="L327" s="35" t="str">
        <f>IFERROR(__xludf.DUMMYFUNCTION("filter($O$1:$O$200,$K$1:$K$200=N327)"),"#REF!")</f>
        <v>#REF!</v>
      </c>
      <c r="M327" s="22"/>
      <c r="N327" s="184"/>
      <c r="O327" s="184"/>
      <c r="P327" s="184"/>
    </row>
    <row r="328">
      <c r="A328" s="177">
        <v>44371.0</v>
      </c>
      <c r="B328" s="178" t="str">
        <f>IFERROR(__xludf.DUMMYFUNCTION("FILTER($H$2:$H$445,$I$2:$I$445=D328)"),"JMED")</f>
        <v>JMED</v>
      </c>
      <c r="C328" s="178" t="str">
        <f>IFERROR(__xludf.DUMMYFUNCTION("filter($J$1:$J$500, $K$1:$K$500=D328)"),"Pre-Professional")</f>
        <v>Pre-Professional</v>
      </c>
      <c r="D328" s="179">
        <v>1143.0</v>
      </c>
      <c r="F328" s="191">
        <v>2614.0</v>
      </c>
      <c r="G328" s="42"/>
      <c r="H328" s="181" t="s">
        <v>355</v>
      </c>
      <c r="I328" s="182">
        <v>621.0</v>
      </c>
      <c r="J328" s="183" t="s">
        <v>13</v>
      </c>
      <c r="K328" s="184">
        <v>1797.0</v>
      </c>
      <c r="L328" s="35" t="str">
        <f>IFERROR(__xludf.DUMMYFUNCTION("filter($O$1:$O$200,$K$1:$K$200=N328)"),"#REF!")</f>
        <v>#REF!</v>
      </c>
      <c r="M328" s="22"/>
      <c r="N328" s="184"/>
      <c r="O328" s="184"/>
      <c r="P328" s="184"/>
    </row>
    <row r="329">
      <c r="A329" s="177">
        <v>44371.0</v>
      </c>
      <c r="B329" s="178" t="str">
        <f>IFERROR(__xludf.DUMMYFUNCTION("FILTER($H$2:$H$445,$I$2:$I$445=D329)"),"American Medical Student Association")</f>
        <v>American Medical Student Association</v>
      </c>
      <c r="C329" s="178" t="str">
        <f>IFERROR(__xludf.DUMMYFUNCTION("filter($J$1:$J$500, $K$1:$K$500=D329)"),"Pre-Professional")</f>
        <v>Pre-Professional</v>
      </c>
      <c r="D329" s="179">
        <v>291.0</v>
      </c>
      <c r="F329" s="191">
        <v>3890.0</v>
      </c>
      <c r="G329" s="42"/>
      <c r="H329" s="181" t="s">
        <v>356</v>
      </c>
      <c r="I329" s="182">
        <v>1124.0</v>
      </c>
      <c r="J329" s="183" t="s">
        <v>17</v>
      </c>
      <c r="K329" s="184">
        <v>1063.0</v>
      </c>
      <c r="L329" s="35" t="str">
        <f>IFERROR(__xludf.DUMMYFUNCTION("filter($O$1:$O$200,$K$1:$K$200=N329)"),"#REF!")</f>
        <v>#REF!</v>
      </c>
      <c r="M329" s="22"/>
      <c r="N329" s="184"/>
      <c r="O329" s="184"/>
      <c r="P329" s="184"/>
    </row>
    <row r="330">
      <c r="A330" s="177">
        <v>44371.0</v>
      </c>
      <c r="B330" s="178" t="str">
        <f>IFERROR(__xludf.DUMMYFUNCTION("FILTER($H$2:$H$445,$I$2:$I$445=D330)"),"JMED")</f>
        <v>JMED</v>
      </c>
      <c r="C330" s="178" t="str">
        <f>IFERROR(__xludf.DUMMYFUNCTION("filter($J$1:$J$500, $K$1:$K$500=D330)"),"Pre-Professional")</f>
        <v>Pre-Professional</v>
      </c>
      <c r="D330" s="179">
        <v>1143.0</v>
      </c>
      <c r="F330" s="191">
        <v>3920.0</v>
      </c>
      <c r="G330" s="42"/>
      <c r="H330" s="181" t="s">
        <v>357</v>
      </c>
      <c r="I330" s="182">
        <v>1529.0</v>
      </c>
      <c r="J330" s="183" t="s">
        <v>27</v>
      </c>
      <c r="K330" s="184">
        <v>516.0</v>
      </c>
      <c r="L330" s="35" t="str">
        <f>IFERROR(__xludf.DUMMYFUNCTION("filter($O$1:$O$200,$K$1:$K$200=N330)"),"#REF!")</f>
        <v>#REF!</v>
      </c>
      <c r="M330" s="22"/>
      <c r="N330" s="184"/>
      <c r="O330" s="184"/>
      <c r="P330" s="184"/>
    </row>
    <row r="331">
      <c r="A331" s="192">
        <v>44371.0</v>
      </c>
      <c r="B331" s="193" t="str">
        <f>IFERROR(__xludf.DUMMYFUNCTION("FILTER($H$2:$H$445,$I$2:$I$445=D331)"),"House the Hub")</f>
        <v>House the Hub</v>
      </c>
      <c r="C331" s="193" t="str">
        <f>IFERROR(__xludf.DUMMYFUNCTION("filter($J$1:$J$500, $K$1:$K$500=D331)"),"Social Action/Political")</f>
        <v>Social Action/Political</v>
      </c>
      <c r="D331" s="194">
        <v>1594.0</v>
      </c>
      <c r="F331" s="195">
        <v>20.0</v>
      </c>
      <c r="G331" s="18"/>
      <c r="H331" s="196" t="s">
        <v>358</v>
      </c>
      <c r="I331" s="197">
        <v>1437.0</v>
      </c>
      <c r="J331" s="198" t="s">
        <v>37</v>
      </c>
      <c r="K331" s="199">
        <v>1578.0</v>
      </c>
      <c r="L331" s="35" t="str">
        <f>IFERROR(__xludf.DUMMYFUNCTION("filter($O$1:$O$200,$K$1:$K$200=N331)"),"#REF!")</f>
        <v>#REF!</v>
      </c>
      <c r="M331" s="22"/>
      <c r="N331" s="199"/>
      <c r="O331" s="199"/>
      <c r="P331" s="199"/>
    </row>
    <row r="332">
      <c r="A332" s="192">
        <v>44371.0</v>
      </c>
      <c r="B332" s="193" t="str">
        <f>IFERROR(__xludf.DUMMYFUNCTION("FILTER($H$2:$H$445,$I$2:$I$445=D332)"),"Queer Student Alliance")</f>
        <v>Queer Student Alliance</v>
      </c>
      <c r="C332" s="193" t="str">
        <f>IFERROR(__xludf.DUMMYFUNCTION("filter($J$1:$J$500, $K$1:$K$500=D332)"),"Social Action/Political")</f>
        <v>Social Action/Political</v>
      </c>
      <c r="D332" s="194">
        <v>128.0</v>
      </c>
      <c r="F332" s="195">
        <v>50.0</v>
      </c>
      <c r="G332" s="18"/>
      <c r="H332" s="196" t="s">
        <v>359</v>
      </c>
      <c r="I332" s="197">
        <v>759.0</v>
      </c>
      <c r="J332" s="198" t="s">
        <v>22</v>
      </c>
      <c r="K332" s="199">
        <v>1191.0</v>
      </c>
      <c r="L332" s="35" t="str">
        <f>IFERROR(__xludf.DUMMYFUNCTION("filter($O$1:$O$200,$K$1:$K$200=N332)"),"#REF!")</f>
        <v>#REF!</v>
      </c>
      <c r="M332" s="22"/>
      <c r="N332" s="199"/>
      <c r="O332" s="199"/>
      <c r="P332" s="199"/>
    </row>
    <row r="333">
      <c r="A333" s="192">
        <v>44371.0</v>
      </c>
      <c r="B333" s="193" t="str">
        <f>IFERROR(__xludf.DUMMYFUNCTION("FILTER($H$2:$H$445,$I$2:$I$445=D333)"),"Amnesty International")</f>
        <v>Amnesty International</v>
      </c>
      <c r="C333" s="193" t="str">
        <f>IFERROR(__xludf.DUMMYFUNCTION("filter($J$1:$J$500, $K$1:$K$500=D333)"),"Social Action/Political")</f>
        <v>Social Action/Political</v>
      </c>
      <c r="D333" s="194">
        <v>26.0</v>
      </c>
      <c r="F333" s="195">
        <v>50.0</v>
      </c>
      <c r="G333" s="18"/>
      <c r="H333" s="200" t="s">
        <v>360</v>
      </c>
      <c r="I333" s="197">
        <v>762.0</v>
      </c>
      <c r="J333" s="198" t="s">
        <v>13</v>
      </c>
      <c r="K333" s="199">
        <v>1277.0</v>
      </c>
      <c r="L333" s="35" t="str">
        <f>IFERROR(__xludf.DUMMYFUNCTION("filter($O$1:$O$200,$K$1:$K$200=N333)"),"#REF!")</f>
        <v>#REF!</v>
      </c>
      <c r="M333" s="22"/>
      <c r="N333" s="199"/>
      <c r="O333" s="199"/>
      <c r="P333" s="199"/>
    </row>
    <row r="334">
      <c r="A334" s="192">
        <v>44371.0</v>
      </c>
      <c r="B334" s="193" t="str">
        <f>IFERROR(__xludf.DUMMYFUNCTION("FILTER($H$2:$H$445,$I$2:$I$445=D334)"),"Women's Political Caucus")</f>
        <v>Women's Political Caucus</v>
      </c>
      <c r="C334" s="193" t="str">
        <f>IFERROR(__xludf.DUMMYFUNCTION("filter($J$1:$J$500, $K$1:$K$500=D334)"),"Social Action/Political")</f>
        <v>Social Action/Political</v>
      </c>
      <c r="D334" s="194">
        <v>741.0</v>
      </c>
      <c r="F334" s="195">
        <v>100.0</v>
      </c>
      <c r="G334" s="18"/>
      <c r="H334" s="200" t="s">
        <v>361</v>
      </c>
      <c r="I334" s="197">
        <v>1857.0</v>
      </c>
      <c r="J334" s="198" t="s">
        <v>25</v>
      </c>
      <c r="K334" s="199">
        <v>1834.0</v>
      </c>
      <c r="L334" s="35" t="str">
        <f>IFERROR(__xludf.DUMMYFUNCTION("filter($O$1:$O$200,$K$1:$K$200=N334)"),"#REF!")</f>
        <v>#REF!</v>
      </c>
      <c r="M334" s="22"/>
      <c r="N334" s="199"/>
      <c r="O334" s="199"/>
      <c r="P334" s="199"/>
    </row>
    <row r="335">
      <c r="A335" s="192">
        <v>44371.0</v>
      </c>
      <c r="B335" s="193" t="str">
        <f>IFERROR(__xludf.DUMMYFUNCTION("FILTER($H$2:$H$445,$I$2:$I$445=D335)"),"GenUN")</f>
        <v>GenUN</v>
      </c>
      <c r="C335" s="193" t="str">
        <f>IFERROR(__xludf.DUMMYFUNCTION("filter($J$1:$J$500, $K$1:$K$500=D335)"),"Social Action/Political")</f>
        <v>Social Action/Political</v>
      </c>
      <c r="D335" s="194">
        <v>1849.0</v>
      </c>
      <c r="F335" s="195">
        <v>112.0</v>
      </c>
      <c r="G335" s="18"/>
      <c r="H335" s="200" t="s">
        <v>362</v>
      </c>
      <c r="I335" s="197">
        <v>1938.0</v>
      </c>
      <c r="J335" s="198" t="s">
        <v>37</v>
      </c>
      <c r="K335" s="199">
        <v>1468.0</v>
      </c>
      <c r="L335" s="35" t="str">
        <f>IFERROR(__xludf.DUMMYFUNCTION("filter($O$1:$O$200,$K$1:$K$200=N335)"),"#REF!")</f>
        <v>#REF!</v>
      </c>
      <c r="M335" s="22"/>
      <c r="N335" s="199"/>
      <c r="O335" s="199"/>
      <c r="P335" s="199"/>
    </row>
    <row r="336">
      <c r="A336" s="192">
        <v>44371.0</v>
      </c>
      <c r="B336" s="193" t="str">
        <f>IFERROR(__xludf.DUMMYFUNCTION("FILTER($H$2:$H$445,$I$2:$I$445=D336)"),"Women Organizing Against Harassment")</f>
        <v>Women Organizing Against Harassment</v>
      </c>
      <c r="C336" s="193" t="str">
        <f>IFERROR(__xludf.DUMMYFUNCTION("filter($J$1:$J$500, $K$1:$K$500=D336)"),"Social Action/Political")</f>
        <v>Social Action/Political</v>
      </c>
      <c r="D336" s="194">
        <v>1416.0</v>
      </c>
      <c r="F336" s="195">
        <v>112.0</v>
      </c>
      <c r="G336" s="18"/>
      <c r="H336" s="196" t="s">
        <v>363</v>
      </c>
      <c r="I336" s="197">
        <v>98.0</v>
      </c>
      <c r="J336" s="198" t="s">
        <v>15</v>
      </c>
      <c r="K336" s="199">
        <v>1703.0</v>
      </c>
      <c r="L336" s="35" t="str">
        <f>IFERROR(__xludf.DUMMYFUNCTION("filter($O$1:$O$200,$K$1:$K$200=N336)"),"#REF!")</f>
        <v>#REF!</v>
      </c>
      <c r="M336" s="22"/>
      <c r="N336" s="199"/>
      <c r="O336" s="199"/>
      <c r="P336" s="199"/>
    </row>
    <row r="337">
      <c r="A337" s="192">
        <v>44371.0</v>
      </c>
      <c r="B337" s="193" t="str">
        <f>IFERROR(__xludf.DUMMYFUNCTION("FILTER($H$2:$H$445,$I$2:$I$445=D337)"),"Women Organizing Against Harassment")</f>
        <v>Women Organizing Against Harassment</v>
      </c>
      <c r="C337" s="193" t="str">
        <f>IFERROR(__xludf.DUMMYFUNCTION("filter($J$1:$J$500, $K$1:$K$500=D337)"),"Social Action/Political")</f>
        <v>Social Action/Political</v>
      </c>
      <c r="D337" s="194">
        <v>1416.0</v>
      </c>
      <c r="F337" s="195">
        <v>140.0</v>
      </c>
      <c r="G337" s="18"/>
      <c r="H337" s="196" t="s">
        <v>364</v>
      </c>
      <c r="I337" s="197">
        <v>1511.0</v>
      </c>
      <c r="J337" s="198" t="s">
        <v>13</v>
      </c>
      <c r="K337" s="199">
        <v>362.0</v>
      </c>
      <c r="L337" s="35" t="str">
        <f>IFERROR(__xludf.DUMMYFUNCTION("filter($O$1:$O$200,$K$1:$K$200=N337)"),"#REF!")</f>
        <v>#REF!</v>
      </c>
      <c r="M337" s="22"/>
      <c r="N337" s="199"/>
      <c r="O337" s="199"/>
      <c r="P337" s="199"/>
    </row>
    <row r="338">
      <c r="A338" s="192">
        <v>44371.0</v>
      </c>
      <c r="B338" s="193" t="str">
        <f>IFERROR(__xludf.DUMMYFUNCTION("FILTER($H$2:$H$445,$I$2:$I$445=D338)"),"Students for Justice in Palestine")</f>
        <v>Students for Justice in Palestine</v>
      </c>
      <c r="C338" s="193" t="str">
        <f>IFERROR(__xludf.DUMMYFUNCTION("filter($J$1:$J$500, $K$1:$K$500=D338)"),"Social Action/Political")</f>
        <v>Social Action/Political</v>
      </c>
      <c r="D338" s="194">
        <v>586.0</v>
      </c>
      <c r="F338" s="195">
        <v>159.57</v>
      </c>
      <c r="G338" s="18"/>
      <c r="H338" s="200" t="s">
        <v>365</v>
      </c>
      <c r="I338" s="197">
        <v>822.0</v>
      </c>
      <c r="J338" s="198" t="s">
        <v>15</v>
      </c>
      <c r="K338" s="199">
        <v>710.0</v>
      </c>
      <c r="L338" s="35" t="str">
        <f>IFERROR(__xludf.DUMMYFUNCTION("filter($O$1:$O$200,$K$1:$K$200=N338)"),"#REF!")</f>
        <v>#REF!</v>
      </c>
      <c r="M338" s="22"/>
      <c r="N338" s="199"/>
      <c r="O338" s="199"/>
      <c r="P338" s="199"/>
    </row>
    <row r="339">
      <c r="A339" s="192">
        <v>44371.0</v>
      </c>
      <c r="B339" s="193" t="str">
        <f>IFERROR(__xludf.DUMMYFUNCTION("FILTER($H$2:$H$445,$I$2:$I$445=D339)"),"UndocRutgers")</f>
        <v>UndocRutgers</v>
      </c>
      <c r="C339" s="193" t="str">
        <f>IFERROR(__xludf.DUMMYFUNCTION("filter($J$1:$J$500, $K$1:$K$500=D339)"),"Social Action/Political")</f>
        <v>Social Action/Political</v>
      </c>
      <c r="D339" s="194">
        <v>1754.0</v>
      </c>
      <c r="F339" s="195">
        <v>200.0</v>
      </c>
      <c r="G339" s="18"/>
      <c r="H339" s="196" t="s">
        <v>366</v>
      </c>
      <c r="I339" s="197">
        <v>1934.0</v>
      </c>
      <c r="J339" s="198" t="s">
        <v>37</v>
      </c>
      <c r="K339" s="199">
        <v>224.0</v>
      </c>
      <c r="L339" s="35" t="str">
        <f>IFERROR(__xludf.DUMMYFUNCTION("filter($O$1:$O$200,$K$1:$K$200=N339)"),"#REF!")</f>
        <v>#REF!</v>
      </c>
      <c r="M339" s="22"/>
      <c r="N339" s="199"/>
      <c r="O339" s="199"/>
      <c r="P339" s="199"/>
    </row>
    <row r="340">
      <c r="A340" s="192">
        <v>44371.0</v>
      </c>
      <c r="B340" s="193" t="str">
        <f>IFERROR(__xludf.DUMMYFUNCTION("FILTER($H$2:$H$445,$I$2:$I$445=D340)"),"Douglass Governing Council")</f>
        <v>Douglass Governing Council</v>
      </c>
      <c r="C340" s="193" t="str">
        <f>IFERROR(__xludf.DUMMYFUNCTION("filter($J$1:$J$500, $K$1:$K$500=D340)"),"Social Action/Political")</f>
        <v>Social Action/Political</v>
      </c>
      <c r="D340" s="194">
        <v>726.0</v>
      </c>
      <c r="F340" s="195">
        <v>200.0</v>
      </c>
      <c r="G340" s="18"/>
      <c r="H340" s="200" t="s">
        <v>367</v>
      </c>
      <c r="I340" s="197">
        <v>1013.0</v>
      </c>
      <c r="J340" s="198" t="s">
        <v>30</v>
      </c>
      <c r="K340" s="199">
        <v>630.0</v>
      </c>
      <c r="L340" s="35" t="str">
        <f>IFERROR(__xludf.DUMMYFUNCTION("filter($O$1:$O$200,$K$1:$K$200=N340)"),"#REF!")</f>
        <v>#REF!</v>
      </c>
      <c r="M340" s="22"/>
      <c r="N340" s="199"/>
      <c r="O340" s="199"/>
      <c r="P340" s="199"/>
    </row>
    <row r="341">
      <c r="A341" s="192">
        <v>44371.0</v>
      </c>
      <c r="B341" s="193" t="str">
        <f>IFERROR(__xludf.DUMMYFUNCTION("FILTER($H$2:$H$445,$I$2:$I$445=D341)"),"Transmissions")</f>
        <v>Transmissions</v>
      </c>
      <c r="C341" s="193" t="str">
        <f>IFERROR(__xludf.DUMMYFUNCTION("filter($J$1:$J$500, $K$1:$K$500=D341)"),"Social Action/Political")</f>
        <v>Social Action/Political</v>
      </c>
      <c r="D341" s="194">
        <v>1425.0</v>
      </c>
      <c r="F341" s="195">
        <v>200.0</v>
      </c>
      <c r="G341" s="18"/>
      <c r="H341" s="196" t="s">
        <v>368</v>
      </c>
      <c r="I341" s="197">
        <v>1746.0</v>
      </c>
      <c r="J341" s="198" t="s">
        <v>37</v>
      </c>
      <c r="K341" s="199">
        <v>1697.0</v>
      </c>
      <c r="L341" s="35" t="str">
        <f>IFERROR(__xludf.DUMMYFUNCTION("filter($O$1:$O$200,$K$1:$K$200=N341)"),"#REF!")</f>
        <v>#REF!</v>
      </c>
      <c r="M341" s="22"/>
      <c r="N341" s="199"/>
      <c r="O341" s="199"/>
      <c r="P341" s="199"/>
    </row>
    <row r="342">
      <c r="A342" s="192">
        <v>44371.0</v>
      </c>
      <c r="B342" s="193" t="str">
        <f>IFERROR(__xludf.DUMMYFUNCTION("FILTER($H$2:$H$445,$I$2:$I$445=D342)"),"Sisters with Values")</f>
        <v>Sisters with Values</v>
      </c>
      <c r="C342" s="193" t="str">
        <f>IFERROR(__xludf.DUMMYFUNCTION("filter($J$1:$J$500, $K$1:$K$500=D342)"),"Social Action/Political")</f>
        <v>Social Action/Political</v>
      </c>
      <c r="D342" s="194">
        <v>1274.0</v>
      </c>
      <c r="F342" s="195">
        <v>200.0</v>
      </c>
      <c r="G342" s="18"/>
      <c r="H342" s="200" t="s">
        <v>369</v>
      </c>
      <c r="I342" s="197">
        <v>1109.0</v>
      </c>
      <c r="J342" s="198" t="s">
        <v>30</v>
      </c>
      <c r="K342" s="199">
        <v>1766.0</v>
      </c>
      <c r="L342" s="35" t="str">
        <f>IFERROR(__xludf.DUMMYFUNCTION("filter($O$1:$O$200,$K$1:$K$200=N342)"),"#REF!")</f>
        <v>#REF!</v>
      </c>
      <c r="M342" s="22"/>
      <c r="N342" s="199"/>
      <c r="O342" s="199"/>
      <c r="P342" s="199"/>
    </row>
    <row r="343">
      <c r="A343" s="192">
        <v>44371.0</v>
      </c>
      <c r="B343" s="193" t="str">
        <f>IFERROR(__xludf.DUMMYFUNCTION("FILTER($H$2:$H$445,$I$2:$I$445=D343)"),"Sophia Club")</f>
        <v>Sophia Club</v>
      </c>
      <c r="C343" s="193" t="str">
        <f>IFERROR(__xludf.DUMMYFUNCTION("filter($J$1:$J$500, $K$1:$K$500=D343)"),"Social Action/Political")</f>
        <v>Social Action/Political</v>
      </c>
      <c r="D343" s="194">
        <v>733.0</v>
      </c>
      <c r="F343" s="195">
        <v>200.0</v>
      </c>
      <c r="G343" s="18"/>
      <c r="H343" s="196" t="s">
        <v>370</v>
      </c>
      <c r="I343" s="197">
        <v>1905.0</v>
      </c>
      <c r="J343" s="198" t="s">
        <v>17</v>
      </c>
      <c r="K343" s="199">
        <v>1835.0</v>
      </c>
      <c r="L343" s="35" t="str">
        <f>IFERROR(__xludf.DUMMYFUNCTION("filter($O$1:$O$200,$K$1:$K$200=N343)"),"#REF!")</f>
        <v>#REF!</v>
      </c>
      <c r="M343" s="22"/>
      <c r="N343" s="199"/>
      <c r="O343" s="199"/>
      <c r="P343" s="199"/>
    </row>
    <row r="344">
      <c r="A344" s="192">
        <v>44371.0</v>
      </c>
      <c r="B344" s="193" t="str">
        <f>IFERROR(__xludf.DUMMYFUNCTION("FILTER($H$2:$H$445,$I$2:$I$445=D344)"),"Queer Student Alliance")</f>
        <v>Queer Student Alliance</v>
      </c>
      <c r="C344" s="193" t="str">
        <f>IFERROR(__xludf.DUMMYFUNCTION("filter($J$1:$J$500, $K$1:$K$500=D344)"),"Social Action/Political")</f>
        <v>Social Action/Political</v>
      </c>
      <c r="D344" s="194">
        <v>128.0</v>
      </c>
      <c r="F344" s="195">
        <v>218.0</v>
      </c>
      <c r="G344" s="18"/>
      <c r="H344" s="200" t="s">
        <v>371</v>
      </c>
      <c r="I344" s="197">
        <v>1306.0</v>
      </c>
      <c r="J344" s="201"/>
      <c r="K344" s="202"/>
      <c r="L344" s="35" t="str">
        <f>IFERROR(__xludf.DUMMYFUNCTION("filter($O$1:$O$200,$K$1:$K$200=N344)"),"#REF!")</f>
        <v>#REF!</v>
      </c>
      <c r="M344" s="22"/>
      <c r="N344" s="202"/>
      <c r="O344" s="202"/>
      <c r="P344" s="202"/>
    </row>
    <row r="345">
      <c r="A345" s="192">
        <v>44371.0</v>
      </c>
      <c r="B345" s="193" t="str">
        <f>IFERROR(__xludf.DUMMYFUNCTION("FILTER($H$2:$H$445,$I$2:$I$445=D345)"),"Women's Center Coalition")</f>
        <v>Women's Center Coalition</v>
      </c>
      <c r="C345" s="193" t="str">
        <f>IFERROR(__xludf.DUMMYFUNCTION("filter($J$1:$J$500, $K$1:$K$500=D345)"),"Social Action/Political")</f>
        <v>Social Action/Political</v>
      </c>
      <c r="D345" s="194">
        <v>737.0</v>
      </c>
      <c r="F345" s="195">
        <v>250.0</v>
      </c>
      <c r="G345" s="18"/>
      <c r="H345" s="200" t="s">
        <v>372</v>
      </c>
      <c r="I345" s="203" t="s">
        <v>99</v>
      </c>
      <c r="J345" s="198" t="s">
        <v>22</v>
      </c>
      <c r="K345" s="199">
        <v>624.0</v>
      </c>
      <c r="L345" s="35" t="str">
        <f>IFERROR(__xludf.DUMMYFUNCTION("filter($O$1:$O$200,$K$1:$K$200=N345)"),"#REF!")</f>
        <v>#REF!</v>
      </c>
      <c r="M345" s="22"/>
      <c r="N345" s="199"/>
      <c r="O345" s="199"/>
      <c r="P345" s="199"/>
    </row>
    <row r="346">
      <c r="A346" s="192">
        <v>44371.0</v>
      </c>
      <c r="B346" s="193" t="str">
        <f>IFERROR(__xludf.DUMMYFUNCTION("FILTER($H$2:$H$445,$I$2:$I$445=D346)"),"She's the First")</f>
        <v>She's the First</v>
      </c>
      <c r="C346" s="193" t="str">
        <f>IFERROR(__xludf.DUMMYFUNCTION("filter($J$1:$J$500, $K$1:$K$500=D346)"),"Social Action/Political")</f>
        <v>Social Action/Political</v>
      </c>
      <c r="D346" s="194">
        <v>1475.0</v>
      </c>
      <c r="F346" s="195">
        <v>300.0</v>
      </c>
      <c r="G346" s="18"/>
      <c r="H346" s="200" t="s">
        <v>373</v>
      </c>
      <c r="I346" s="197">
        <v>620.0</v>
      </c>
      <c r="J346" s="198" t="s">
        <v>15</v>
      </c>
      <c r="K346" s="199">
        <v>348.0</v>
      </c>
      <c r="L346" s="35" t="str">
        <f>IFERROR(__xludf.DUMMYFUNCTION("filter($O$1:$O$200,$K$1:$K$200=N346)"),"#REF!")</f>
        <v>#REF!</v>
      </c>
      <c r="M346" s="22"/>
      <c r="N346" s="199"/>
      <c r="O346" s="199"/>
      <c r="P346" s="199"/>
    </row>
    <row r="347">
      <c r="A347" s="192">
        <v>44371.0</v>
      </c>
      <c r="B347" s="193" t="str">
        <f>IFERROR(__xludf.DUMMYFUNCTION("FILTER($H$2:$H$445,$I$2:$I$445=D347)"),"Bioethics Society")</f>
        <v>Bioethics Society</v>
      </c>
      <c r="C347" s="193" t="str">
        <f>IFERROR(__xludf.DUMMYFUNCTION("filter($J$1:$J$500, $K$1:$K$500=D347)"),"Social Action/Political")</f>
        <v>Social Action/Political</v>
      </c>
      <c r="D347" s="194">
        <v>1108.0</v>
      </c>
      <c r="F347" s="195">
        <v>335.45</v>
      </c>
      <c r="G347" s="18"/>
      <c r="H347" s="200" t="s">
        <v>374</v>
      </c>
      <c r="I347" s="197">
        <v>758.0</v>
      </c>
      <c r="J347" s="198" t="s">
        <v>25</v>
      </c>
      <c r="K347" s="199">
        <v>1800.0</v>
      </c>
      <c r="L347" s="35" t="str">
        <f>IFERROR(__xludf.DUMMYFUNCTION("filter($O$1:$O$200,$K$1:$K$200=N347)"),"#REF!")</f>
        <v>#REF!</v>
      </c>
      <c r="M347" s="22"/>
      <c r="N347" s="199"/>
      <c r="O347" s="199"/>
      <c r="P347" s="199"/>
    </row>
    <row r="348">
      <c r="A348" s="192">
        <v>44371.0</v>
      </c>
      <c r="B348" s="193" t="str">
        <f>IFERROR(__xludf.DUMMYFUNCTION("FILTER($H$2:$H$445,$I$2:$I$445=D348)"),"Douglass Governing Council")</f>
        <v>Douglass Governing Council</v>
      </c>
      <c r="C348" s="193" t="str">
        <f>IFERROR(__xludf.DUMMYFUNCTION("filter($J$1:$J$500, $K$1:$K$500=D348)"),"Social Action/Political")</f>
        <v>Social Action/Political</v>
      </c>
      <c r="D348" s="194">
        <v>726.0</v>
      </c>
      <c r="F348" s="195">
        <v>415.0</v>
      </c>
      <c r="G348" s="18"/>
      <c r="H348" s="200" t="s">
        <v>375</v>
      </c>
      <c r="I348" s="197">
        <v>1748.0</v>
      </c>
      <c r="J348" s="198" t="s">
        <v>27</v>
      </c>
      <c r="K348" s="199">
        <v>1837.0</v>
      </c>
      <c r="L348" s="35" t="str">
        <f>IFERROR(__xludf.DUMMYFUNCTION("filter($O$1:$O$200,$K$1:$K$200=N348)"),"#REF!")</f>
        <v>#REF!</v>
      </c>
      <c r="M348" s="22"/>
      <c r="N348" s="199"/>
      <c r="O348" s="199"/>
      <c r="P348" s="199"/>
    </row>
    <row r="349">
      <c r="A349" s="192">
        <v>44371.0</v>
      </c>
      <c r="B349" s="193" t="str">
        <f>IFERROR(__xludf.DUMMYFUNCTION("FILTER($H$2:$H$445,$I$2:$I$445=D349)"),"GlobeMed")</f>
        <v>GlobeMed</v>
      </c>
      <c r="C349" s="193" t="str">
        <f>IFERROR(__xludf.DUMMYFUNCTION("filter($J$1:$J$500, $K$1:$K$500=D349)"),"Social Action/Political")</f>
        <v>Social Action/Political</v>
      </c>
      <c r="D349" s="194">
        <v>1347.0</v>
      </c>
      <c r="F349" s="195">
        <v>450.0</v>
      </c>
      <c r="G349" s="18"/>
      <c r="H349" s="200" t="s">
        <v>376</v>
      </c>
      <c r="I349" s="197">
        <v>766.0</v>
      </c>
      <c r="J349" s="198" t="s">
        <v>17</v>
      </c>
      <c r="K349" s="199">
        <v>401.0</v>
      </c>
      <c r="L349" s="35" t="str">
        <f>IFERROR(__xludf.DUMMYFUNCTION("filter($O$1:$O$200,$K$1:$K$200=N349)"),"#REF!")</f>
        <v>#REF!</v>
      </c>
      <c r="M349" s="22"/>
      <c r="N349" s="199"/>
      <c r="O349" s="199"/>
      <c r="P349" s="199"/>
    </row>
    <row r="350">
      <c r="A350" s="192">
        <v>44371.0</v>
      </c>
      <c r="B350" s="193" t="str">
        <f>IFERROR(__xludf.DUMMYFUNCTION("FILTER($H$2:$H$445,$I$2:$I$445=D350)"),"UndocRutgers")</f>
        <v>UndocRutgers</v>
      </c>
      <c r="C350" s="193" t="str">
        <f>IFERROR(__xludf.DUMMYFUNCTION("filter($J$1:$J$500, $K$1:$K$500=D350)"),"Social Action/Political")</f>
        <v>Social Action/Political</v>
      </c>
      <c r="D350" s="194">
        <v>1754.0</v>
      </c>
      <c r="F350" s="195">
        <v>550.83</v>
      </c>
      <c r="G350" s="18"/>
      <c r="H350" s="200" t="s">
        <v>377</v>
      </c>
      <c r="I350" s="197">
        <v>246.0</v>
      </c>
      <c r="J350" s="198" t="s">
        <v>17</v>
      </c>
      <c r="K350" s="199">
        <v>1514.0</v>
      </c>
      <c r="L350" s="35" t="str">
        <f>IFERROR(__xludf.DUMMYFUNCTION("filter($O$1:$O$200,$K$1:$K$200=N350)"),"#REF!")</f>
        <v>#REF!</v>
      </c>
      <c r="M350" s="22"/>
      <c r="N350" s="199"/>
      <c r="O350" s="199"/>
      <c r="P350" s="199"/>
    </row>
    <row r="351">
      <c r="A351" s="192">
        <v>44371.0</v>
      </c>
      <c r="B351" s="193" t="str">
        <f>IFERROR(__xludf.DUMMYFUNCTION("FILTER($H$2:$H$445,$I$2:$I$445=D351)"),"Sophia Club")</f>
        <v>Sophia Club</v>
      </c>
      <c r="C351" s="193" t="str">
        <f>IFERROR(__xludf.DUMMYFUNCTION("filter($J$1:$J$500, $K$1:$K$500=D351)"),"Social Action/Political")</f>
        <v>Social Action/Political</v>
      </c>
      <c r="D351" s="194">
        <v>733.0</v>
      </c>
      <c r="F351" s="195">
        <v>583.24</v>
      </c>
      <c r="G351" s="18"/>
      <c r="H351" s="200" t="s">
        <v>378</v>
      </c>
      <c r="I351" s="197">
        <v>1783.0</v>
      </c>
      <c r="J351" s="198" t="s">
        <v>30</v>
      </c>
      <c r="K351" s="199">
        <v>628.0</v>
      </c>
      <c r="L351" s="35" t="str">
        <f>IFERROR(__xludf.DUMMYFUNCTION("filter($O$1:$O$200,$K$1:$K$200=N351)"),"#REF!")</f>
        <v>#REF!</v>
      </c>
      <c r="M351" s="22"/>
      <c r="N351" s="199"/>
      <c r="O351" s="199"/>
      <c r="P351" s="199"/>
    </row>
    <row r="352">
      <c r="A352" s="192">
        <v>44371.0</v>
      </c>
      <c r="B352" s="193" t="str">
        <f>IFERROR(__xludf.DUMMYFUNCTION("FILTER($H$2:$H$445,$I$2:$I$445=D352)"),"Rutgers One and The Same Foundation (RUOATS)")</f>
        <v>Rutgers One and The Same Foundation (RUOATS)</v>
      </c>
      <c r="C352" s="193" t="str">
        <f>IFERROR(__xludf.DUMMYFUNCTION("filter($J$1:$J$500, $K$1:$K$500=D352)"),"Social Action/Political")</f>
        <v>Social Action/Political</v>
      </c>
      <c r="D352" s="194">
        <v>1663.0</v>
      </c>
      <c r="F352" s="195">
        <v>645.0</v>
      </c>
      <c r="G352" s="18"/>
      <c r="H352" s="200" t="s">
        <v>379</v>
      </c>
      <c r="I352" s="197">
        <v>1827.0</v>
      </c>
      <c r="J352" s="198" t="s">
        <v>17</v>
      </c>
      <c r="K352" s="199">
        <v>1571.0</v>
      </c>
      <c r="L352" s="35" t="str">
        <f>IFERROR(__xludf.DUMMYFUNCTION("filter($O$1:$O$200,$K$1:$K$200=N352)"),"#REF!")</f>
        <v>#REF!</v>
      </c>
      <c r="M352" s="22"/>
      <c r="N352" s="199"/>
      <c r="O352" s="199"/>
      <c r="P352" s="199"/>
    </row>
    <row r="353">
      <c r="A353" s="192">
        <v>44371.0</v>
      </c>
      <c r="B353" s="193" t="str">
        <f>IFERROR(__xludf.DUMMYFUNCTION("FILTER($H$2:$H$445,$I$2:$I$445=D353)"),"GlobeMed")</f>
        <v>GlobeMed</v>
      </c>
      <c r="C353" s="193" t="str">
        <f>IFERROR(__xludf.DUMMYFUNCTION("filter($J$1:$J$500, $K$1:$K$500=D353)"),"Social Action/Political")</f>
        <v>Social Action/Political</v>
      </c>
      <c r="D353" s="194">
        <v>1347.0</v>
      </c>
      <c r="F353" s="195">
        <v>710.0</v>
      </c>
      <c r="G353" s="18"/>
      <c r="H353" s="196" t="s">
        <v>380</v>
      </c>
      <c r="I353" s="197">
        <v>512.0</v>
      </c>
      <c r="J353" s="198" t="s">
        <v>30</v>
      </c>
      <c r="K353" s="199">
        <v>1745.0</v>
      </c>
      <c r="L353" s="35" t="str">
        <f>IFERROR(__xludf.DUMMYFUNCTION("filter($O$1:$O$200,$K$1:$K$200=N353)"),"#REF!")</f>
        <v>#REF!</v>
      </c>
      <c r="M353" s="22"/>
      <c r="N353" s="199"/>
      <c r="O353" s="199"/>
      <c r="P353" s="199"/>
    </row>
    <row r="354">
      <c r="A354" s="192">
        <v>44371.0</v>
      </c>
      <c r="B354" s="193" t="str">
        <f>IFERROR(__xludf.DUMMYFUNCTION("FILTER($H$2:$H$445,$I$2:$I$445=D354)"),"Sisters with Values")</f>
        <v>Sisters with Values</v>
      </c>
      <c r="C354" s="193" t="str">
        <f>IFERROR(__xludf.DUMMYFUNCTION("filter($J$1:$J$500, $K$1:$K$500=D354)"),"Social Action/Political")</f>
        <v>Social Action/Political</v>
      </c>
      <c r="D354" s="194">
        <v>1274.0</v>
      </c>
      <c r="F354" s="195">
        <v>820.0</v>
      </c>
      <c r="G354" s="18"/>
      <c r="H354" s="196" t="s">
        <v>381</v>
      </c>
      <c r="I354" s="197">
        <v>1273.0</v>
      </c>
      <c r="J354" s="198" t="s">
        <v>15</v>
      </c>
      <c r="K354" s="199">
        <v>468.0</v>
      </c>
      <c r="L354" s="35" t="str">
        <f>IFERROR(__xludf.DUMMYFUNCTION("filter($O$1:$O$200,$K$1:$K$200=N354)"),"#REF!")</f>
        <v>#REF!</v>
      </c>
      <c r="M354" s="22"/>
      <c r="N354" s="199"/>
      <c r="O354" s="199"/>
      <c r="P354" s="199"/>
    </row>
    <row r="355">
      <c r="A355" s="192">
        <v>44371.0</v>
      </c>
      <c r="B355" s="193" t="str">
        <f>IFERROR(__xludf.DUMMYFUNCTION("FILTER($H$2:$H$445,$I$2:$I$445=D355)"),"RU Progressive")</f>
        <v>RU Progressive</v>
      </c>
      <c r="C355" s="193" t="str">
        <f>IFERROR(__xludf.DUMMYFUNCTION("filter($J$1:$J$500, $K$1:$K$500=D355)"),"Social Action/Political")</f>
        <v>Social Action/Political</v>
      </c>
      <c r="D355" s="194">
        <v>1769.0</v>
      </c>
      <c r="F355" s="195">
        <v>842.0</v>
      </c>
      <c r="G355" s="18"/>
      <c r="H355" s="196" t="s">
        <v>382</v>
      </c>
      <c r="I355" s="197">
        <v>1832.0</v>
      </c>
      <c r="J355" s="198" t="s">
        <v>43</v>
      </c>
      <c r="K355" s="199">
        <v>1508.0</v>
      </c>
      <c r="L355" s="35" t="str">
        <f>IFERROR(__xludf.DUMMYFUNCTION("filter($O$1:$O$200,$K$1:$K$200=N355)"),"#REF!")</f>
        <v>#REF!</v>
      </c>
      <c r="M355" s="22"/>
      <c r="N355" s="199"/>
      <c r="O355" s="199"/>
      <c r="P355" s="199"/>
    </row>
    <row r="356">
      <c r="A356" s="192">
        <v>44371.0</v>
      </c>
      <c r="B356" s="193" t="str">
        <f>IFERROR(__xludf.DUMMYFUNCTION("FILTER($H$2:$H$445,$I$2:$I$445=D356)"),"Amnesty International")</f>
        <v>Amnesty International</v>
      </c>
      <c r="C356" s="193" t="str">
        <f>IFERROR(__xludf.DUMMYFUNCTION("filter($J$1:$J$500, $K$1:$K$500=D356)"),"Social Action/Political")</f>
        <v>Social Action/Political</v>
      </c>
      <c r="D356" s="194">
        <v>26.0</v>
      </c>
      <c r="F356" s="195">
        <v>867.0</v>
      </c>
      <c r="G356" s="18"/>
      <c r="H356" s="200" t="s">
        <v>383</v>
      </c>
      <c r="I356" s="203" t="s">
        <v>384</v>
      </c>
      <c r="J356" s="201"/>
      <c r="K356" s="202"/>
      <c r="L356" s="35" t="str">
        <f>IFERROR(__xludf.DUMMYFUNCTION("filter($O$1:$O$200,$K$1:$K$200=N356)"),"#REF!")</f>
        <v>#REF!</v>
      </c>
      <c r="M356" s="22"/>
      <c r="N356" s="202"/>
      <c r="O356" s="202"/>
      <c r="P356" s="204">
        <f>AVERAGE(F322:F356)</f>
        <v>840.462</v>
      </c>
    </row>
    <row r="357">
      <c r="A357" s="192">
        <v>44371.0</v>
      </c>
      <c r="B357" s="193" t="str">
        <f>IFERROR(__xludf.DUMMYFUNCTION("FILTER($H$2:$H$445,$I$2:$I$445=D357)"),"House the Hub")</f>
        <v>House the Hub</v>
      </c>
      <c r="C357" s="193" t="str">
        <f>IFERROR(__xludf.DUMMYFUNCTION("filter($J$1:$J$500, $K$1:$K$500=D357)"),"Social Action/Political")</f>
        <v>Social Action/Political</v>
      </c>
      <c r="D357" s="194">
        <v>1594.0</v>
      </c>
      <c r="F357" s="205">
        <v>1000.0</v>
      </c>
      <c r="G357" s="42"/>
      <c r="H357" s="200" t="s">
        <v>385</v>
      </c>
      <c r="I357" s="197">
        <v>1030.0</v>
      </c>
      <c r="J357" s="198" t="s">
        <v>15</v>
      </c>
      <c r="K357" s="199">
        <v>295.0</v>
      </c>
      <c r="L357" s="35" t="str">
        <f>IFERROR(__xludf.DUMMYFUNCTION("filter($O$1:$O$200,$K$1:$K$200=N357)"),"#REF!")</f>
        <v>#REF!</v>
      </c>
      <c r="M357" s="22"/>
      <c r="N357" s="199"/>
      <c r="O357" s="199"/>
      <c r="P357" s="199"/>
    </row>
    <row r="358">
      <c r="A358" s="192">
        <v>44371.0</v>
      </c>
      <c r="B358" s="193" t="str">
        <f>IFERROR(__xludf.DUMMYFUNCTION("FILTER($H$2:$H$445,$I$2:$I$445=D358)"),"Vegetarian Society")</f>
        <v>Vegetarian Society</v>
      </c>
      <c r="C358" s="193" t="str">
        <f>IFERROR(__xludf.DUMMYFUNCTION("filter($J$1:$J$500, $K$1:$K$500=D358)"),"Social Action/Political")</f>
        <v>Social Action/Political</v>
      </c>
      <c r="D358" s="194">
        <v>1391.0</v>
      </c>
      <c r="F358" s="205">
        <v>1000.0</v>
      </c>
      <c r="G358" s="42"/>
      <c r="H358" s="196" t="s">
        <v>386</v>
      </c>
      <c r="I358" s="197">
        <v>338.0</v>
      </c>
      <c r="J358" s="198" t="s">
        <v>25</v>
      </c>
      <c r="K358" s="199">
        <v>386.0</v>
      </c>
      <c r="L358" s="35" t="str">
        <f>IFERROR(__xludf.DUMMYFUNCTION("filter($O$1:$O$200,$K$1:$K$200=N358)"),"#REF!")</f>
        <v>#REF!</v>
      </c>
      <c r="M358" s="22"/>
      <c r="N358" s="199"/>
      <c r="O358" s="199"/>
      <c r="P358" s="199"/>
    </row>
    <row r="359">
      <c r="A359" s="192">
        <v>44371.0</v>
      </c>
      <c r="B359" s="193" t="str">
        <f>IFERROR(__xludf.DUMMYFUNCTION("FILTER($H$2:$H$445,$I$2:$I$445=D359)"),"Democrats")</f>
        <v>Democrats</v>
      </c>
      <c r="C359" s="193" t="str">
        <f>IFERROR(__xludf.DUMMYFUNCTION("filter($J$1:$J$500, $K$1:$K$500=D359)"),"Social Action/Political")</f>
        <v>Social Action/Political</v>
      </c>
      <c r="D359" s="194">
        <v>29.0</v>
      </c>
      <c r="F359" s="205">
        <v>1016.0</v>
      </c>
      <c r="G359" s="42"/>
      <c r="H359" s="200" t="s">
        <v>387</v>
      </c>
      <c r="I359" s="197">
        <v>545.0</v>
      </c>
      <c r="J359" s="201"/>
      <c r="K359" s="202"/>
      <c r="L359" s="35" t="str">
        <f>IFERROR(__xludf.DUMMYFUNCTION("filter($O$1:$O$200,$K$1:$K$200=N359)"),"#REF!")</f>
        <v>#REF!</v>
      </c>
      <c r="M359" s="22"/>
      <c r="N359" s="202"/>
      <c r="O359" s="202"/>
      <c r="P359" s="202"/>
    </row>
    <row r="360">
      <c r="A360" s="192">
        <v>44371.0</v>
      </c>
      <c r="B360" s="193" t="str">
        <f>IFERROR(__xludf.DUMMYFUNCTION("FILTER($H$2:$H$445,$I$2:$I$445=D360)"),"She's the First")</f>
        <v>She's the First</v>
      </c>
      <c r="C360" s="193" t="str">
        <f>IFERROR(__xludf.DUMMYFUNCTION("filter($J$1:$J$500, $K$1:$K$500=D360)"),"Social Action/Political")</f>
        <v>Social Action/Political</v>
      </c>
      <c r="D360" s="194">
        <v>1475.0</v>
      </c>
      <c r="F360" s="205">
        <v>1101.0</v>
      </c>
      <c r="G360" s="42"/>
      <c r="H360" s="200" t="s">
        <v>388</v>
      </c>
      <c r="I360" s="197">
        <v>1393.0</v>
      </c>
      <c r="J360" s="198" t="s">
        <v>25</v>
      </c>
      <c r="K360" s="199">
        <v>1672.0</v>
      </c>
      <c r="L360" s="35" t="str">
        <f>IFERROR(__xludf.DUMMYFUNCTION("filter($O$1:$O$200,$K$1:$K$200=N360)"),"#REF!")</f>
        <v>#REF!</v>
      </c>
      <c r="M360" s="22"/>
      <c r="N360" s="199"/>
      <c r="O360" s="199"/>
      <c r="P360" s="199"/>
    </row>
    <row r="361">
      <c r="A361" s="192">
        <v>44371.0</v>
      </c>
      <c r="B361" s="193" t="str">
        <f>IFERROR(__xludf.DUMMYFUNCTION("FILTER($H$2:$H$445,$I$2:$I$445=D361)"),"Young Americans for Liberty")</f>
        <v>Young Americans for Liberty</v>
      </c>
      <c r="C361" s="193" t="str">
        <f>IFERROR(__xludf.DUMMYFUNCTION("filter($J$1:$J$500, $K$1:$K$500=D361)"),"Social Action/Political")</f>
        <v>Social Action/Political</v>
      </c>
      <c r="D361" s="194">
        <v>1191.0</v>
      </c>
      <c r="F361" s="205">
        <v>1350.0</v>
      </c>
      <c r="G361" s="42"/>
      <c r="H361" s="196" t="s">
        <v>389</v>
      </c>
      <c r="I361" s="197">
        <v>1662.0</v>
      </c>
      <c r="J361" s="198" t="s">
        <v>15</v>
      </c>
      <c r="K361" s="199">
        <v>495.0</v>
      </c>
      <c r="L361" s="35" t="str">
        <f>IFERROR(__xludf.DUMMYFUNCTION("filter($O$1:$O$200,$K$1:$K$200=N361)"),"#REF!")</f>
        <v>#REF!</v>
      </c>
      <c r="M361" s="22"/>
      <c r="N361" s="199"/>
      <c r="O361" s="199"/>
      <c r="P361" s="199"/>
    </row>
    <row r="362">
      <c r="A362" s="192">
        <v>44371.0</v>
      </c>
      <c r="B362" s="193" t="str">
        <f>IFERROR(__xludf.DUMMYFUNCTION("FILTER($H$2:$H$445,$I$2:$I$445=D362)"),"Democrats")</f>
        <v>Democrats</v>
      </c>
      <c r="C362" s="193" t="str">
        <f>IFERROR(__xludf.DUMMYFUNCTION("filter($J$1:$J$500, $K$1:$K$500=D362)"),"Social Action/Political")</f>
        <v>Social Action/Political</v>
      </c>
      <c r="D362" s="194">
        <v>29.0</v>
      </c>
      <c r="F362" s="205">
        <v>1500.0</v>
      </c>
      <c r="G362" s="42"/>
      <c r="H362" s="196" t="s">
        <v>390</v>
      </c>
      <c r="I362" s="197">
        <v>1949.0</v>
      </c>
      <c r="J362" s="198" t="s">
        <v>22</v>
      </c>
      <c r="K362" s="199">
        <v>1274.0</v>
      </c>
      <c r="L362" s="35" t="str">
        <f>IFERROR(__xludf.DUMMYFUNCTION("filter($O$1:$O$200,$K$1:$K$200=N362)"),"#REF!")</f>
        <v>#REF!</v>
      </c>
      <c r="M362" s="22"/>
      <c r="N362" s="199"/>
      <c r="O362" s="199"/>
      <c r="P362" s="199"/>
    </row>
    <row r="363">
      <c r="A363" s="192">
        <v>44371.0</v>
      </c>
      <c r="B363" s="193" t="str">
        <f>IFERROR(__xludf.DUMMYFUNCTION("FILTER($H$2:$H$445,$I$2:$I$445=D363)"),"Douglass Governing Council")</f>
        <v>Douglass Governing Council</v>
      </c>
      <c r="C363" s="193" t="str">
        <f>IFERROR(__xludf.DUMMYFUNCTION("filter($J$1:$J$500, $K$1:$K$500=D363)"),"Social Action/Political")</f>
        <v>Social Action/Political</v>
      </c>
      <c r="D363" s="194">
        <v>726.0</v>
      </c>
      <c r="F363" s="205">
        <v>4555.41</v>
      </c>
      <c r="G363" s="42"/>
      <c r="H363" s="200" t="s">
        <v>391</v>
      </c>
      <c r="I363" s="197">
        <v>405.0</v>
      </c>
      <c r="J363" s="196" t="s">
        <v>15</v>
      </c>
      <c r="K363" s="199">
        <v>19.0</v>
      </c>
      <c r="L363" s="35" t="str">
        <f>IFERROR(__xludf.DUMMYFUNCTION("filter($O$1:$O$200,$K$1:$K$200=N363)"),"#REF!")</f>
        <v>#REF!</v>
      </c>
      <c r="M363" s="22"/>
      <c r="N363" s="199"/>
      <c r="O363" s="199"/>
      <c r="P363" s="199"/>
    </row>
    <row r="364">
      <c r="A364" s="192">
        <v>44371.0</v>
      </c>
      <c r="B364" s="193" t="str">
        <f>IFERROR(__xludf.DUMMYFUNCTION("FILTER($H$2:$H$445,$I$2:$I$445=D364)"),"Queer Caucus")</f>
        <v>Queer Caucus</v>
      </c>
      <c r="C364" s="193" t="str">
        <f>IFERROR(__xludf.DUMMYFUNCTION("filter($J$1:$J$500, $K$1:$K$500=D364)"),"Social Action/Political")</f>
        <v>Social Action/Political</v>
      </c>
      <c r="D364" s="194">
        <v>1656.0</v>
      </c>
      <c r="F364" s="205">
        <v>6500.0</v>
      </c>
      <c r="G364" s="42"/>
      <c r="H364" s="200" t="s">
        <v>392</v>
      </c>
      <c r="I364" s="197">
        <v>824.0</v>
      </c>
      <c r="J364" s="196" t="s">
        <v>15</v>
      </c>
      <c r="K364" s="199">
        <v>6.0</v>
      </c>
      <c r="L364" s="35" t="str">
        <f>IFERROR(__xludf.DUMMYFUNCTION("filter($O$1:$O$200,$K$1:$K$200=N364)"),"#REF!")</f>
        <v>#REF!</v>
      </c>
      <c r="M364" s="22"/>
      <c r="N364" s="199"/>
      <c r="O364" s="199"/>
      <c r="P364" s="199"/>
    </row>
    <row r="365">
      <c r="A365" s="192">
        <v>44371.0</v>
      </c>
      <c r="B365" s="193" t="str">
        <f>IFERROR(__xludf.DUMMYFUNCTION("FILTER($H$2:$H$445,$I$2:$I$445=D365)"),"Rutgers University Student Assembly")</f>
        <v>Rutgers University Student Assembly</v>
      </c>
      <c r="C365" s="193" t="str">
        <f>IFERROR(__xludf.DUMMYFUNCTION("filter($J$1:$J$500, $K$1:$K$500=D365)"),"Social Action/Political")</f>
        <v>Social Action/Political</v>
      </c>
      <c r="D365" s="194">
        <v>707.0</v>
      </c>
      <c r="F365" s="206" t="s">
        <v>5</v>
      </c>
      <c r="G365" s="207"/>
      <c r="H365" s="196" t="s">
        <v>393</v>
      </c>
      <c r="I365" s="197">
        <v>754.0</v>
      </c>
      <c r="J365" s="198" t="s">
        <v>22</v>
      </c>
      <c r="K365" s="199">
        <v>660.0</v>
      </c>
      <c r="L365" s="35" t="str">
        <f>IFERROR(__xludf.DUMMYFUNCTION("filter($O$1:$O$200,$K$1:$K$200=N365)"),"#REF!")</f>
        <v>#REF!</v>
      </c>
      <c r="M365" s="205">
        <v>185307.69</v>
      </c>
      <c r="N365" s="199"/>
      <c r="O365" s="199"/>
      <c r="P365" s="199"/>
    </row>
    <row r="366">
      <c r="A366" s="15">
        <v>44371.0</v>
      </c>
      <c r="B366" s="16" t="str">
        <f>IFERROR(__xludf.DUMMYFUNCTION("FILTER($H$2:$H$445,$I$2:$I$445=D366)"),"#N/A")</f>
        <v>#N/A</v>
      </c>
      <c r="C366" s="16" t="str">
        <f>IFERROR(__xludf.DUMMYFUNCTION("filter($J$1:$J$500, $K$1:$K$500=D366)"),"#N/A")</f>
        <v>#N/A</v>
      </c>
      <c r="D366" s="17">
        <v>1985.0</v>
      </c>
      <c r="F366" s="18">
        <v>20.0</v>
      </c>
      <c r="G366" s="18"/>
      <c r="H366" s="208" t="s">
        <v>394</v>
      </c>
      <c r="I366" s="20">
        <v>1253.0</v>
      </c>
      <c r="J366" s="21" t="s">
        <v>34</v>
      </c>
      <c r="K366" s="22">
        <v>1355.0</v>
      </c>
      <c r="L366" s="35" t="str">
        <f>IFERROR(__xludf.DUMMYFUNCTION("filter($O$1:$O$200,$K$1:$K$200=N366)"),"#REF!")</f>
        <v>#REF!</v>
      </c>
      <c r="M366" s="22"/>
      <c r="N366" s="22"/>
      <c r="O366" s="22"/>
      <c r="P366" s="22"/>
    </row>
    <row r="367">
      <c r="A367" s="15">
        <v>44371.0</v>
      </c>
      <c r="B367" s="16" t="str">
        <f>IFERROR(__xludf.DUMMYFUNCTION("FILTER($H$2:$H$445,$I$2:$I$445=D367)"),"Educational Opportunity Program Student Association")</f>
        <v>Educational Opportunity Program Student Association</v>
      </c>
      <c r="C367" s="16" t="str">
        <f>IFERROR(__xludf.DUMMYFUNCTION("filter($J$1:$J$500, $K$1:$K$500=D367)"),"#N/A")</f>
        <v>#N/A</v>
      </c>
      <c r="D367" s="17">
        <v>57.0</v>
      </c>
      <c r="F367" s="18">
        <v>50.0</v>
      </c>
      <c r="G367" s="18"/>
      <c r="H367" s="208" t="s">
        <v>395</v>
      </c>
      <c r="I367" s="20">
        <v>1850.0</v>
      </c>
      <c r="J367" s="21" t="s">
        <v>27</v>
      </c>
      <c r="K367" s="22">
        <v>1256.0</v>
      </c>
      <c r="L367" s="35" t="str">
        <f>IFERROR(__xludf.DUMMYFUNCTION("filter($O$1:$O$200,$K$1:$K$200=N367)"),"#REF!")</f>
        <v>#REF!</v>
      </c>
      <c r="M367" s="22"/>
      <c r="N367" s="22"/>
      <c r="O367" s="22"/>
      <c r="P367" s="22"/>
    </row>
    <row r="368">
      <c r="A368" s="15">
        <v>44371.0</v>
      </c>
      <c r="B368" s="16" t="str">
        <f>IFERROR(__xludf.DUMMYFUNCTION("FILTER($H$2:$H$445,$I$2:$I$445=D368)"),"#N/A")</f>
        <v>#N/A</v>
      </c>
      <c r="C368" s="16" t="str">
        <f>IFERROR(__xludf.DUMMYFUNCTION("filter($J$1:$J$500, $K$1:$K$500=D368)"),"#N/A")</f>
        <v>#N/A</v>
      </c>
      <c r="D368" s="17">
        <v>1989.0</v>
      </c>
      <c r="F368" s="18">
        <v>71.55</v>
      </c>
      <c r="G368" s="18"/>
      <c r="H368" s="208" t="s">
        <v>396</v>
      </c>
      <c r="I368" s="20">
        <v>52.0</v>
      </c>
      <c r="J368" s="209" t="s">
        <v>13</v>
      </c>
      <c r="K368" s="210">
        <v>1328.0</v>
      </c>
      <c r="L368" s="35" t="str">
        <f>IFERROR(__xludf.DUMMYFUNCTION("filter($O$1:$O$200,$K$1:$K$200=N368)"),"#REF!")</f>
        <v>#REF!</v>
      </c>
      <c r="M368" s="22"/>
      <c r="N368" s="22"/>
      <c r="O368" s="22"/>
      <c r="P368" s="22"/>
    </row>
    <row r="369">
      <c r="A369" s="15">
        <v>44371.0</v>
      </c>
      <c r="B369" s="16" t="str">
        <f>IFERROR(__xludf.DUMMYFUNCTION("FILTER($H$2:$H$445,$I$2:$I$445=D369)"),"#N/A")</f>
        <v>#N/A</v>
      </c>
      <c r="C369" s="16" t="str">
        <f>IFERROR(__xludf.DUMMYFUNCTION("filter($J$1:$J$500, $K$1:$K$500=D369)"),"#N/A")</f>
        <v>#N/A</v>
      </c>
      <c r="D369" s="17">
        <v>1984.0</v>
      </c>
      <c r="F369" s="18">
        <v>73.95</v>
      </c>
      <c r="G369" s="18"/>
      <c r="H369" s="19" t="s">
        <v>397</v>
      </c>
      <c r="I369" s="20">
        <v>1592.0</v>
      </c>
      <c r="J369" s="21" t="s">
        <v>17</v>
      </c>
      <c r="K369" s="22">
        <v>1357.0</v>
      </c>
      <c r="L369" s="35" t="str">
        <f>IFERROR(__xludf.DUMMYFUNCTION("filter($O$1:$O$200,$K$1:$K$200=N369)"),"#REF!")</f>
        <v>#REF!</v>
      </c>
      <c r="M369" s="22"/>
      <c r="N369" s="22"/>
      <c r="O369" s="22"/>
      <c r="P369" s="22"/>
    </row>
    <row r="370">
      <c r="A370" s="15">
        <v>44371.0</v>
      </c>
      <c r="B370" s="16" t="str">
        <f>IFERROR(__xludf.DUMMYFUNCTION("FILTER($H$2:$H$445,$I$2:$I$445=D370)"),"Educational Opportunity Program Student Association")</f>
        <v>Educational Opportunity Program Student Association</v>
      </c>
      <c r="C370" s="16" t="str">
        <f>IFERROR(__xludf.DUMMYFUNCTION("filter($J$1:$J$500, $K$1:$K$500=D370)"),"#N/A")</f>
        <v>#N/A</v>
      </c>
      <c r="D370" s="17">
        <v>57.0</v>
      </c>
      <c r="F370" s="18">
        <v>75.0</v>
      </c>
      <c r="G370" s="18"/>
      <c r="H370" s="208" t="s">
        <v>398</v>
      </c>
      <c r="I370" s="20">
        <v>1078.0</v>
      </c>
      <c r="J370" s="211"/>
      <c r="L370" s="35" t="str">
        <f>IFERROR(__xludf.DUMMYFUNCTION("filter($O$1:$O$200,$K$1:$K$200=N370)"),"#REF!")</f>
        <v>#REF!</v>
      </c>
      <c r="M370" s="22"/>
    </row>
    <row r="371">
      <c r="A371" s="15">
        <v>44371.0</v>
      </c>
      <c r="B371" s="16" t="str">
        <f>IFERROR(__xludf.DUMMYFUNCTION("FILTER($H$2:$H$445,$I$2:$I$445=D371)"),"RUVETS")</f>
        <v>RUVETS</v>
      </c>
      <c r="C371" s="16" t="str">
        <f>IFERROR(__xludf.DUMMYFUNCTION("filter($J$1:$J$500, $K$1:$K$500=D371)"),"#N/A")</f>
        <v>#N/A</v>
      </c>
      <c r="D371" s="17">
        <v>1237.0</v>
      </c>
      <c r="F371" s="18">
        <v>80.0</v>
      </c>
      <c r="G371" s="18"/>
      <c r="H371" s="19" t="s">
        <v>399</v>
      </c>
      <c r="I371" s="20">
        <v>1169.0</v>
      </c>
      <c r="J371" s="21" t="s">
        <v>27</v>
      </c>
      <c r="K371" s="22">
        <v>1771.0</v>
      </c>
      <c r="L371" s="35" t="str">
        <f>IFERROR(__xludf.DUMMYFUNCTION("filter($O$1:$O$200,$K$1:$K$200=N371)"),"#REF!")</f>
        <v>#REF!</v>
      </c>
      <c r="M371" s="22"/>
      <c r="N371" s="22"/>
      <c r="O371" s="22"/>
      <c r="P371" s="22"/>
    </row>
    <row r="372">
      <c r="A372" s="15">
        <v>44371.0</v>
      </c>
      <c r="B372" s="16" t="str">
        <f>IFERROR(__xludf.DUMMYFUNCTION("FILTER($H$2:$H$445,$I$2:$I$445=D372)"),"#N/A")</f>
        <v>#N/A</v>
      </c>
      <c r="C372" s="16" t="str">
        <f>IFERROR(__xludf.DUMMYFUNCTION("filter($J$1:$J$500, $K$1:$K$500=D372)"),"#N/A")</f>
        <v>#N/A</v>
      </c>
      <c r="D372" s="17">
        <v>1990.0</v>
      </c>
      <c r="F372" s="18">
        <v>85.0</v>
      </c>
      <c r="G372" s="18"/>
      <c r="H372" s="208" t="s">
        <v>400</v>
      </c>
      <c r="I372" s="20">
        <v>568.0</v>
      </c>
      <c r="J372" s="21" t="s">
        <v>37</v>
      </c>
      <c r="K372" s="22">
        <v>1324.0</v>
      </c>
      <c r="L372" s="35" t="str">
        <f>IFERROR(__xludf.DUMMYFUNCTION("filter($O$1:$O$200,$K$1:$K$200=N372)"),"#REF!")</f>
        <v>#REF!</v>
      </c>
      <c r="M372" s="22"/>
      <c r="N372" s="22"/>
      <c r="O372" s="22"/>
      <c r="P372" s="22"/>
    </row>
    <row r="373">
      <c r="A373" s="15">
        <v>44371.0</v>
      </c>
      <c r="B373" s="16" t="str">
        <f>IFERROR(__xludf.DUMMYFUNCTION("FILTER($H$2:$H$445,$I$2:$I$445=D373)"),"Women Empowerment Through Health and Self-Love")</f>
        <v>Women Empowerment Through Health and Self-Love</v>
      </c>
      <c r="C373" s="16" t="str">
        <f>IFERROR(__xludf.DUMMYFUNCTION("filter($J$1:$J$500, $K$1:$K$500=D373)"),"#N/A")</f>
        <v>#N/A</v>
      </c>
      <c r="D373" s="17">
        <v>1886.0</v>
      </c>
      <c r="F373" s="18">
        <v>100.0</v>
      </c>
      <c r="G373" s="18"/>
      <c r="H373" s="208" t="s">
        <v>401</v>
      </c>
      <c r="I373" s="20">
        <v>1459.0</v>
      </c>
      <c r="J373" s="21" t="s">
        <v>27</v>
      </c>
      <c r="K373" s="22">
        <v>1424.0</v>
      </c>
      <c r="L373" s="35" t="str">
        <f>IFERROR(__xludf.DUMMYFUNCTION("filter($O$1:$O$200,$K$1:$K$200=N373)"),"#REF!")</f>
        <v>#REF!</v>
      </c>
      <c r="M373" s="22"/>
      <c r="N373" s="22"/>
      <c r="O373" s="22"/>
      <c r="P373" s="22"/>
    </row>
    <row r="374">
      <c r="A374" s="15">
        <v>44371.0</v>
      </c>
      <c r="B374" s="16" t="str">
        <f>IFERROR(__xludf.DUMMYFUNCTION("FILTER($H$2:$H$445,$I$2:$I$445=D374)"),"#N/A")</f>
        <v>#N/A</v>
      </c>
      <c r="C374" s="16" t="str">
        <f>IFERROR(__xludf.DUMMYFUNCTION("filter($J$1:$J$500, $K$1:$K$500=D374)"),"#N/A")</f>
        <v>#N/A</v>
      </c>
      <c r="D374" s="17">
        <v>1282.0</v>
      </c>
      <c r="F374" s="18">
        <v>100.0</v>
      </c>
      <c r="G374" s="18"/>
      <c r="H374" s="208" t="s">
        <v>402</v>
      </c>
      <c r="I374" s="20">
        <v>1771.0</v>
      </c>
      <c r="J374" s="21" t="s">
        <v>15</v>
      </c>
      <c r="K374" s="22">
        <v>1758.0</v>
      </c>
      <c r="L374" s="35" t="str">
        <f>IFERROR(__xludf.DUMMYFUNCTION("filter($O$1:$O$200,$K$1:$K$200=N374)"),"#REF!")</f>
        <v>#REF!</v>
      </c>
      <c r="M374" s="22"/>
      <c r="N374" s="22"/>
      <c r="O374" s="22"/>
      <c r="P374" s="22"/>
    </row>
    <row r="375">
      <c r="A375" s="15">
        <v>44371.0</v>
      </c>
      <c r="B375" s="16" t="str">
        <f>IFERROR(__xludf.DUMMYFUNCTION("FILTER($H$2:$H$445,$I$2:$I$445=D375)"),"#N/A")</f>
        <v>#N/A</v>
      </c>
      <c r="C375" s="16" t="str">
        <f>IFERROR(__xludf.DUMMYFUNCTION("filter($J$1:$J$500, $K$1:$K$500=D375)"),"#N/A")</f>
        <v>#N/A</v>
      </c>
      <c r="D375" s="17">
        <v>1986.0</v>
      </c>
      <c r="F375" s="18">
        <v>125.78</v>
      </c>
      <c r="G375" s="18"/>
      <c r="H375" s="208" t="s">
        <v>403</v>
      </c>
      <c r="I375" s="20">
        <v>418.0</v>
      </c>
      <c r="J375" s="21" t="s">
        <v>22</v>
      </c>
      <c r="K375" s="22">
        <v>1347.0</v>
      </c>
      <c r="L375" s="35" t="str">
        <f>IFERROR(__xludf.DUMMYFUNCTION("filter($O$1:$O$200,$K$1:$K$200=N375)"),"#REF!")</f>
        <v>#REF!</v>
      </c>
      <c r="M375" s="22"/>
      <c r="N375" s="22"/>
      <c r="O375" s="22"/>
      <c r="P375" s="22"/>
    </row>
    <row r="376">
      <c r="A376" s="15">
        <v>44371.0</v>
      </c>
      <c r="B376" s="16" t="str">
        <f>IFERROR(__xludf.DUMMYFUNCTION("FILTER($H$2:$H$445,$I$2:$I$445=D376)"),"#N/A")</f>
        <v>#N/A</v>
      </c>
      <c r="C376" s="16" t="str">
        <f>IFERROR(__xludf.DUMMYFUNCTION("filter($J$1:$J$500, $K$1:$K$500=D376)"),"#N/A")</f>
        <v>#N/A</v>
      </c>
      <c r="D376" s="17">
        <v>1997.0</v>
      </c>
      <c r="F376" s="18">
        <v>150.0</v>
      </c>
      <c r="G376" s="18"/>
      <c r="H376" s="208" t="s">
        <v>404</v>
      </c>
      <c r="I376" s="20">
        <v>769.0</v>
      </c>
      <c r="J376" s="19" t="s">
        <v>15</v>
      </c>
      <c r="K376" s="22">
        <v>58.0</v>
      </c>
      <c r="L376" s="35" t="str">
        <f>IFERROR(__xludf.DUMMYFUNCTION("filter($O$1:$O$200,$K$1:$K$200=N376)"),"#REF!")</f>
        <v>#REF!</v>
      </c>
      <c r="M376" s="22"/>
      <c r="N376" s="22"/>
      <c r="O376" s="22"/>
      <c r="P376" s="22"/>
    </row>
    <row r="377">
      <c r="A377" s="15">
        <v>44371.0</v>
      </c>
      <c r="B377" s="16" t="str">
        <f>IFERROR(__xludf.DUMMYFUNCTION("FILTER($H$2:$H$445,$I$2:$I$445=D377)"),"#N/A")</f>
        <v>#N/A</v>
      </c>
      <c r="C377" s="16" t="str">
        <f>IFERROR(__xludf.DUMMYFUNCTION("filter($J$1:$J$500, $K$1:$K$500=D377)"),"#N/A")</f>
        <v>#N/A</v>
      </c>
      <c r="D377" s="17">
        <v>1997.0</v>
      </c>
      <c r="F377" s="18">
        <v>150.0</v>
      </c>
      <c r="G377" s="18"/>
      <c r="H377" s="19" t="s">
        <v>405</v>
      </c>
      <c r="I377" s="20">
        <v>53.0</v>
      </c>
      <c r="J377" s="21" t="s">
        <v>15</v>
      </c>
      <c r="K377" s="22">
        <v>1294.0</v>
      </c>
      <c r="L377" s="35" t="str">
        <f>IFERROR(__xludf.DUMMYFUNCTION("filter($O$1:$O$200,$K$1:$K$200=N377)"),"#REF!")</f>
        <v>#REF!</v>
      </c>
      <c r="M377" s="22"/>
      <c r="N377" s="22"/>
      <c r="O377" s="22"/>
      <c r="P377" s="22"/>
    </row>
    <row r="378">
      <c r="A378" s="15">
        <v>44371.0</v>
      </c>
      <c r="B378" s="16" t="str">
        <f>IFERROR(__xludf.DUMMYFUNCTION("FILTER($H$2:$H$445,$I$2:$I$445=D378)"),"#N/A")</f>
        <v>#N/A</v>
      </c>
      <c r="C378" s="16" t="str">
        <f>IFERROR(__xludf.DUMMYFUNCTION("filter($J$1:$J$500, $K$1:$K$500=D378)"),"#N/A")</f>
        <v>#N/A</v>
      </c>
      <c r="D378" s="17">
        <v>1993.0</v>
      </c>
      <c r="F378" s="18">
        <v>150.0</v>
      </c>
      <c r="G378" s="18"/>
      <c r="H378" s="208" t="s">
        <v>406</v>
      </c>
      <c r="I378" s="20">
        <v>1817.0</v>
      </c>
      <c r="J378" s="21" t="s">
        <v>30</v>
      </c>
      <c r="K378" s="22">
        <v>1318.0</v>
      </c>
      <c r="L378" s="35" t="str">
        <f>IFERROR(__xludf.DUMMYFUNCTION("filter($O$1:$O$200,$K$1:$K$200=N378)"),"#REF!")</f>
        <v>#REF!</v>
      </c>
      <c r="M378" s="22"/>
      <c r="N378" s="22"/>
      <c r="O378" s="22"/>
      <c r="P378" s="22"/>
    </row>
    <row r="379">
      <c r="A379" s="15">
        <v>44371.0</v>
      </c>
      <c r="B379" s="16" t="str">
        <f>IFERROR(__xludf.DUMMYFUNCTION("FILTER($H$2:$H$445,$I$2:$I$445=D379)"),"Women in Mathematical Sciences ")</f>
        <v>Women in Mathematical Sciences </v>
      </c>
      <c r="C379" s="16" t="str">
        <f>IFERROR(__xludf.DUMMYFUNCTION("filter($J$1:$J$500, $K$1:$K$500=D379)"),"#N/A")</f>
        <v>#N/A</v>
      </c>
      <c r="D379" s="17">
        <v>1792.0</v>
      </c>
      <c r="F379" s="18">
        <v>196.0</v>
      </c>
      <c r="G379" s="18"/>
      <c r="H379" s="208" t="s">
        <v>407</v>
      </c>
      <c r="I379" s="20">
        <v>415.0</v>
      </c>
      <c r="J379" s="21" t="s">
        <v>43</v>
      </c>
      <c r="K379" s="22">
        <v>1492.0</v>
      </c>
      <c r="L379" s="35" t="str">
        <f>IFERROR(__xludf.DUMMYFUNCTION("filter($O$1:$O$200,$K$1:$K$200=N379)"),"#REF!")</f>
        <v>#REF!</v>
      </c>
      <c r="M379" s="22"/>
      <c r="N379" s="22"/>
      <c r="O379" s="22"/>
      <c r="P379" s="22"/>
    </row>
    <row r="380">
      <c r="A380" s="15">
        <v>44371.0</v>
      </c>
      <c r="B380" s="16" t="str">
        <f>IFERROR(__xludf.DUMMYFUNCTION("FILTER($H$2:$H$445,$I$2:$I$445=D380)"),"#N/A")</f>
        <v>#N/A</v>
      </c>
      <c r="C380" s="16" t="str">
        <f>IFERROR(__xludf.DUMMYFUNCTION("filter($J$1:$J$500, $K$1:$K$500=D380)"),"#N/A")</f>
        <v>#N/A</v>
      </c>
      <c r="D380" s="17">
        <v>1992.0</v>
      </c>
      <c r="F380" s="18">
        <v>200.0</v>
      </c>
      <c r="G380" s="18"/>
      <c r="H380" s="19" t="s">
        <v>408</v>
      </c>
      <c r="I380" s="20">
        <v>1759.0</v>
      </c>
      <c r="J380" s="21" t="s">
        <v>27</v>
      </c>
      <c r="K380" s="22">
        <v>1320.0</v>
      </c>
      <c r="L380" s="35" t="str">
        <f>IFERROR(__xludf.DUMMYFUNCTION("filter($O$1:$O$200,$K$1:$K$200=N380)"),"#REF!")</f>
        <v>#REF!</v>
      </c>
      <c r="M380" s="22"/>
      <c r="N380" s="22"/>
      <c r="O380" s="22"/>
      <c r="P380" s="22"/>
    </row>
    <row r="381">
      <c r="A381" s="15">
        <v>44371.0</v>
      </c>
      <c r="B381" s="16" t="str">
        <f>IFERROR(__xludf.DUMMYFUNCTION("FILTER($H$2:$H$445,$I$2:$I$445=D381)"),"#N/A")</f>
        <v>#N/A</v>
      </c>
      <c r="C381" s="16" t="str">
        <f>IFERROR(__xludf.DUMMYFUNCTION("filter($J$1:$J$500, $K$1:$K$500=D381)"),"#N/A")</f>
        <v>#N/A</v>
      </c>
      <c r="D381" s="17">
        <v>1288.0</v>
      </c>
      <c r="F381" s="18">
        <v>200.0</v>
      </c>
      <c r="G381" s="18"/>
      <c r="H381" s="208" t="s">
        <v>409</v>
      </c>
      <c r="I381" s="20">
        <v>1757.0</v>
      </c>
      <c r="J381" s="21" t="s">
        <v>27</v>
      </c>
      <c r="K381" s="22">
        <v>1757.0</v>
      </c>
      <c r="L381" s="35" t="str">
        <f>IFERROR(__xludf.DUMMYFUNCTION("filter($O$1:$O$200,$K$1:$K$200=N381)"),"#REF!")</f>
        <v>#REF!</v>
      </c>
      <c r="M381" s="22"/>
      <c r="N381" s="22"/>
      <c r="O381" s="22"/>
      <c r="P381" s="22"/>
    </row>
    <row r="382">
      <c r="A382" s="15">
        <v>44371.0</v>
      </c>
      <c r="B382" s="16" t="str">
        <f>IFERROR(__xludf.DUMMYFUNCTION("FILTER($H$2:$H$445,$I$2:$I$445=D382)"),"#N/A")</f>
        <v>#N/A</v>
      </c>
      <c r="C382" s="16" t="str">
        <f>IFERROR(__xludf.DUMMYFUNCTION("filter($J$1:$J$500, $K$1:$K$500=D382)"),"#N/A")</f>
        <v>#N/A</v>
      </c>
      <c r="D382" s="17">
        <v>1990.0</v>
      </c>
      <c r="F382" s="18">
        <v>205.0</v>
      </c>
      <c r="G382" s="18"/>
      <c r="H382" s="19" t="s">
        <v>410</v>
      </c>
      <c r="I382" s="20">
        <v>196.0</v>
      </c>
      <c r="J382" s="21" t="s">
        <v>17</v>
      </c>
      <c r="K382" s="22">
        <v>66.0</v>
      </c>
      <c r="L382" s="35" t="str">
        <f>IFERROR(__xludf.DUMMYFUNCTION("filter($O$1:$O$200,$K$1:$K$200=N382)"),"#REF!")</f>
        <v>#REF!</v>
      </c>
      <c r="M382" s="22"/>
      <c r="N382" s="22"/>
      <c r="O382" s="22"/>
      <c r="P382" s="22"/>
    </row>
    <row r="383">
      <c r="A383" s="15">
        <v>44371.0</v>
      </c>
      <c r="B383" s="16" t="str">
        <f>IFERROR(__xludf.DUMMYFUNCTION("FILTER($H$2:$H$445,$I$2:$I$445=D383)"),"#N/A")</f>
        <v>#N/A</v>
      </c>
      <c r="C383" s="16" t="str">
        <f>IFERROR(__xludf.DUMMYFUNCTION("filter($J$1:$J$500, $K$1:$K$500=D383)"),"#N/A")</f>
        <v>#N/A</v>
      </c>
      <c r="D383" s="17">
        <v>1996.0</v>
      </c>
      <c r="F383" s="18">
        <v>250.0</v>
      </c>
      <c r="G383" s="18"/>
      <c r="H383" s="208" t="s">
        <v>411</v>
      </c>
      <c r="I383" s="20">
        <v>1132.0</v>
      </c>
      <c r="J383" s="21" t="s">
        <v>15</v>
      </c>
      <c r="K383" s="22">
        <v>62.0</v>
      </c>
      <c r="L383" s="35" t="str">
        <f>IFERROR(__xludf.DUMMYFUNCTION("filter($O$1:$O$200,$K$1:$K$200=N383)"),"#REF!")</f>
        <v>#REF!</v>
      </c>
      <c r="M383" s="22"/>
      <c r="N383" s="22"/>
      <c r="O383" s="22"/>
      <c r="P383" s="22"/>
    </row>
    <row r="384">
      <c r="A384" s="15">
        <v>44371.0</v>
      </c>
      <c r="B384" s="16" t="str">
        <f>IFERROR(__xludf.DUMMYFUNCTION("FILTER($H$2:$H$445,$I$2:$I$445=D384)"),"#N/A")</f>
        <v>#N/A</v>
      </c>
      <c r="C384" s="16" t="str">
        <f>IFERROR(__xludf.DUMMYFUNCTION("filter($J$1:$J$500, $K$1:$K$500=D384)"),"#N/A")</f>
        <v>#N/A</v>
      </c>
      <c r="D384" s="17">
        <v>1994.0</v>
      </c>
      <c r="F384" s="18">
        <v>255.0</v>
      </c>
      <c r="G384" s="18"/>
      <c r="H384" s="208" t="s">
        <v>412</v>
      </c>
      <c r="I384" s="20">
        <v>1492.0</v>
      </c>
      <c r="J384" s="21" t="s">
        <v>13</v>
      </c>
      <c r="K384" s="22">
        <v>1312.0</v>
      </c>
      <c r="L384" s="35" t="str">
        <f>IFERROR(__xludf.DUMMYFUNCTION("filter($O$1:$O$200,$K$1:$K$200=N384)"),"#REF!")</f>
        <v>#REF!</v>
      </c>
      <c r="M384" s="22"/>
      <c r="N384" s="22"/>
      <c r="O384" s="22"/>
      <c r="P384" s="22"/>
    </row>
    <row r="385">
      <c r="A385" s="15">
        <v>44371.0</v>
      </c>
      <c r="B385" s="16" t="str">
        <f>IFERROR(__xludf.DUMMYFUNCTION("FILTER($H$2:$H$445,$I$2:$I$445=D385)"),"#N/A")</f>
        <v>#N/A</v>
      </c>
      <c r="C385" s="16" t="str">
        <f>IFERROR(__xludf.DUMMYFUNCTION("filter($J$1:$J$500, $K$1:$K$500=D385)"),"#N/A")</f>
        <v>#N/A</v>
      </c>
      <c r="D385" s="17">
        <v>1991.0</v>
      </c>
      <c r="F385" s="18">
        <v>300.0</v>
      </c>
      <c r="G385" s="18"/>
      <c r="H385" s="208" t="s">
        <v>413</v>
      </c>
      <c r="I385" s="20">
        <v>748.0</v>
      </c>
      <c r="J385" s="21" t="s">
        <v>15</v>
      </c>
      <c r="K385" s="22">
        <v>63.0</v>
      </c>
      <c r="L385" s="35" t="str">
        <f>IFERROR(__xludf.DUMMYFUNCTION("filter($O$1:$O$200,$K$1:$K$200=N385)"),"#REF!")</f>
        <v>#REF!</v>
      </c>
      <c r="M385" s="22"/>
      <c r="N385" s="22"/>
      <c r="O385" s="22"/>
      <c r="P385" s="22"/>
    </row>
    <row r="386">
      <c r="A386" s="15">
        <v>44371.0</v>
      </c>
      <c r="B386" s="16" t="str">
        <f>IFERROR(__xludf.DUMMYFUNCTION("FILTER($H$2:$H$445,$I$2:$I$445=D386)"),"Women Empowerment Through Health and Self-Love")</f>
        <v>Women Empowerment Through Health and Self-Love</v>
      </c>
      <c r="C386" s="16" t="str">
        <f>IFERROR(__xludf.DUMMYFUNCTION("filter($J$1:$J$500, $K$1:$K$500=D386)"),"#N/A")</f>
        <v>#N/A</v>
      </c>
      <c r="D386" s="17">
        <v>1886.0</v>
      </c>
      <c r="F386" s="18">
        <v>300.0</v>
      </c>
      <c r="G386" s="18"/>
      <c r="H386" s="208" t="s">
        <v>414</v>
      </c>
      <c r="I386" s="20">
        <v>1149.0</v>
      </c>
      <c r="J386" s="21" t="s">
        <v>15</v>
      </c>
      <c r="K386" s="22">
        <v>142.0</v>
      </c>
      <c r="L386" s="35" t="str">
        <f>IFERROR(__xludf.DUMMYFUNCTION("filter($O$1:$O$200,$K$1:$K$200=N386)"),"#REF!")</f>
        <v>#REF!</v>
      </c>
      <c r="M386" s="22"/>
      <c r="N386" s="22"/>
      <c r="O386" s="22"/>
      <c r="P386" s="22"/>
    </row>
    <row r="387">
      <c r="A387" s="15">
        <v>44371.0</v>
      </c>
      <c r="B387" s="16" t="str">
        <f>IFERROR(__xludf.DUMMYFUNCTION("FILTER($H$2:$H$445,$I$2:$I$445=D387)"),"#N/A")</f>
        <v>#N/A</v>
      </c>
      <c r="C387" s="16" t="str">
        <f>IFERROR(__xludf.DUMMYFUNCTION("filter($J$1:$J$500, $K$1:$K$500=D387)"),"#N/A")</f>
        <v>#N/A</v>
      </c>
      <c r="D387" s="17">
        <v>1995.0</v>
      </c>
      <c r="F387" s="18">
        <v>300.0</v>
      </c>
      <c r="G387" s="18"/>
      <c r="H387" s="208" t="s">
        <v>415</v>
      </c>
      <c r="I387" s="20">
        <v>765.0</v>
      </c>
      <c r="J387" s="21" t="s">
        <v>17</v>
      </c>
      <c r="K387" s="22">
        <v>1306.0</v>
      </c>
      <c r="L387" s="35" t="str">
        <f>IFERROR(__xludf.DUMMYFUNCTION("filter($O$1:$O$200,$K$1:$K$200=N387)"),"#REF!")</f>
        <v>#REF!</v>
      </c>
      <c r="M387" s="22"/>
      <c r="N387" s="22"/>
      <c r="O387" s="22"/>
      <c r="P387" s="22"/>
    </row>
    <row r="388">
      <c r="A388" s="15">
        <v>44371.0</v>
      </c>
      <c r="B388" s="16" t="str">
        <f>IFERROR(__xludf.DUMMYFUNCTION("FILTER($H$2:$H$445,$I$2:$I$445=D388)"),"#N/A")</f>
        <v>#N/A</v>
      </c>
      <c r="C388" s="16" t="str">
        <f>IFERROR(__xludf.DUMMYFUNCTION("filter($J$1:$J$500, $K$1:$K$500=D388)"),"#N/A")</f>
        <v>#N/A</v>
      </c>
      <c r="D388" s="17">
        <v>1988.0</v>
      </c>
      <c r="F388" s="18">
        <v>300.0</v>
      </c>
      <c r="G388" s="18"/>
      <c r="H388" s="19" t="s">
        <v>416</v>
      </c>
      <c r="I388" s="20">
        <v>1278.0</v>
      </c>
      <c r="J388" s="21" t="s">
        <v>25</v>
      </c>
      <c r="K388" s="22">
        <v>1334.0</v>
      </c>
      <c r="L388" s="35" t="str">
        <f>IFERROR(__xludf.DUMMYFUNCTION("filter($O$1:$O$200,$K$1:$K$200=N388)"),"#REF!")</f>
        <v>#REF!</v>
      </c>
      <c r="M388" s="22"/>
      <c r="N388" s="22"/>
      <c r="O388" s="22"/>
      <c r="P388" s="22"/>
    </row>
    <row r="389">
      <c r="A389" s="15">
        <v>44371.0</v>
      </c>
      <c r="B389" s="16" t="str">
        <f>IFERROR(__xludf.DUMMYFUNCTION("FILTER($H$2:$H$445,$I$2:$I$445=D389)"),"In Christ Alone Ministry")</f>
        <v>In Christ Alone Ministry</v>
      </c>
      <c r="C389" s="16" t="str">
        <f>IFERROR(__xludf.DUMMYFUNCTION("filter($J$1:$J$500, $K$1:$K$500=D389)"),"#N/A")</f>
        <v>#N/A</v>
      </c>
      <c r="D389" s="17">
        <v>1785.0</v>
      </c>
      <c r="F389" s="18">
        <v>508.86</v>
      </c>
      <c r="G389" s="18"/>
      <c r="H389" s="208" t="s">
        <v>417</v>
      </c>
      <c r="I389" s="20">
        <v>1966.0</v>
      </c>
      <c r="J389" s="21" t="s">
        <v>37</v>
      </c>
      <c r="K389" s="22">
        <v>209.0</v>
      </c>
      <c r="L389" s="35" t="str">
        <f>IFERROR(__xludf.DUMMYFUNCTION("filter($O$1:$O$200,$K$1:$K$200=N389)"),"#REF!")</f>
        <v>#REF!</v>
      </c>
      <c r="M389" s="22"/>
      <c r="N389" s="22"/>
      <c r="O389" s="22"/>
      <c r="P389" s="22"/>
    </row>
    <row r="390">
      <c r="A390" s="15">
        <v>44371.0</v>
      </c>
      <c r="B390" s="16" t="str">
        <f>IFERROR(__xludf.DUMMYFUNCTION("FILTER($H$2:$H$445,$I$2:$I$445=D390)"),"Society of Latin American Men")</f>
        <v>Society of Latin American Men</v>
      </c>
      <c r="C390" s="16" t="str">
        <f>IFERROR(__xludf.DUMMYFUNCTION("filter($J$1:$J$500, $K$1:$K$500=D390)"),"#N/A")</f>
        <v>#N/A</v>
      </c>
      <c r="D390" s="17">
        <v>1974.0</v>
      </c>
      <c r="F390" s="18">
        <v>570.0</v>
      </c>
      <c r="G390" s="18"/>
      <c r="H390" s="19" t="s">
        <v>418</v>
      </c>
      <c r="I390" s="20">
        <v>1125.0</v>
      </c>
      <c r="J390" s="21" t="s">
        <v>13</v>
      </c>
      <c r="K390" s="22">
        <v>1369.0</v>
      </c>
      <c r="L390" s="35" t="str">
        <f>IFERROR(__xludf.DUMMYFUNCTION("filter($O$1:$O$200,$K$1:$K$200=N390)"),"#REF!")</f>
        <v>#REF!</v>
      </c>
      <c r="M390" s="22"/>
      <c r="N390" s="22"/>
      <c r="O390" s="22"/>
      <c r="P390" s="22"/>
    </row>
    <row r="391">
      <c r="A391" s="15">
        <v>44371.0</v>
      </c>
      <c r="B391" s="16" t="str">
        <f>IFERROR(__xludf.DUMMYFUNCTION("FILTER($H$2:$H$445,$I$2:$I$445=D391)"),"#N/A")</f>
        <v>#N/A</v>
      </c>
      <c r="C391" s="16" t="str">
        <f>IFERROR(__xludf.DUMMYFUNCTION("filter($J$1:$J$500, $K$1:$K$500=D391)"),"#N/A")</f>
        <v>#N/A</v>
      </c>
      <c r="D391" s="17">
        <v>1282.0</v>
      </c>
      <c r="F391" s="18">
        <v>600.0</v>
      </c>
      <c r="G391" s="18"/>
      <c r="H391" s="208" t="s">
        <v>419</v>
      </c>
      <c r="I391" s="20">
        <v>1508.0</v>
      </c>
      <c r="J391" s="21" t="s">
        <v>25</v>
      </c>
      <c r="K391" s="22">
        <v>437.0</v>
      </c>
      <c r="L391" s="35" t="str">
        <f>IFERROR(__xludf.DUMMYFUNCTION("filter($O$1:$O$200,$K$1:$K$200=N391)"),"#REF!")</f>
        <v>#REF!</v>
      </c>
      <c r="M391" s="22"/>
      <c r="N391" s="22"/>
      <c r="O391" s="22"/>
      <c r="P391" s="22"/>
    </row>
    <row r="392">
      <c r="A392" s="15">
        <v>44371.0</v>
      </c>
      <c r="B392" s="16" t="str">
        <f>IFERROR(__xludf.DUMMYFUNCTION("FILTER($H$2:$H$445,$I$2:$I$445=D392)"),"First Generation Student Union ")</f>
        <v>First Generation Student Union </v>
      </c>
      <c r="C392" s="16" t="str">
        <f>IFERROR(__xludf.DUMMYFUNCTION("filter($J$1:$J$500, $K$1:$K$500=D392)"),"#N/A")</f>
        <v>#N/A</v>
      </c>
      <c r="D392" s="17">
        <v>1779.0</v>
      </c>
      <c r="F392" s="18">
        <v>626.0</v>
      </c>
      <c r="G392" s="18"/>
      <c r="H392" s="208" t="s">
        <v>420</v>
      </c>
      <c r="I392" s="20">
        <v>1042.0</v>
      </c>
      <c r="J392" s="21" t="s">
        <v>19</v>
      </c>
      <c r="K392" s="22">
        <v>1496.0</v>
      </c>
      <c r="L392" s="35" t="str">
        <f>IFERROR(__xludf.DUMMYFUNCTION("filter($O$1:$O$200,$K$1:$K$200=N392)"),"#REF!")</f>
        <v>#REF!</v>
      </c>
      <c r="M392" s="22"/>
      <c r="N392" s="22"/>
      <c r="O392" s="22"/>
      <c r="P392" s="22"/>
    </row>
    <row r="393">
      <c r="A393" s="15">
        <v>44371.0</v>
      </c>
      <c r="B393" s="16" t="str">
        <f>IFERROR(__xludf.DUMMYFUNCTION("FILTER($H$2:$H$445,$I$2:$I$445=D393)"),"Society of Latin American Men")</f>
        <v>Society of Latin American Men</v>
      </c>
      <c r="C393" s="16" t="str">
        <f>IFERROR(__xludf.DUMMYFUNCTION("filter($J$1:$J$500, $K$1:$K$500=D393)"),"#N/A")</f>
        <v>#N/A</v>
      </c>
      <c r="D393" s="17">
        <v>1974.0</v>
      </c>
      <c r="F393" s="42">
        <v>1170.83</v>
      </c>
      <c r="G393" s="42"/>
      <c r="H393" s="19" t="s">
        <v>421</v>
      </c>
      <c r="I393" s="20">
        <v>291.0</v>
      </c>
      <c r="J393" s="21" t="s">
        <v>25</v>
      </c>
      <c r="K393" s="22">
        <v>69.0</v>
      </c>
      <c r="L393" s="35" t="str">
        <f>IFERROR(__xludf.DUMMYFUNCTION("filter($O$1:$O$200,$K$1:$K$200=N393)"),"#REF!")</f>
        <v>#REF!</v>
      </c>
      <c r="M393" s="22"/>
      <c r="N393" s="22"/>
      <c r="O393" s="22"/>
      <c r="P393" s="22"/>
    </row>
    <row r="394">
      <c r="A394" s="15">
        <v>44371.0</v>
      </c>
      <c r="B394" s="16" t="str">
        <f>IFERROR(__xludf.DUMMYFUNCTION("FILTER($H$2:$H$445,$I$2:$I$445=D394)"),"90.3 The Core")</f>
        <v>90.3 The Core</v>
      </c>
      <c r="C394" s="16" t="str">
        <f>IFERROR(__xludf.DUMMYFUNCTION("filter($J$1:$J$500, $K$1:$K$500=D394)"),"#N/A")</f>
        <v>#N/A</v>
      </c>
      <c r="D394" s="17">
        <v>824.0</v>
      </c>
      <c r="F394" s="42">
        <v>17275.22</v>
      </c>
      <c r="G394" s="42"/>
      <c r="H394" s="208" t="s">
        <v>422</v>
      </c>
      <c r="I394" s="20">
        <v>1798.0</v>
      </c>
      <c r="J394" s="21" t="s">
        <v>25</v>
      </c>
      <c r="K394" s="22">
        <v>587.0</v>
      </c>
      <c r="L394" s="35" t="str">
        <f>IFERROR(__xludf.DUMMYFUNCTION("filter($O$1:$O$200,$K$1:$K$200=N394)"),"#REF!")</f>
        <v>#REF!</v>
      </c>
      <c r="M394" s="22"/>
      <c r="N394" s="22"/>
      <c r="O394" s="22"/>
      <c r="P394" s="22"/>
    </row>
    <row r="395">
      <c r="A395" s="15">
        <v>44371.0</v>
      </c>
      <c r="B395" s="16" t="str">
        <f>IFERROR(__xludf.DUMMYFUNCTION("FILTER($H$2:$H$445,$I$2:$I$445=D395)"),"Alternative Breaks (Rutgers University)")</f>
        <v>Alternative Breaks (Rutgers University)</v>
      </c>
      <c r="C395" s="16" t="str">
        <f>IFERROR(__xludf.DUMMYFUNCTION("filter($J$1:$J$500, $K$1:$K$500=D395)"),"#N/A")</f>
        <v>#N/A</v>
      </c>
      <c r="D395" s="17">
        <v>1132.0</v>
      </c>
      <c r="F395" s="42">
        <v>20976.35</v>
      </c>
      <c r="G395" s="42"/>
      <c r="H395" s="19" t="s">
        <v>423</v>
      </c>
      <c r="I395" s="20">
        <v>1294.0</v>
      </c>
      <c r="J395" s="21" t="s">
        <v>17</v>
      </c>
      <c r="K395" s="22">
        <v>545.0</v>
      </c>
      <c r="L395" s="35" t="str">
        <f>IFERROR(__xludf.DUMMYFUNCTION("filter($O$1:$O$200,$K$1:$K$200=N395)"),"#REF!")</f>
        <v>#REF!</v>
      </c>
      <c r="M395" s="22"/>
      <c r="N395" s="22"/>
      <c r="O395" s="22"/>
      <c r="P395" s="22"/>
    </row>
    <row r="396">
      <c r="A396" s="15">
        <v>44371.0</v>
      </c>
      <c r="B396" s="16" t="str">
        <f>IFERROR(__xludf.DUMMYFUNCTION("FILTER($H$2:$H$445,$I$2:$I$445=D396)"),"#N/A")</f>
        <v>#N/A</v>
      </c>
      <c r="C396" s="16" t="str">
        <f>IFERROR(__xludf.DUMMYFUNCTION("filter($J$1:$J$500, $K$1:$K$500=D396)"),"#N/A")</f>
        <v>#N/A</v>
      </c>
      <c r="D396" s="17">
        <v>1695.0</v>
      </c>
      <c r="F396" s="42">
        <v>59222.9</v>
      </c>
      <c r="G396" s="42"/>
      <c r="H396" s="208" t="s">
        <v>424</v>
      </c>
      <c r="I396" s="20">
        <v>1565.0</v>
      </c>
      <c r="J396" s="19" t="s">
        <v>22</v>
      </c>
      <c r="K396" s="22">
        <v>29.0</v>
      </c>
      <c r="L396" s="35" t="str">
        <f>IFERROR(__xludf.DUMMYFUNCTION("filter($O$1:$O$200,$K$1:$K$200=N396)"),"#REF!")</f>
        <v>#REF!</v>
      </c>
      <c r="M396" s="22"/>
      <c r="N396" s="22"/>
      <c r="O396" s="22"/>
      <c r="P396" s="22"/>
    </row>
    <row r="397" ht="12.0" customHeight="1">
      <c r="C397" s="212"/>
      <c r="D397" s="212"/>
      <c r="E397" s="212"/>
      <c r="F397" s="213">
        <f>SUM(F2:F396)</f>
        <v>389796.06</v>
      </c>
      <c r="H397" s="208" t="s">
        <v>425</v>
      </c>
      <c r="I397" s="20">
        <v>1967.0</v>
      </c>
      <c r="J397" s="211"/>
      <c r="L397" s="35">
        <f>IFERROR(__xludf.DUMMYFUNCTION("filter($O$1:$O$200,$K$1:$K$200=N397)"),0.0)</f>
        <v>0</v>
      </c>
      <c r="M397" s="22"/>
    </row>
    <row r="398" ht="15.75" customHeight="1">
      <c r="C398" s="212"/>
      <c r="D398" s="212"/>
      <c r="E398" s="212"/>
      <c r="H398" s="208" t="s">
        <v>426</v>
      </c>
      <c r="I398" s="20">
        <v>1975.0</v>
      </c>
      <c r="J398" s="211"/>
      <c r="L398" s="214">
        <f>IFERROR(__xludf.DUMMYFUNCTION("""COMPUTED_VALUE"""),200.0)</f>
        <v>200</v>
      </c>
    </row>
    <row r="399" ht="15.75" customHeight="1">
      <c r="C399" s="212"/>
      <c r="D399" s="212"/>
      <c r="E399" s="212"/>
      <c r="H399" s="208" t="s">
        <v>427</v>
      </c>
      <c r="I399" s="20">
        <v>1763.0</v>
      </c>
      <c r="J399" s="211"/>
      <c r="L399" s="215">
        <f>IFERROR(__xludf.DUMMYFUNCTION("""COMPUTED_VALUE"""),500.0)</f>
        <v>500</v>
      </c>
    </row>
    <row r="400" ht="15.75" customHeight="1">
      <c r="C400" s="212"/>
      <c r="D400" s="212"/>
      <c r="E400" s="212"/>
      <c r="H400" s="208" t="s">
        <v>428</v>
      </c>
      <c r="I400" s="20">
        <v>782.0</v>
      </c>
      <c r="J400" s="211"/>
      <c r="L400" s="215">
        <f>IFERROR(__xludf.DUMMYFUNCTION("""COMPUTED_VALUE"""),1050.0)</f>
        <v>1050</v>
      </c>
    </row>
    <row r="401" ht="15.75" customHeight="1">
      <c r="C401" s="212"/>
      <c r="D401" s="212"/>
      <c r="E401" s="212"/>
      <c r="H401" s="208" t="s">
        <v>429</v>
      </c>
      <c r="I401" s="20">
        <v>1425.0</v>
      </c>
      <c r="J401" s="211"/>
      <c r="L401" s="215">
        <f>IFERROR(__xludf.DUMMYFUNCTION("""COMPUTED_VALUE"""),730.0)</f>
        <v>730</v>
      </c>
    </row>
    <row r="402" ht="15.75" customHeight="1">
      <c r="C402" s="212"/>
      <c r="D402" s="212"/>
      <c r="E402" s="212"/>
      <c r="H402" s="208" t="s">
        <v>430</v>
      </c>
      <c r="I402" s="216" t="s">
        <v>99</v>
      </c>
      <c r="J402" s="211"/>
      <c r="L402" s="214">
        <f>IFERROR(__xludf.DUMMYFUNCTION("""COMPUTED_VALUE"""),2400.0)</f>
        <v>2400</v>
      </c>
    </row>
    <row r="403" ht="15.75" customHeight="1">
      <c r="C403" s="212"/>
      <c r="D403" s="212"/>
      <c r="E403" s="212"/>
      <c r="H403" s="208" t="s">
        <v>431</v>
      </c>
      <c r="I403" s="20">
        <v>1239.0</v>
      </c>
      <c r="J403" s="211"/>
      <c r="L403" s="215">
        <f>IFERROR(__xludf.DUMMYFUNCTION("""COMPUTED_VALUE"""),7750.0)</f>
        <v>7750</v>
      </c>
    </row>
    <row r="404" ht="15.75" customHeight="1">
      <c r="C404" s="212"/>
      <c r="D404" s="212"/>
      <c r="E404" s="212"/>
      <c r="H404" s="208" t="s">
        <v>432</v>
      </c>
      <c r="I404" s="20">
        <v>1000.0</v>
      </c>
      <c r="J404" s="211"/>
      <c r="L404" s="215">
        <f>IFERROR(__xludf.DUMMYFUNCTION("""COMPUTED_VALUE"""),0.0)</f>
        <v>0</v>
      </c>
    </row>
    <row r="405" ht="15.75" customHeight="1">
      <c r="C405" s="212"/>
      <c r="D405" s="212"/>
      <c r="E405" s="212"/>
      <c r="H405" s="19" t="s">
        <v>433</v>
      </c>
      <c r="I405" s="20">
        <v>346.0</v>
      </c>
      <c r="J405" s="211"/>
      <c r="L405" s="215">
        <f>IFERROR(__xludf.DUMMYFUNCTION("""COMPUTED_VALUE"""),210.0)</f>
        <v>210</v>
      </c>
    </row>
    <row r="406" ht="15.75" customHeight="1">
      <c r="C406" s="212"/>
      <c r="D406" s="212"/>
      <c r="E406" s="212"/>
      <c r="H406" s="19" t="s">
        <v>434</v>
      </c>
      <c r="I406" s="20">
        <v>74.0</v>
      </c>
      <c r="J406" s="211"/>
      <c r="L406" s="215">
        <f>IFERROR(__xludf.DUMMYFUNCTION("""COMPUTED_VALUE"""),850.0)</f>
        <v>850</v>
      </c>
    </row>
    <row r="407" ht="15.75" customHeight="1">
      <c r="C407" s="212"/>
      <c r="D407" s="212"/>
      <c r="E407" s="212"/>
      <c r="H407" s="208" t="s">
        <v>435</v>
      </c>
      <c r="I407" s="20">
        <v>348.0</v>
      </c>
      <c r="J407" s="211"/>
      <c r="L407" s="215">
        <f>IFERROR(__xludf.DUMMYFUNCTION("""COMPUTED_VALUE"""),0.0)</f>
        <v>0</v>
      </c>
    </row>
    <row r="408" ht="15.75" customHeight="1">
      <c r="C408" s="212"/>
      <c r="D408" s="212"/>
      <c r="E408" s="212"/>
      <c r="H408" s="208" t="s">
        <v>436</v>
      </c>
      <c r="I408" s="20">
        <v>391.0</v>
      </c>
      <c r="J408" s="211"/>
      <c r="L408" s="215">
        <f>IFERROR(__xludf.DUMMYFUNCTION("""COMPUTED_VALUE"""),440.0)</f>
        <v>440</v>
      </c>
    </row>
    <row r="409" ht="15.75" customHeight="1">
      <c r="C409" s="212"/>
      <c r="D409" s="212"/>
      <c r="E409" s="212"/>
      <c r="H409" s="208" t="s">
        <v>437</v>
      </c>
      <c r="I409" s="20">
        <v>1008.0</v>
      </c>
      <c r="J409" s="211"/>
      <c r="L409" s="215">
        <f>IFERROR(__xludf.DUMMYFUNCTION("""COMPUTED_VALUE"""),5000.0)</f>
        <v>5000</v>
      </c>
    </row>
    <row r="410" ht="15.75" customHeight="1">
      <c r="C410" s="212"/>
      <c r="D410" s="212"/>
      <c r="E410" s="212"/>
      <c r="H410" s="19" t="s">
        <v>438</v>
      </c>
      <c r="I410" s="20">
        <v>1256.0</v>
      </c>
      <c r="J410" s="211"/>
      <c r="L410" s="215">
        <f>IFERROR(__xludf.DUMMYFUNCTION("""COMPUTED_VALUE"""),0.0)</f>
        <v>0</v>
      </c>
    </row>
    <row r="411" ht="15.75" customHeight="1">
      <c r="C411" s="212"/>
      <c r="D411" s="212"/>
      <c r="E411" s="212"/>
      <c r="H411" s="208" t="s">
        <v>439</v>
      </c>
      <c r="I411" s="20">
        <v>821.0</v>
      </c>
      <c r="J411" s="211"/>
      <c r="L411" s="215">
        <f>IFERROR(__xludf.DUMMYFUNCTION("""COMPUTED_VALUE"""),0.0)</f>
        <v>0</v>
      </c>
    </row>
    <row r="412" ht="15.75" customHeight="1">
      <c r="C412" s="212"/>
      <c r="D412" s="212"/>
      <c r="E412" s="212"/>
      <c r="H412" s="19" t="s">
        <v>440</v>
      </c>
      <c r="I412" s="20">
        <v>352.0</v>
      </c>
      <c r="J412" s="211"/>
      <c r="L412" s="214">
        <f>IFERROR(__xludf.DUMMYFUNCTION("""COMPUTED_VALUE"""),2500.0)</f>
        <v>2500</v>
      </c>
    </row>
    <row r="413" ht="15.75" customHeight="1">
      <c r="C413" s="212"/>
      <c r="D413" s="212"/>
      <c r="E413" s="212"/>
      <c r="H413" s="208" t="s">
        <v>441</v>
      </c>
      <c r="I413" s="20">
        <v>1754.0</v>
      </c>
      <c r="J413" s="211"/>
      <c r="L413" s="215">
        <f>IFERROR(__xludf.DUMMYFUNCTION("""COMPUTED_VALUE"""),150.0)</f>
        <v>150</v>
      </c>
    </row>
    <row r="414" ht="15.75" customHeight="1">
      <c r="C414" s="212"/>
      <c r="D414" s="212"/>
      <c r="E414" s="212"/>
      <c r="H414" s="208" t="s">
        <v>442</v>
      </c>
      <c r="I414" s="20">
        <v>628.0</v>
      </c>
      <c r="J414" s="211"/>
    </row>
    <row r="415" ht="15.75" customHeight="1">
      <c r="C415" s="212"/>
      <c r="D415" s="212"/>
      <c r="E415" s="212"/>
      <c r="H415" s="208" t="s">
        <v>443</v>
      </c>
      <c r="I415" s="20">
        <v>468.0</v>
      </c>
      <c r="J415" s="211"/>
    </row>
    <row r="416" ht="15.75" customHeight="1">
      <c r="C416" s="212"/>
      <c r="D416" s="212"/>
      <c r="E416" s="212"/>
      <c r="H416" s="208" t="s">
        <v>444</v>
      </c>
      <c r="I416" s="20">
        <v>1318.0</v>
      </c>
      <c r="J416" s="211"/>
    </row>
    <row r="417" ht="15.75" customHeight="1">
      <c r="C417" s="212"/>
      <c r="D417" s="212"/>
      <c r="E417" s="212"/>
      <c r="H417" s="208" t="s">
        <v>445</v>
      </c>
      <c r="I417" s="20">
        <v>653.0</v>
      </c>
      <c r="J417" s="211"/>
    </row>
    <row r="418" ht="15.75" customHeight="1">
      <c r="C418" s="212"/>
      <c r="D418" s="212"/>
      <c r="E418" s="212"/>
      <c r="H418" s="208" t="s">
        <v>446</v>
      </c>
      <c r="I418" s="20">
        <v>1091.0</v>
      </c>
      <c r="J418" s="211"/>
    </row>
    <row r="419" ht="15.75" customHeight="1">
      <c r="C419" s="212"/>
      <c r="D419" s="212"/>
      <c r="E419" s="212"/>
      <c r="H419" s="208" t="s">
        <v>447</v>
      </c>
      <c r="I419" s="20">
        <v>1044.0</v>
      </c>
      <c r="J419" s="211"/>
    </row>
    <row r="420" ht="15.75" customHeight="1">
      <c r="C420" s="212"/>
      <c r="D420" s="212"/>
      <c r="E420" s="212"/>
      <c r="H420" s="208" t="s">
        <v>448</v>
      </c>
      <c r="I420" s="20">
        <v>1470.0</v>
      </c>
      <c r="J420" s="211"/>
    </row>
    <row r="421" ht="15.75" customHeight="1">
      <c r="C421" s="212"/>
      <c r="D421" s="212"/>
      <c r="E421" s="212"/>
      <c r="H421" s="208" t="s">
        <v>449</v>
      </c>
      <c r="I421" s="20">
        <v>256.0</v>
      </c>
      <c r="J421" s="211"/>
    </row>
    <row r="422" ht="15.75" customHeight="1">
      <c r="C422" s="212"/>
      <c r="D422" s="212"/>
      <c r="E422" s="212"/>
      <c r="H422" s="208" t="s">
        <v>450</v>
      </c>
      <c r="I422" s="20">
        <v>1800.0</v>
      </c>
      <c r="J422" s="211"/>
    </row>
    <row r="423" ht="15.75" customHeight="1">
      <c r="C423" s="212"/>
      <c r="D423" s="212"/>
      <c r="E423" s="212"/>
      <c r="H423" s="208" t="s">
        <v>451</v>
      </c>
      <c r="I423" s="20">
        <v>779.0</v>
      </c>
      <c r="J423" s="211"/>
    </row>
    <row r="424" ht="15.75" customHeight="1">
      <c r="C424" s="212"/>
      <c r="D424" s="212"/>
      <c r="E424" s="212"/>
      <c r="H424" s="208" t="s">
        <v>452</v>
      </c>
      <c r="I424" s="20">
        <v>353.0</v>
      </c>
      <c r="J424" s="211"/>
    </row>
    <row r="425" ht="15.75" customHeight="1">
      <c r="C425" s="212"/>
      <c r="D425" s="212"/>
      <c r="E425" s="212"/>
      <c r="H425" s="208" t="s">
        <v>453</v>
      </c>
      <c r="I425" s="20">
        <v>1157.0</v>
      </c>
      <c r="J425" s="211"/>
    </row>
    <row r="426" ht="15.75" customHeight="1">
      <c r="C426" s="212"/>
      <c r="D426" s="212"/>
      <c r="E426" s="212"/>
      <c r="H426" s="19" t="s">
        <v>454</v>
      </c>
      <c r="I426" s="20">
        <v>481.0</v>
      </c>
      <c r="J426" s="211"/>
    </row>
    <row r="427" ht="15.75" customHeight="1">
      <c r="C427" s="212"/>
      <c r="D427" s="212"/>
      <c r="E427" s="212"/>
      <c r="H427" s="208" t="s">
        <v>455</v>
      </c>
      <c r="I427" s="20">
        <v>1193.0</v>
      </c>
      <c r="J427" s="211"/>
    </row>
    <row r="428" ht="15.75" customHeight="1">
      <c r="C428" s="212"/>
      <c r="D428" s="212"/>
      <c r="E428" s="212"/>
      <c r="H428" s="208" t="s">
        <v>456</v>
      </c>
      <c r="I428" s="20">
        <v>357.0</v>
      </c>
      <c r="J428" s="211"/>
    </row>
    <row r="429" ht="15.75" customHeight="1">
      <c r="C429" s="212"/>
      <c r="D429" s="212"/>
      <c r="E429" s="212"/>
      <c r="H429" s="208" t="s">
        <v>457</v>
      </c>
      <c r="I429" s="20">
        <v>1886.0</v>
      </c>
      <c r="J429" s="211"/>
    </row>
    <row r="430" ht="15.75" customHeight="1">
      <c r="C430" s="212"/>
      <c r="D430" s="212"/>
      <c r="E430" s="212"/>
      <c r="H430" s="208" t="s">
        <v>458</v>
      </c>
      <c r="I430" s="20">
        <v>209.0</v>
      </c>
      <c r="J430" s="211"/>
    </row>
    <row r="431" ht="15.75" customHeight="1">
      <c r="C431" s="212"/>
      <c r="D431" s="212"/>
      <c r="E431" s="212"/>
      <c r="H431" s="208" t="s">
        <v>459</v>
      </c>
      <c r="I431" s="20">
        <v>1578.0</v>
      </c>
      <c r="J431" s="211"/>
    </row>
    <row r="432" ht="15.75" customHeight="1">
      <c r="C432" s="212"/>
      <c r="D432" s="212"/>
      <c r="E432" s="212"/>
      <c r="H432" s="208" t="s">
        <v>460</v>
      </c>
      <c r="I432" s="20">
        <v>1792.0</v>
      </c>
      <c r="J432" s="211"/>
    </row>
    <row r="433" ht="15.75" customHeight="1">
      <c r="C433" s="212"/>
      <c r="D433" s="212"/>
      <c r="E433" s="212"/>
      <c r="H433" s="208" t="s">
        <v>461</v>
      </c>
      <c r="I433" s="20">
        <v>1084.0</v>
      </c>
      <c r="J433" s="211"/>
    </row>
    <row r="434" ht="15.75" customHeight="1">
      <c r="C434" s="212"/>
      <c r="D434" s="212"/>
      <c r="E434" s="212"/>
      <c r="H434" s="208" t="s">
        <v>462</v>
      </c>
      <c r="I434" s="20">
        <v>1416.0</v>
      </c>
      <c r="J434" s="211"/>
    </row>
    <row r="435" ht="15.75" customHeight="1">
      <c r="C435" s="212"/>
      <c r="D435" s="212"/>
      <c r="E435" s="212"/>
      <c r="H435" s="208" t="s">
        <v>463</v>
      </c>
      <c r="I435" s="20">
        <v>737.0</v>
      </c>
      <c r="J435" s="211"/>
    </row>
    <row r="436" ht="15.75" customHeight="1">
      <c r="C436" s="212"/>
      <c r="D436" s="212"/>
      <c r="E436" s="212"/>
      <c r="H436" s="208" t="s">
        <v>464</v>
      </c>
      <c r="I436" s="20">
        <v>741.0</v>
      </c>
      <c r="J436" s="211"/>
    </row>
    <row r="437" ht="15.75" customHeight="1">
      <c r="C437" s="212"/>
      <c r="D437" s="212"/>
      <c r="E437" s="212"/>
      <c r="H437" s="208" t="s">
        <v>465</v>
      </c>
      <c r="I437" s="20">
        <v>359.0</v>
      </c>
      <c r="J437" s="211"/>
    </row>
    <row r="438" ht="15.75" customHeight="1">
      <c r="C438" s="212"/>
      <c r="D438" s="212"/>
      <c r="E438" s="212"/>
      <c r="H438" s="217" t="s">
        <v>466</v>
      </c>
      <c r="I438" s="218">
        <v>1191.0</v>
      </c>
      <c r="J438" s="211"/>
    </row>
    <row r="439" ht="15.75" customHeight="1">
      <c r="C439" s="212"/>
      <c r="D439" s="212"/>
      <c r="E439" s="212"/>
      <c r="H439" s="217" t="s">
        <v>467</v>
      </c>
      <c r="I439" s="218">
        <v>1774.0</v>
      </c>
      <c r="J439" s="211"/>
    </row>
    <row r="440" ht="15.75" customHeight="1">
      <c r="C440" s="212"/>
      <c r="D440" s="212"/>
      <c r="E440" s="212"/>
      <c r="H440" s="217" t="s">
        <v>468</v>
      </c>
      <c r="I440" s="218">
        <v>1530.0</v>
      </c>
      <c r="J440" s="211"/>
    </row>
    <row r="441" ht="15.75" customHeight="1">
      <c r="C441" s="212"/>
      <c r="D441" s="212"/>
      <c r="E441" s="212"/>
      <c r="H441" s="21" t="s">
        <v>469</v>
      </c>
      <c r="I441" s="22">
        <v>1444.0</v>
      </c>
      <c r="J441" s="211"/>
    </row>
    <row r="442" ht="15.75" customHeight="1">
      <c r="C442" s="212"/>
      <c r="D442" s="212"/>
      <c r="E442" s="212"/>
      <c r="H442" s="211"/>
      <c r="J442" s="211"/>
    </row>
    <row r="443" ht="15.75" customHeight="1">
      <c r="C443" s="212"/>
      <c r="D443" s="212"/>
      <c r="E443" s="212"/>
      <c r="H443" s="211"/>
      <c r="J443" s="211"/>
    </row>
    <row r="444" ht="15.75" customHeight="1">
      <c r="C444" s="212"/>
      <c r="D444" s="212"/>
      <c r="E444" s="212"/>
      <c r="H444" s="211"/>
      <c r="J444" s="211"/>
    </row>
    <row r="445" ht="15.75" customHeight="1">
      <c r="C445" s="212"/>
      <c r="D445" s="212"/>
      <c r="E445" s="212"/>
      <c r="H445" s="211"/>
      <c r="J445" s="211"/>
    </row>
    <row r="446" ht="15.75" customHeight="1">
      <c r="C446" s="212"/>
      <c r="D446" s="212"/>
      <c r="E446" s="212"/>
      <c r="H446" s="211"/>
      <c r="J446" s="211"/>
    </row>
    <row r="447" ht="15.75" customHeight="1">
      <c r="C447" s="212"/>
      <c r="D447" s="212"/>
      <c r="E447" s="212"/>
      <c r="H447" s="211"/>
      <c r="J447" s="211"/>
    </row>
    <row r="448" ht="15.75" customHeight="1">
      <c r="C448" s="212"/>
      <c r="D448" s="212"/>
      <c r="E448" s="212"/>
      <c r="H448" s="211"/>
      <c r="J448" s="211"/>
    </row>
    <row r="449" ht="15.75" customHeight="1">
      <c r="C449" s="212"/>
      <c r="D449" s="212"/>
      <c r="E449" s="212"/>
      <c r="H449" s="211"/>
      <c r="J449" s="211"/>
    </row>
    <row r="450" ht="15.75" customHeight="1">
      <c r="C450" s="212"/>
      <c r="D450" s="212"/>
      <c r="E450" s="212"/>
      <c r="H450" s="211"/>
      <c r="J450" s="211"/>
    </row>
    <row r="451" ht="15.75" customHeight="1">
      <c r="C451" s="212"/>
      <c r="D451" s="212"/>
      <c r="E451" s="212"/>
      <c r="H451" s="211"/>
      <c r="J451" s="211"/>
    </row>
    <row r="452" ht="15.75" customHeight="1">
      <c r="C452" s="212"/>
      <c r="D452" s="212"/>
      <c r="E452" s="212"/>
      <c r="H452" s="211"/>
      <c r="J452" s="211"/>
    </row>
    <row r="453" ht="15.75" customHeight="1">
      <c r="C453" s="212"/>
      <c r="D453" s="212"/>
      <c r="E453" s="212"/>
      <c r="H453" s="211"/>
      <c r="J453" s="211"/>
    </row>
    <row r="454" ht="15.75" customHeight="1">
      <c r="C454" s="212"/>
      <c r="D454" s="212"/>
      <c r="E454" s="212"/>
      <c r="H454" s="211"/>
      <c r="J454" s="211"/>
    </row>
    <row r="455" ht="15.75" customHeight="1">
      <c r="C455" s="212"/>
      <c r="D455" s="212"/>
      <c r="E455" s="212"/>
      <c r="H455" s="211"/>
      <c r="J455" s="211"/>
    </row>
    <row r="456" ht="15.75" customHeight="1">
      <c r="C456" s="212"/>
      <c r="D456" s="212"/>
      <c r="E456" s="212"/>
      <c r="H456" s="211"/>
      <c r="J456" s="211"/>
    </row>
    <row r="457" ht="15.75" customHeight="1">
      <c r="C457" s="212"/>
      <c r="D457" s="212"/>
      <c r="E457" s="212"/>
      <c r="H457" s="211"/>
      <c r="J457" s="211"/>
    </row>
    <row r="458" ht="15.75" customHeight="1">
      <c r="C458" s="212"/>
      <c r="D458" s="212"/>
      <c r="E458" s="212"/>
      <c r="H458" s="211"/>
      <c r="J458" s="211"/>
    </row>
    <row r="459" ht="15.75" customHeight="1">
      <c r="C459" s="212"/>
      <c r="D459" s="212"/>
      <c r="E459" s="212"/>
      <c r="H459" s="211"/>
      <c r="J459" s="211"/>
    </row>
    <row r="460" ht="15.75" customHeight="1">
      <c r="C460" s="212"/>
      <c r="D460" s="212"/>
      <c r="E460" s="212"/>
      <c r="H460" s="211"/>
      <c r="J460" s="211"/>
    </row>
    <row r="461" ht="15.75" customHeight="1">
      <c r="C461" s="212"/>
      <c r="D461" s="212"/>
      <c r="E461" s="212"/>
      <c r="H461" s="211"/>
      <c r="J461" s="211"/>
    </row>
    <row r="462" ht="15.75" customHeight="1">
      <c r="C462" s="212"/>
      <c r="D462" s="212"/>
      <c r="E462" s="212"/>
      <c r="H462" s="211"/>
      <c r="J462" s="211"/>
    </row>
    <row r="463" ht="15.75" customHeight="1">
      <c r="C463" s="212"/>
      <c r="D463" s="212"/>
      <c r="E463" s="212"/>
      <c r="H463" s="211"/>
      <c r="J463" s="211"/>
    </row>
    <row r="464" ht="15.75" customHeight="1">
      <c r="C464" s="212"/>
      <c r="D464" s="212"/>
      <c r="E464" s="212"/>
      <c r="H464" s="211"/>
      <c r="J464" s="211"/>
    </row>
    <row r="465" ht="15.75" customHeight="1">
      <c r="C465" s="212"/>
      <c r="D465" s="212"/>
      <c r="E465" s="212"/>
      <c r="H465" s="211"/>
      <c r="J465" s="211"/>
    </row>
    <row r="466" ht="15.75" customHeight="1">
      <c r="C466" s="212"/>
      <c r="D466" s="212"/>
      <c r="E466" s="212"/>
      <c r="H466" s="211"/>
      <c r="J466" s="211"/>
    </row>
    <row r="467" ht="15.75" customHeight="1">
      <c r="C467" s="212"/>
      <c r="D467" s="212"/>
      <c r="E467" s="212"/>
      <c r="H467" s="211"/>
      <c r="J467" s="211"/>
    </row>
    <row r="468" ht="15.75" customHeight="1">
      <c r="C468" s="212"/>
      <c r="D468" s="212"/>
      <c r="E468" s="212"/>
      <c r="H468" s="211"/>
      <c r="J468" s="211"/>
    </row>
    <row r="469" ht="15.75" customHeight="1">
      <c r="C469" s="212"/>
      <c r="D469" s="212"/>
      <c r="E469" s="212"/>
      <c r="H469" s="211"/>
      <c r="J469" s="211"/>
    </row>
    <row r="470" ht="15.75" customHeight="1">
      <c r="C470" s="212"/>
      <c r="D470" s="212"/>
      <c r="E470" s="212"/>
      <c r="H470" s="211"/>
      <c r="J470" s="211"/>
    </row>
    <row r="471" ht="15.75" customHeight="1">
      <c r="C471" s="212"/>
      <c r="D471" s="212"/>
      <c r="E471" s="212"/>
      <c r="H471" s="211"/>
      <c r="J471" s="211"/>
    </row>
    <row r="472" ht="15.75" customHeight="1">
      <c r="C472" s="212"/>
      <c r="D472" s="212"/>
      <c r="E472" s="212"/>
      <c r="H472" s="211"/>
      <c r="J472" s="211"/>
    </row>
    <row r="473" ht="15.75" customHeight="1">
      <c r="C473" s="212"/>
      <c r="D473" s="212"/>
      <c r="E473" s="212"/>
      <c r="H473" s="211"/>
      <c r="J473" s="211"/>
    </row>
    <row r="474" ht="15.75" customHeight="1">
      <c r="C474" s="212"/>
      <c r="D474" s="212"/>
      <c r="E474" s="212"/>
      <c r="H474" s="211"/>
      <c r="J474" s="211"/>
    </row>
    <row r="475" ht="15.75" customHeight="1">
      <c r="C475" s="212"/>
      <c r="D475" s="212"/>
      <c r="E475" s="212"/>
      <c r="H475" s="211"/>
      <c r="J475" s="211"/>
    </row>
    <row r="476" ht="15.75" customHeight="1">
      <c r="C476" s="212"/>
      <c r="D476" s="212"/>
      <c r="E476" s="212"/>
      <c r="H476" s="211"/>
      <c r="J476" s="211"/>
    </row>
    <row r="477" ht="15.75" customHeight="1">
      <c r="C477" s="212"/>
      <c r="D477" s="212"/>
      <c r="E477" s="212"/>
      <c r="H477" s="211"/>
      <c r="J477" s="211"/>
    </row>
    <row r="478" ht="15.75" customHeight="1">
      <c r="C478" s="212"/>
      <c r="D478" s="212"/>
      <c r="E478" s="212"/>
      <c r="H478" s="211"/>
      <c r="J478" s="211"/>
    </row>
    <row r="479" ht="15.75" customHeight="1">
      <c r="C479" s="212"/>
      <c r="D479" s="212"/>
      <c r="E479" s="212"/>
      <c r="H479" s="211"/>
      <c r="J479" s="211"/>
    </row>
    <row r="480" ht="15.75" customHeight="1">
      <c r="C480" s="212"/>
      <c r="D480" s="212"/>
      <c r="E480" s="212"/>
      <c r="H480" s="211"/>
      <c r="J480" s="211"/>
    </row>
    <row r="481" ht="15.75" customHeight="1">
      <c r="C481" s="212"/>
      <c r="D481" s="212"/>
      <c r="E481" s="212"/>
      <c r="H481" s="211"/>
      <c r="J481" s="211"/>
    </row>
    <row r="482" ht="15.75" customHeight="1">
      <c r="C482" s="212"/>
      <c r="D482" s="212"/>
      <c r="E482" s="212"/>
      <c r="H482" s="211"/>
      <c r="J482" s="211"/>
    </row>
    <row r="483" ht="15.75" customHeight="1">
      <c r="C483" s="212"/>
      <c r="D483" s="212"/>
      <c r="E483" s="212"/>
      <c r="H483" s="211"/>
      <c r="J483" s="211"/>
    </row>
    <row r="484" ht="15.75" customHeight="1">
      <c r="C484" s="212"/>
      <c r="D484" s="212"/>
      <c r="E484" s="212"/>
      <c r="H484" s="211"/>
      <c r="J484" s="211"/>
    </row>
    <row r="485" ht="15.75" customHeight="1">
      <c r="C485" s="212"/>
      <c r="D485" s="212"/>
      <c r="E485" s="212"/>
      <c r="H485" s="211"/>
      <c r="J485" s="211"/>
    </row>
    <row r="486" ht="15.75" customHeight="1">
      <c r="C486" s="212"/>
      <c r="D486" s="212"/>
      <c r="E486" s="212"/>
      <c r="H486" s="211"/>
      <c r="J486" s="211"/>
    </row>
    <row r="487" ht="15.75" customHeight="1">
      <c r="C487" s="212"/>
      <c r="D487" s="212"/>
      <c r="E487" s="212"/>
      <c r="H487" s="211"/>
      <c r="J487" s="211"/>
    </row>
    <row r="488" ht="15.75" customHeight="1">
      <c r="C488" s="212"/>
      <c r="D488" s="212"/>
      <c r="E488" s="212"/>
      <c r="H488" s="211"/>
      <c r="J488" s="211"/>
    </row>
    <row r="489" ht="15.75" customHeight="1">
      <c r="C489" s="212"/>
      <c r="D489" s="212"/>
      <c r="E489" s="212"/>
      <c r="H489" s="211"/>
      <c r="J489" s="211"/>
    </row>
    <row r="490" ht="15.75" customHeight="1">
      <c r="C490" s="212"/>
      <c r="D490" s="212"/>
      <c r="E490" s="212"/>
      <c r="H490" s="211"/>
      <c r="J490" s="211"/>
    </row>
    <row r="491" ht="15.75" customHeight="1">
      <c r="C491" s="212"/>
      <c r="D491" s="212"/>
      <c r="E491" s="212"/>
      <c r="H491" s="211"/>
      <c r="J491" s="211"/>
    </row>
    <row r="492" ht="15.75" customHeight="1">
      <c r="C492" s="212"/>
      <c r="D492" s="212"/>
      <c r="E492" s="212"/>
      <c r="H492" s="211"/>
      <c r="J492" s="211"/>
    </row>
    <row r="493" ht="15.75" customHeight="1">
      <c r="C493" s="212"/>
      <c r="D493" s="212"/>
      <c r="E493" s="212"/>
      <c r="H493" s="211"/>
      <c r="J493" s="211"/>
    </row>
    <row r="494" ht="15.75" customHeight="1">
      <c r="C494" s="212"/>
      <c r="D494" s="212"/>
      <c r="E494" s="212"/>
      <c r="H494" s="211"/>
      <c r="J494" s="211"/>
    </row>
    <row r="495" ht="15.75" customHeight="1">
      <c r="C495" s="212"/>
      <c r="D495" s="212"/>
      <c r="E495" s="212"/>
      <c r="H495" s="211"/>
      <c r="J495" s="211"/>
    </row>
    <row r="496" ht="15.75" customHeight="1">
      <c r="C496" s="212"/>
      <c r="D496" s="212"/>
      <c r="E496" s="212"/>
      <c r="H496" s="211"/>
      <c r="J496" s="211"/>
    </row>
    <row r="497" ht="15.75" customHeight="1">
      <c r="C497" s="212"/>
      <c r="D497" s="212"/>
      <c r="E497" s="212"/>
      <c r="H497" s="211"/>
      <c r="J497" s="211"/>
    </row>
    <row r="498" ht="15.75" customHeight="1">
      <c r="C498" s="212"/>
      <c r="D498" s="212"/>
      <c r="E498" s="212"/>
      <c r="H498" s="211"/>
      <c r="J498" s="211"/>
    </row>
    <row r="499" ht="15.75" customHeight="1">
      <c r="C499" s="212"/>
      <c r="D499" s="212"/>
      <c r="E499" s="212"/>
      <c r="H499" s="211"/>
      <c r="J499" s="211"/>
    </row>
    <row r="500" ht="15.75" customHeight="1">
      <c r="C500" s="212"/>
      <c r="D500" s="212"/>
      <c r="E500" s="212"/>
      <c r="H500" s="211"/>
      <c r="J500" s="211"/>
    </row>
    <row r="501" ht="15.75" customHeight="1">
      <c r="C501" s="212"/>
      <c r="D501" s="212"/>
      <c r="E501" s="212"/>
      <c r="H501" s="211"/>
      <c r="J501" s="211"/>
    </row>
    <row r="502" ht="15.75" customHeight="1">
      <c r="C502" s="212"/>
      <c r="D502" s="212"/>
      <c r="E502" s="212"/>
      <c r="H502" s="211"/>
      <c r="J502" s="211"/>
    </row>
    <row r="503" ht="15.75" customHeight="1">
      <c r="C503" s="212"/>
      <c r="D503" s="212"/>
      <c r="E503" s="212"/>
      <c r="H503" s="211"/>
      <c r="J503" s="211"/>
    </row>
    <row r="504" ht="15.75" customHeight="1">
      <c r="C504" s="212"/>
      <c r="D504" s="212"/>
      <c r="E504" s="212"/>
      <c r="H504" s="211"/>
      <c r="J504" s="211"/>
    </row>
    <row r="505" ht="15.75" customHeight="1">
      <c r="C505" s="212"/>
      <c r="D505" s="212"/>
      <c r="E505" s="212"/>
      <c r="H505" s="211"/>
      <c r="J505" s="211"/>
    </row>
    <row r="506" ht="15.75" customHeight="1">
      <c r="C506" s="212"/>
      <c r="D506" s="212"/>
      <c r="E506" s="212"/>
      <c r="H506" s="211"/>
      <c r="J506" s="211"/>
    </row>
    <row r="507" ht="15.75" customHeight="1">
      <c r="C507" s="212"/>
      <c r="D507" s="212"/>
      <c r="E507" s="212"/>
      <c r="H507" s="211"/>
      <c r="J507" s="211"/>
    </row>
    <row r="508" ht="15.75" customHeight="1">
      <c r="C508" s="212"/>
      <c r="D508" s="212"/>
      <c r="E508" s="212"/>
      <c r="H508" s="211"/>
      <c r="J508" s="211"/>
    </row>
    <row r="509" ht="15.75" customHeight="1">
      <c r="C509" s="212"/>
      <c r="D509" s="212"/>
      <c r="E509" s="212"/>
      <c r="H509" s="211"/>
      <c r="J509" s="211"/>
    </row>
    <row r="510" ht="15.75" customHeight="1">
      <c r="C510" s="212"/>
      <c r="D510" s="212"/>
      <c r="E510" s="212"/>
      <c r="H510" s="211"/>
      <c r="J510" s="211"/>
    </row>
    <row r="511" ht="15.75" customHeight="1">
      <c r="C511" s="212"/>
      <c r="D511" s="212"/>
      <c r="E511" s="212"/>
      <c r="H511" s="211"/>
      <c r="J511" s="211"/>
    </row>
    <row r="512" ht="15.75" customHeight="1">
      <c r="C512" s="212"/>
      <c r="D512" s="212"/>
      <c r="E512" s="212"/>
      <c r="H512" s="211"/>
      <c r="J512" s="211"/>
    </row>
    <row r="513" ht="15.75" customHeight="1">
      <c r="C513" s="212"/>
      <c r="D513" s="212"/>
      <c r="E513" s="212"/>
      <c r="H513" s="211"/>
      <c r="J513" s="211"/>
    </row>
    <row r="514" ht="15.75" customHeight="1">
      <c r="C514" s="212"/>
      <c r="D514" s="212"/>
      <c r="E514" s="212"/>
      <c r="H514" s="211"/>
      <c r="J514" s="211"/>
    </row>
    <row r="515" ht="15.75" customHeight="1">
      <c r="C515" s="212"/>
      <c r="D515" s="212"/>
      <c r="E515" s="212"/>
      <c r="H515" s="211"/>
      <c r="J515" s="211"/>
    </row>
    <row r="516" ht="15.75" customHeight="1">
      <c r="C516" s="212"/>
      <c r="D516" s="212"/>
      <c r="E516" s="212"/>
      <c r="H516" s="211"/>
      <c r="J516" s="211"/>
    </row>
    <row r="517" ht="15.75" customHeight="1">
      <c r="C517" s="212"/>
      <c r="D517" s="212"/>
      <c r="E517" s="212"/>
      <c r="H517" s="211"/>
      <c r="J517" s="211"/>
    </row>
    <row r="518" ht="15.75" customHeight="1">
      <c r="C518" s="212"/>
      <c r="D518" s="212"/>
      <c r="E518" s="212"/>
      <c r="H518" s="211"/>
      <c r="J518" s="211"/>
    </row>
    <row r="519" ht="15.75" customHeight="1">
      <c r="C519" s="212"/>
      <c r="D519" s="212"/>
      <c r="E519" s="212"/>
      <c r="H519" s="211"/>
      <c r="J519" s="211"/>
    </row>
    <row r="520" ht="15.75" customHeight="1">
      <c r="C520" s="212"/>
      <c r="D520" s="212"/>
      <c r="E520" s="212"/>
      <c r="H520" s="211"/>
      <c r="J520" s="211"/>
    </row>
    <row r="521" ht="15.75" customHeight="1">
      <c r="C521" s="212"/>
      <c r="D521" s="212"/>
      <c r="E521" s="212"/>
      <c r="H521" s="211"/>
      <c r="J521" s="211"/>
    </row>
    <row r="522" ht="15.75" customHeight="1">
      <c r="C522" s="212"/>
      <c r="D522" s="212"/>
      <c r="E522" s="212"/>
      <c r="H522" s="211"/>
      <c r="J522" s="211"/>
    </row>
    <row r="523" ht="15.75" customHeight="1">
      <c r="C523" s="212"/>
      <c r="D523" s="212"/>
      <c r="E523" s="212"/>
      <c r="H523" s="211"/>
      <c r="J523" s="211"/>
    </row>
    <row r="524" ht="15.75" customHeight="1">
      <c r="C524" s="212"/>
      <c r="D524" s="212"/>
      <c r="E524" s="212"/>
      <c r="H524" s="211"/>
      <c r="J524" s="211"/>
    </row>
    <row r="525" ht="15.75" customHeight="1">
      <c r="C525" s="212"/>
      <c r="D525" s="212"/>
      <c r="E525" s="212"/>
      <c r="H525" s="211"/>
      <c r="J525" s="211"/>
    </row>
    <row r="526" ht="15.75" customHeight="1">
      <c r="C526" s="212"/>
      <c r="D526" s="212"/>
      <c r="E526" s="212"/>
      <c r="H526" s="211"/>
      <c r="J526" s="211"/>
    </row>
    <row r="527" ht="15.75" customHeight="1">
      <c r="C527" s="212"/>
      <c r="D527" s="212"/>
      <c r="E527" s="212"/>
      <c r="H527" s="211"/>
      <c r="J527" s="211"/>
    </row>
    <row r="528" ht="15.75" customHeight="1">
      <c r="C528" s="212"/>
      <c r="D528" s="212"/>
      <c r="E528" s="212"/>
      <c r="H528" s="211"/>
      <c r="J528" s="211"/>
    </row>
    <row r="529" ht="15.75" customHeight="1">
      <c r="C529" s="212"/>
      <c r="D529" s="212"/>
      <c r="E529" s="212"/>
      <c r="H529" s="211"/>
      <c r="J529" s="211"/>
    </row>
    <row r="530" ht="15.75" customHeight="1">
      <c r="C530" s="212"/>
      <c r="D530" s="212"/>
      <c r="E530" s="212"/>
      <c r="H530" s="211"/>
      <c r="J530" s="211"/>
    </row>
    <row r="531" ht="15.75" customHeight="1">
      <c r="C531" s="212"/>
      <c r="D531" s="212"/>
      <c r="E531" s="212"/>
      <c r="H531" s="211"/>
      <c r="J531" s="211"/>
    </row>
    <row r="532" ht="15.75" customHeight="1">
      <c r="C532" s="212"/>
      <c r="D532" s="212"/>
      <c r="E532" s="212"/>
      <c r="H532" s="211"/>
      <c r="J532" s="211"/>
    </row>
    <row r="533" ht="15.75" customHeight="1">
      <c r="C533" s="212"/>
      <c r="D533" s="212"/>
      <c r="E533" s="212"/>
      <c r="H533" s="211"/>
      <c r="J533" s="211"/>
    </row>
    <row r="534" ht="15.75" customHeight="1">
      <c r="C534" s="212"/>
      <c r="D534" s="212"/>
      <c r="E534" s="212"/>
      <c r="H534" s="211"/>
      <c r="J534" s="211"/>
    </row>
    <row r="535" ht="15.75" customHeight="1">
      <c r="C535" s="212"/>
      <c r="D535" s="212"/>
      <c r="E535" s="212"/>
      <c r="H535" s="211"/>
      <c r="J535" s="211"/>
    </row>
    <row r="536" ht="15.75" customHeight="1">
      <c r="C536" s="212"/>
      <c r="D536" s="212"/>
      <c r="E536" s="212"/>
      <c r="H536" s="211"/>
      <c r="J536" s="211"/>
    </row>
    <row r="537" ht="15.75" customHeight="1">
      <c r="C537" s="212"/>
      <c r="D537" s="212"/>
      <c r="E537" s="212"/>
      <c r="H537" s="211"/>
      <c r="J537" s="211"/>
    </row>
    <row r="538" ht="15.75" customHeight="1">
      <c r="C538" s="212"/>
      <c r="D538" s="212"/>
      <c r="E538" s="212"/>
      <c r="H538" s="211"/>
      <c r="J538" s="211"/>
    </row>
    <row r="539" ht="15.75" customHeight="1">
      <c r="C539" s="212"/>
      <c r="D539" s="212"/>
      <c r="E539" s="212"/>
      <c r="H539" s="211"/>
      <c r="J539" s="211"/>
    </row>
    <row r="540" ht="15.75" customHeight="1">
      <c r="C540" s="212"/>
      <c r="D540" s="212"/>
      <c r="E540" s="212"/>
      <c r="H540" s="211"/>
      <c r="J540" s="211"/>
    </row>
    <row r="541" ht="15.75" customHeight="1">
      <c r="C541" s="212"/>
      <c r="D541" s="212"/>
      <c r="E541" s="212"/>
      <c r="H541" s="211"/>
      <c r="J541" s="211"/>
    </row>
    <row r="542" ht="15.75" customHeight="1">
      <c r="C542" s="212"/>
      <c r="D542" s="212"/>
      <c r="E542" s="212"/>
      <c r="H542" s="211"/>
      <c r="J542" s="211"/>
    </row>
    <row r="543" ht="15.75" customHeight="1">
      <c r="C543" s="212"/>
      <c r="D543" s="212"/>
      <c r="E543" s="212"/>
      <c r="H543" s="211"/>
      <c r="J543" s="211"/>
    </row>
    <row r="544" ht="15.75" customHeight="1">
      <c r="C544" s="212"/>
      <c r="D544" s="212"/>
      <c r="E544" s="212"/>
      <c r="H544" s="211"/>
      <c r="J544" s="211"/>
    </row>
    <row r="545" ht="15.75" customHeight="1">
      <c r="C545" s="212"/>
      <c r="D545" s="212"/>
      <c r="E545" s="212"/>
      <c r="H545" s="211"/>
      <c r="J545" s="211"/>
    </row>
    <row r="546" ht="15.75" customHeight="1">
      <c r="C546" s="212"/>
      <c r="D546" s="212"/>
      <c r="E546" s="212"/>
      <c r="H546" s="211"/>
      <c r="J546" s="211"/>
    </row>
    <row r="547" ht="15.75" customHeight="1">
      <c r="C547" s="212"/>
      <c r="D547" s="212"/>
      <c r="E547" s="212"/>
      <c r="H547" s="211"/>
      <c r="J547" s="211"/>
    </row>
    <row r="548" ht="15.75" customHeight="1">
      <c r="C548" s="212"/>
      <c r="D548" s="212"/>
      <c r="E548" s="212"/>
      <c r="H548" s="211"/>
      <c r="J548" s="211"/>
    </row>
    <row r="549" ht="15.75" customHeight="1">
      <c r="C549" s="212"/>
      <c r="D549" s="212"/>
      <c r="E549" s="212"/>
      <c r="H549" s="211"/>
      <c r="J549" s="211"/>
    </row>
    <row r="550" ht="15.75" customHeight="1">
      <c r="C550" s="212"/>
      <c r="D550" s="212"/>
      <c r="E550" s="212"/>
      <c r="H550" s="211"/>
      <c r="J550" s="211"/>
    </row>
    <row r="551" ht="15.75" customHeight="1">
      <c r="C551" s="212"/>
      <c r="D551" s="212"/>
      <c r="E551" s="212"/>
      <c r="H551" s="211"/>
      <c r="J551" s="211"/>
    </row>
    <row r="552" ht="15.75" customHeight="1">
      <c r="C552" s="212"/>
      <c r="D552" s="212"/>
      <c r="E552" s="212"/>
      <c r="H552" s="211"/>
      <c r="J552" s="211"/>
    </row>
    <row r="553" ht="15.75" customHeight="1">
      <c r="C553" s="212"/>
      <c r="D553" s="212"/>
      <c r="E553" s="212"/>
      <c r="H553" s="211"/>
      <c r="J553" s="211"/>
    </row>
    <row r="554" ht="15.75" customHeight="1">
      <c r="C554" s="212"/>
      <c r="D554" s="212"/>
      <c r="E554" s="212"/>
      <c r="H554" s="211"/>
      <c r="J554" s="211"/>
    </row>
    <row r="555" ht="15.75" customHeight="1">
      <c r="C555" s="212"/>
      <c r="D555" s="212"/>
      <c r="E555" s="212"/>
      <c r="H555" s="211"/>
      <c r="J555" s="211"/>
    </row>
    <row r="556" ht="15.75" customHeight="1">
      <c r="C556" s="212"/>
      <c r="D556" s="212"/>
      <c r="E556" s="212"/>
      <c r="H556" s="211"/>
      <c r="J556" s="211"/>
    </row>
    <row r="557" ht="15.75" customHeight="1">
      <c r="C557" s="212"/>
      <c r="D557" s="212"/>
      <c r="E557" s="212"/>
      <c r="H557" s="211"/>
      <c r="J557" s="211"/>
    </row>
    <row r="558" ht="15.75" customHeight="1">
      <c r="C558" s="212"/>
      <c r="D558" s="212"/>
      <c r="E558" s="212"/>
      <c r="H558" s="211"/>
      <c r="J558" s="211"/>
    </row>
    <row r="559" ht="15.75" customHeight="1">
      <c r="C559" s="212"/>
      <c r="D559" s="212"/>
      <c r="E559" s="212"/>
      <c r="H559" s="211"/>
      <c r="J559" s="211"/>
    </row>
    <row r="560" ht="15.75" customHeight="1">
      <c r="C560" s="212"/>
      <c r="D560" s="212"/>
      <c r="E560" s="212"/>
      <c r="H560" s="211"/>
      <c r="J560" s="211"/>
    </row>
    <row r="561" ht="15.75" customHeight="1">
      <c r="C561" s="212"/>
      <c r="D561" s="212"/>
      <c r="E561" s="212"/>
      <c r="H561" s="211"/>
      <c r="J561" s="211"/>
    </row>
    <row r="562" ht="15.75" customHeight="1">
      <c r="C562" s="212"/>
      <c r="D562" s="212"/>
      <c r="E562" s="212"/>
      <c r="H562" s="211"/>
      <c r="J562" s="211"/>
    </row>
    <row r="563" ht="15.75" customHeight="1">
      <c r="C563" s="212"/>
      <c r="D563" s="212"/>
      <c r="E563" s="212"/>
      <c r="H563" s="211"/>
      <c r="J563" s="211"/>
    </row>
    <row r="564" ht="15.75" customHeight="1">
      <c r="C564" s="212"/>
      <c r="D564" s="212"/>
      <c r="E564" s="212"/>
      <c r="H564" s="211"/>
      <c r="J564" s="211"/>
    </row>
    <row r="565" ht="15.75" customHeight="1">
      <c r="C565" s="212"/>
      <c r="D565" s="212"/>
      <c r="E565" s="212"/>
      <c r="H565" s="211"/>
      <c r="J565" s="211"/>
    </row>
    <row r="566" ht="15.75" customHeight="1">
      <c r="C566" s="212"/>
      <c r="D566" s="212"/>
      <c r="E566" s="212"/>
      <c r="H566" s="211"/>
      <c r="J566" s="211"/>
    </row>
    <row r="567" ht="15.75" customHeight="1">
      <c r="C567" s="212"/>
      <c r="D567" s="212"/>
      <c r="E567" s="212"/>
      <c r="H567" s="211"/>
      <c r="J567" s="211"/>
    </row>
    <row r="568" ht="15.75" customHeight="1">
      <c r="C568" s="212"/>
      <c r="D568" s="212"/>
      <c r="E568" s="212"/>
      <c r="H568" s="211"/>
      <c r="J568" s="211"/>
    </row>
    <row r="569" ht="15.75" customHeight="1">
      <c r="C569" s="212"/>
      <c r="D569" s="212"/>
      <c r="E569" s="212"/>
      <c r="H569" s="211"/>
      <c r="J569" s="211"/>
    </row>
    <row r="570" ht="15.75" customHeight="1">
      <c r="C570" s="212"/>
      <c r="D570" s="212"/>
      <c r="E570" s="212"/>
      <c r="H570" s="211"/>
      <c r="J570" s="211"/>
    </row>
    <row r="571" ht="15.75" customHeight="1">
      <c r="C571" s="212"/>
      <c r="D571" s="212"/>
      <c r="E571" s="212"/>
      <c r="H571" s="211"/>
      <c r="J571" s="211"/>
    </row>
    <row r="572" ht="15.75" customHeight="1">
      <c r="C572" s="212"/>
      <c r="D572" s="212"/>
      <c r="E572" s="212"/>
      <c r="H572" s="211"/>
      <c r="J572" s="211"/>
    </row>
    <row r="573" ht="15.75" customHeight="1">
      <c r="C573" s="212"/>
      <c r="D573" s="212"/>
      <c r="E573" s="212"/>
      <c r="H573" s="211"/>
      <c r="J573" s="211"/>
    </row>
    <row r="574" ht="15.75" customHeight="1">
      <c r="C574" s="212"/>
      <c r="D574" s="212"/>
      <c r="E574" s="212"/>
      <c r="H574" s="211"/>
      <c r="J574" s="211"/>
    </row>
    <row r="575" ht="15.75" customHeight="1">
      <c r="C575" s="212"/>
      <c r="D575" s="212"/>
      <c r="E575" s="212"/>
      <c r="H575" s="211"/>
      <c r="J575" s="211"/>
    </row>
    <row r="576" ht="15.75" customHeight="1">
      <c r="C576" s="212"/>
      <c r="D576" s="212"/>
      <c r="E576" s="212"/>
      <c r="H576" s="211"/>
      <c r="J576" s="211"/>
    </row>
    <row r="577" ht="15.75" customHeight="1">
      <c r="C577" s="212"/>
      <c r="D577" s="212"/>
      <c r="E577" s="212"/>
      <c r="H577" s="211"/>
      <c r="J577" s="211"/>
    </row>
    <row r="578" ht="15.75" customHeight="1">
      <c r="C578" s="212"/>
      <c r="D578" s="212"/>
      <c r="E578" s="212"/>
      <c r="H578" s="211"/>
      <c r="J578" s="211"/>
    </row>
    <row r="579" ht="15.75" customHeight="1">
      <c r="C579" s="212"/>
      <c r="D579" s="212"/>
      <c r="E579" s="212"/>
      <c r="H579" s="211"/>
      <c r="J579" s="211"/>
    </row>
    <row r="580" ht="15.75" customHeight="1">
      <c r="C580" s="212"/>
      <c r="D580" s="212"/>
      <c r="E580" s="212"/>
      <c r="H580" s="211"/>
      <c r="J580" s="211"/>
    </row>
    <row r="581" ht="15.75" customHeight="1">
      <c r="C581" s="212"/>
      <c r="D581" s="212"/>
      <c r="E581" s="212"/>
      <c r="H581" s="211"/>
      <c r="J581" s="211"/>
    </row>
    <row r="582" ht="15.75" customHeight="1">
      <c r="C582" s="212"/>
      <c r="D582" s="212"/>
      <c r="E582" s="212"/>
      <c r="H582" s="211"/>
      <c r="J582" s="211"/>
    </row>
    <row r="583" ht="15.75" customHeight="1">
      <c r="C583" s="212"/>
      <c r="D583" s="212"/>
      <c r="E583" s="212"/>
      <c r="H583" s="211"/>
      <c r="J583" s="211"/>
    </row>
    <row r="584" ht="15.75" customHeight="1">
      <c r="C584" s="212"/>
      <c r="D584" s="212"/>
      <c r="E584" s="212"/>
      <c r="H584" s="211"/>
      <c r="J584" s="211"/>
    </row>
    <row r="585" ht="15.75" customHeight="1">
      <c r="C585" s="212"/>
      <c r="D585" s="212"/>
      <c r="E585" s="212"/>
      <c r="H585" s="211"/>
      <c r="J585" s="211"/>
    </row>
    <row r="586" ht="15.75" customHeight="1">
      <c r="C586" s="212"/>
      <c r="D586" s="212"/>
      <c r="E586" s="212"/>
      <c r="H586" s="211"/>
      <c r="J586" s="211"/>
    </row>
    <row r="587" ht="15.75" customHeight="1">
      <c r="C587" s="212"/>
      <c r="D587" s="212"/>
      <c r="E587" s="212"/>
      <c r="H587" s="211"/>
      <c r="J587" s="211"/>
    </row>
    <row r="588" ht="15.75" customHeight="1">
      <c r="C588" s="212"/>
      <c r="D588" s="212"/>
      <c r="E588" s="212"/>
      <c r="H588" s="211"/>
      <c r="J588" s="211"/>
    </row>
    <row r="589" ht="15.75" customHeight="1">
      <c r="C589" s="212"/>
      <c r="D589" s="212"/>
      <c r="E589" s="212"/>
      <c r="H589" s="211"/>
      <c r="J589" s="211"/>
    </row>
    <row r="590" ht="15.75" customHeight="1">
      <c r="C590" s="212"/>
      <c r="D590" s="212"/>
      <c r="E590" s="212"/>
      <c r="H590" s="211"/>
      <c r="J590" s="211"/>
    </row>
    <row r="591" ht="15.75" customHeight="1">
      <c r="C591" s="212"/>
      <c r="D591" s="212"/>
      <c r="E591" s="212"/>
      <c r="H591" s="211"/>
      <c r="J591" s="211"/>
    </row>
    <row r="592" ht="15.75" customHeight="1">
      <c r="C592" s="212"/>
      <c r="D592" s="212"/>
      <c r="E592" s="212"/>
      <c r="H592" s="211"/>
      <c r="J592" s="211"/>
    </row>
    <row r="593" ht="15.75" customHeight="1">
      <c r="C593" s="212"/>
      <c r="D593" s="212"/>
      <c r="E593" s="212"/>
      <c r="H593" s="211"/>
      <c r="J593" s="211"/>
    </row>
    <row r="594" ht="15.75" customHeight="1">
      <c r="C594" s="212"/>
      <c r="D594" s="212"/>
      <c r="E594" s="212"/>
      <c r="H594" s="211"/>
      <c r="J594" s="211"/>
    </row>
    <row r="595" ht="15.75" customHeight="1">
      <c r="C595" s="212"/>
      <c r="D595" s="212"/>
      <c r="E595" s="212"/>
      <c r="H595" s="211"/>
      <c r="J595" s="211"/>
    </row>
    <row r="596" ht="15.75" customHeight="1">
      <c r="C596" s="212"/>
      <c r="D596" s="212"/>
      <c r="E596" s="212"/>
      <c r="H596" s="211"/>
      <c r="J596" s="211"/>
    </row>
    <row r="597" ht="15.75" customHeight="1">
      <c r="C597" s="212"/>
      <c r="D597" s="212"/>
      <c r="E597" s="212"/>
      <c r="H597" s="211"/>
      <c r="J597" s="211"/>
    </row>
    <row r="598" ht="15.75" customHeight="1">
      <c r="C598" s="212"/>
      <c r="D598" s="212"/>
      <c r="E598" s="212"/>
      <c r="H598" s="211"/>
      <c r="J598" s="211"/>
    </row>
    <row r="599" ht="15.75" customHeight="1">
      <c r="C599" s="212"/>
      <c r="D599" s="212"/>
      <c r="E599" s="212"/>
      <c r="H599" s="211"/>
      <c r="J599" s="211"/>
    </row>
    <row r="600" ht="15.75" customHeight="1">
      <c r="C600" s="212"/>
      <c r="D600" s="212"/>
      <c r="E600" s="212"/>
      <c r="H600" s="211"/>
      <c r="J600" s="211"/>
    </row>
    <row r="601" ht="15.75" customHeight="1">
      <c r="C601" s="212"/>
      <c r="D601" s="212"/>
      <c r="E601" s="212"/>
      <c r="H601" s="211"/>
      <c r="J601" s="211"/>
    </row>
    <row r="602" ht="15.75" customHeight="1">
      <c r="C602" s="212"/>
      <c r="D602" s="212"/>
      <c r="E602" s="212"/>
      <c r="H602" s="211"/>
      <c r="J602" s="211"/>
    </row>
    <row r="603" ht="15.75" customHeight="1">
      <c r="C603" s="212"/>
      <c r="D603" s="212"/>
      <c r="E603" s="212"/>
      <c r="H603" s="211"/>
      <c r="J603" s="211"/>
    </row>
    <row r="604" ht="15.75" customHeight="1">
      <c r="C604" s="212"/>
      <c r="D604" s="212"/>
      <c r="E604" s="212"/>
      <c r="H604" s="211"/>
      <c r="J604" s="211"/>
    </row>
    <row r="605" ht="15.75" customHeight="1">
      <c r="C605" s="212"/>
      <c r="D605" s="212"/>
      <c r="E605" s="212"/>
      <c r="H605" s="211"/>
      <c r="J605" s="211"/>
    </row>
    <row r="606" ht="15.75" customHeight="1">
      <c r="C606" s="212"/>
      <c r="D606" s="212"/>
      <c r="E606" s="212"/>
      <c r="H606" s="211"/>
      <c r="J606" s="211"/>
    </row>
    <row r="607" ht="15.75" customHeight="1">
      <c r="C607" s="212"/>
      <c r="D607" s="212"/>
      <c r="E607" s="212"/>
      <c r="H607" s="211"/>
      <c r="J607" s="211"/>
    </row>
    <row r="608" ht="15.75" customHeight="1">
      <c r="C608" s="212"/>
      <c r="D608" s="212"/>
      <c r="E608" s="212"/>
      <c r="H608" s="211"/>
      <c r="J608" s="211"/>
    </row>
    <row r="609" ht="15.75" customHeight="1">
      <c r="C609" s="212"/>
      <c r="D609" s="212"/>
      <c r="E609" s="212"/>
      <c r="H609" s="211"/>
      <c r="J609" s="211"/>
    </row>
    <row r="610" ht="15.75" customHeight="1">
      <c r="C610" s="212"/>
      <c r="D610" s="212"/>
      <c r="E610" s="212"/>
      <c r="H610" s="211"/>
      <c r="J610" s="211"/>
    </row>
    <row r="611" ht="15.75" customHeight="1">
      <c r="C611" s="212"/>
      <c r="D611" s="212"/>
      <c r="E611" s="212"/>
      <c r="H611" s="211"/>
      <c r="J611" s="211"/>
    </row>
    <row r="612" ht="15.75" customHeight="1">
      <c r="C612" s="212"/>
      <c r="D612" s="212"/>
      <c r="E612" s="212"/>
      <c r="H612" s="211"/>
      <c r="J612" s="211"/>
    </row>
    <row r="613" ht="15.75" customHeight="1">
      <c r="C613" s="212"/>
      <c r="D613" s="212"/>
      <c r="E613" s="212"/>
      <c r="H613" s="211"/>
      <c r="J613" s="211"/>
    </row>
    <row r="614" ht="15.75" customHeight="1">
      <c r="C614" s="212"/>
      <c r="D614" s="212"/>
      <c r="E614" s="212"/>
      <c r="H614" s="211"/>
      <c r="J614" s="211"/>
    </row>
    <row r="615" ht="15.75" customHeight="1">
      <c r="C615" s="212"/>
      <c r="D615" s="212"/>
      <c r="E615" s="212"/>
      <c r="H615" s="211"/>
      <c r="J615" s="211"/>
    </row>
    <row r="616" ht="15.75" customHeight="1">
      <c r="C616" s="212"/>
      <c r="D616" s="212"/>
      <c r="E616" s="212"/>
      <c r="H616" s="211"/>
      <c r="J616" s="211"/>
    </row>
    <row r="617" ht="15.75" customHeight="1">
      <c r="C617" s="212"/>
      <c r="D617" s="212"/>
      <c r="E617" s="212"/>
      <c r="H617" s="211"/>
      <c r="J617" s="211"/>
    </row>
    <row r="618" ht="15.75" customHeight="1">
      <c r="C618" s="212"/>
      <c r="D618" s="212"/>
      <c r="E618" s="212"/>
      <c r="H618" s="211"/>
      <c r="J618" s="211"/>
    </row>
    <row r="619" ht="15.75" customHeight="1">
      <c r="C619" s="212"/>
      <c r="D619" s="212"/>
      <c r="E619" s="212"/>
      <c r="H619" s="211"/>
      <c r="J619" s="211"/>
    </row>
    <row r="620" ht="15.75" customHeight="1">
      <c r="C620" s="212"/>
      <c r="D620" s="212"/>
      <c r="E620" s="212"/>
      <c r="H620" s="211"/>
      <c r="J620" s="211"/>
    </row>
    <row r="621" ht="15.75" customHeight="1">
      <c r="C621" s="212"/>
      <c r="D621" s="212"/>
      <c r="E621" s="212"/>
      <c r="H621" s="211"/>
      <c r="J621" s="211"/>
    </row>
    <row r="622" ht="15.75" customHeight="1">
      <c r="C622" s="212"/>
      <c r="D622" s="212"/>
      <c r="E622" s="212"/>
      <c r="H622" s="211"/>
      <c r="J622" s="211"/>
    </row>
    <row r="623" ht="15.75" customHeight="1">
      <c r="C623" s="212"/>
      <c r="D623" s="212"/>
      <c r="E623" s="212"/>
      <c r="H623" s="211"/>
      <c r="J623" s="211"/>
    </row>
    <row r="624" ht="15.75" customHeight="1">
      <c r="C624" s="212"/>
      <c r="D624" s="212"/>
      <c r="E624" s="212"/>
      <c r="H624" s="211"/>
      <c r="J624" s="211"/>
    </row>
    <row r="625" ht="15.75" customHeight="1">
      <c r="C625" s="212"/>
      <c r="D625" s="212"/>
      <c r="E625" s="212"/>
      <c r="H625" s="211"/>
      <c r="J625" s="211"/>
    </row>
    <row r="626" ht="15.75" customHeight="1">
      <c r="C626" s="212"/>
      <c r="D626" s="212"/>
      <c r="E626" s="212"/>
      <c r="H626" s="211"/>
      <c r="J626" s="211"/>
    </row>
    <row r="627" ht="15.75" customHeight="1">
      <c r="C627" s="212"/>
      <c r="D627" s="212"/>
      <c r="E627" s="212"/>
      <c r="H627" s="211"/>
      <c r="J627" s="211"/>
    </row>
    <row r="628" ht="15.75" customHeight="1">
      <c r="C628" s="212"/>
      <c r="D628" s="212"/>
      <c r="E628" s="212"/>
      <c r="H628" s="211"/>
      <c r="J628" s="211"/>
    </row>
    <row r="629" ht="15.75" customHeight="1">
      <c r="C629" s="212"/>
      <c r="D629" s="212"/>
      <c r="E629" s="212"/>
      <c r="H629" s="211"/>
      <c r="J629" s="211"/>
    </row>
    <row r="630" ht="15.75" customHeight="1">
      <c r="C630" s="212"/>
      <c r="D630" s="212"/>
      <c r="E630" s="212"/>
      <c r="H630" s="211"/>
      <c r="J630" s="211"/>
    </row>
    <row r="631" ht="15.75" customHeight="1">
      <c r="C631" s="212"/>
      <c r="D631" s="212"/>
      <c r="E631" s="212"/>
      <c r="H631" s="211"/>
      <c r="J631" s="211"/>
    </row>
    <row r="632" ht="15.75" customHeight="1">
      <c r="C632" s="212"/>
      <c r="D632" s="212"/>
      <c r="E632" s="212"/>
      <c r="H632" s="211"/>
      <c r="J632" s="211"/>
    </row>
    <row r="633" ht="15.75" customHeight="1">
      <c r="C633" s="212"/>
      <c r="D633" s="212"/>
      <c r="E633" s="212"/>
      <c r="H633" s="211"/>
      <c r="J633" s="211"/>
    </row>
    <row r="634" ht="15.75" customHeight="1">
      <c r="C634" s="212"/>
      <c r="D634" s="212"/>
      <c r="E634" s="212"/>
      <c r="H634" s="211"/>
      <c r="J634" s="211"/>
    </row>
    <row r="635" ht="15.75" customHeight="1">
      <c r="C635" s="212"/>
      <c r="D635" s="212"/>
      <c r="E635" s="212"/>
      <c r="H635" s="211"/>
      <c r="J635" s="211"/>
    </row>
    <row r="636" ht="15.75" customHeight="1">
      <c r="C636" s="212"/>
      <c r="D636" s="212"/>
      <c r="E636" s="212"/>
      <c r="H636" s="211"/>
      <c r="J636" s="211"/>
    </row>
    <row r="637" ht="15.75" customHeight="1">
      <c r="C637" s="212"/>
      <c r="D637" s="212"/>
      <c r="E637" s="212"/>
      <c r="H637" s="211"/>
      <c r="J637" s="211"/>
    </row>
    <row r="638" ht="15.75" customHeight="1">
      <c r="C638" s="212"/>
      <c r="D638" s="212"/>
      <c r="E638" s="212"/>
      <c r="H638" s="211"/>
      <c r="J638" s="211"/>
    </row>
    <row r="639" ht="15.75" customHeight="1">
      <c r="C639" s="212"/>
      <c r="D639" s="212"/>
      <c r="E639" s="212"/>
      <c r="H639" s="211"/>
      <c r="J639" s="211"/>
    </row>
    <row r="640" ht="15.75" customHeight="1">
      <c r="C640" s="212"/>
      <c r="D640" s="212"/>
      <c r="E640" s="212"/>
      <c r="H640" s="211"/>
      <c r="J640" s="211"/>
    </row>
    <row r="641" ht="15.75" customHeight="1">
      <c r="C641" s="212"/>
      <c r="D641" s="212"/>
      <c r="E641" s="212"/>
      <c r="H641" s="211"/>
      <c r="J641" s="211"/>
    </row>
    <row r="642" ht="15.75" customHeight="1">
      <c r="C642" s="212"/>
      <c r="D642" s="212"/>
      <c r="E642" s="212"/>
      <c r="H642" s="211"/>
      <c r="J642" s="211"/>
    </row>
    <row r="643" ht="15.75" customHeight="1">
      <c r="C643" s="212"/>
      <c r="D643" s="212"/>
      <c r="E643" s="212"/>
      <c r="H643" s="211"/>
      <c r="J643" s="211"/>
    </row>
    <row r="644" ht="15.75" customHeight="1">
      <c r="C644" s="212"/>
      <c r="D644" s="212"/>
      <c r="E644" s="212"/>
      <c r="H644" s="211"/>
      <c r="J644" s="211"/>
    </row>
    <row r="645" ht="15.75" customHeight="1">
      <c r="C645" s="212"/>
      <c r="D645" s="212"/>
      <c r="E645" s="212"/>
      <c r="H645" s="211"/>
      <c r="J645" s="211"/>
    </row>
    <row r="646" ht="15.75" customHeight="1">
      <c r="C646" s="212"/>
      <c r="D646" s="212"/>
      <c r="E646" s="212"/>
      <c r="H646" s="211"/>
      <c r="J646" s="211"/>
    </row>
    <row r="647" ht="15.75" customHeight="1">
      <c r="C647" s="212"/>
      <c r="D647" s="212"/>
      <c r="E647" s="212"/>
      <c r="H647" s="211"/>
      <c r="J647" s="211"/>
    </row>
    <row r="648" ht="15.75" customHeight="1">
      <c r="C648" s="212"/>
      <c r="D648" s="212"/>
      <c r="E648" s="212"/>
      <c r="H648" s="211"/>
      <c r="J648" s="211"/>
    </row>
    <row r="649" ht="15.75" customHeight="1">
      <c r="C649" s="212"/>
      <c r="D649" s="212"/>
      <c r="E649" s="212"/>
      <c r="H649" s="211"/>
      <c r="J649" s="211"/>
    </row>
    <row r="650" ht="15.75" customHeight="1">
      <c r="C650" s="212"/>
      <c r="D650" s="212"/>
      <c r="E650" s="212"/>
      <c r="H650" s="211"/>
      <c r="J650" s="211"/>
    </row>
    <row r="651" ht="15.75" customHeight="1">
      <c r="C651" s="212"/>
      <c r="D651" s="212"/>
      <c r="E651" s="212"/>
      <c r="H651" s="211"/>
      <c r="J651" s="211"/>
    </row>
    <row r="652" ht="15.75" customHeight="1">
      <c r="C652" s="212"/>
      <c r="D652" s="212"/>
      <c r="E652" s="212"/>
      <c r="H652" s="211"/>
      <c r="J652" s="211"/>
    </row>
    <row r="653" ht="15.75" customHeight="1">
      <c r="C653" s="212"/>
      <c r="D653" s="212"/>
      <c r="E653" s="212"/>
      <c r="H653" s="211"/>
      <c r="J653" s="211"/>
    </row>
    <row r="654" ht="15.75" customHeight="1">
      <c r="C654" s="212"/>
      <c r="D654" s="212"/>
      <c r="E654" s="212"/>
      <c r="H654" s="211"/>
      <c r="J654" s="211"/>
    </row>
    <row r="655" ht="15.75" customHeight="1">
      <c r="C655" s="212"/>
      <c r="D655" s="212"/>
      <c r="E655" s="212"/>
      <c r="H655" s="211"/>
      <c r="J655" s="211"/>
    </row>
    <row r="656" ht="15.75" customHeight="1">
      <c r="C656" s="212"/>
      <c r="D656" s="212"/>
      <c r="E656" s="212"/>
      <c r="H656" s="211"/>
      <c r="J656" s="211"/>
    </row>
    <row r="657" ht="15.75" customHeight="1">
      <c r="C657" s="212"/>
      <c r="D657" s="212"/>
      <c r="E657" s="212"/>
      <c r="H657" s="211"/>
      <c r="J657" s="211"/>
    </row>
    <row r="658" ht="15.75" customHeight="1">
      <c r="C658" s="212"/>
      <c r="D658" s="212"/>
      <c r="E658" s="212"/>
      <c r="H658" s="211"/>
      <c r="J658" s="211"/>
    </row>
    <row r="659" ht="15.75" customHeight="1">
      <c r="C659" s="212"/>
      <c r="D659" s="212"/>
      <c r="E659" s="212"/>
      <c r="H659" s="211"/>
      <c r="J659" s="211"/>
    </row>
    <row r="660" ht="15.75" customHeight="1">
      <c r="C660" s="212"/>
      <c r="D660" s="212"/>
      <c r="E660" s="212"/>
      <c r="H660" s="211"/>
      <c r="J660" s="211"/>
    </row>
    <row r="661" ht="15.75" customHeight="1">
      <c r="C661" s="212"/>
      <c r="D661" s="212"/>
      <c r="E661" s="212"/>
      <c r="H661" s="211"/>
      <c r="J661" s="211"/>
    </row>
    <row r="662" ht="15.75" customHeight="1">
      <c r="C662" s="212"/>
      <c r="D662" s="212"/>
      <c r="E662" s="212"/>
      <c r="H662" s="211"/>
      <c r="J662" s="211"/>
    </row>
    <row r="663" ht="15.75" customHeight="1">
      <c r="C663" s="212"/>
      <c r="D663" s="212"/>
      <c r="E663" s="212"/>
      <c r="H663" s="211"/>
      <c r="J663" s="211"/>
    </row>
    <row r="664" ht="15.75" customHeight="1">
      <c r="C664" s="212"/>
      <c r="D664" s="212"/>
      <c r="E664" s="212"/>
      <c r="H664" s="211"/>
      <c r="J664" s="211"/>
    </row>
    <row r="665" ht="15.75" customHeight="1">
      <c r="C665" s="212"/>
      <c r="D665" s="212"/>
      <c r="E665" s="212"/>
      <c r="H665" s="211"/>
      <c r="J665" s="211"/>
    </row>
    <row r="666" ht="15.75" customHeight="1">
      <c r="C666" s="212"/>
      <c r="D666" s="212"/>
      <c r="E666" s="212"/>
      <c r="H666" s="211"/>
      <c r="J666" s="211"/>
    </row>
    <row r="667" ht="15.75" customHeight="1">
      <c r="C667" s="212"/>
      <c r="D667" s="212"/>
      <c r="E667" s="212"/>
      <c r="H667" s="211"/>
      <c r="J667" s="211"/>
    </row>
    <row r="668" ht="15.75" customHeight="1">
      <c r="C668" s="212"/>
      <c r="D668" s="212"/>
      <c r="E668" s="212"/>
      <c r="H668" s="211"/>
      <c r="J668" s="211"/>
    </row>
    <row r="669" ht="15.75" customHeight="1">
      <c r="C669" s="212"/>
      <c r="D669" s="212"/>
      <c r="E669" s="212"/>
      <c r="H669" s="211"/>
      <c r="J669" s="211"/>
    </row>
    <row r="670" ht="15.75" customHeight="1">
      <c r="C670" s="212"/>
      <c r="D670" s="212"/>
      <c r="E670" s="212"/>
      <c r="H670" s="211"/>
      <c r="J670" s="211"/>
    </row>
    <row r="671" ht="15.75" customHeight="1">
      <c r="C671" s="212"/>
      <c r="D671" s="212"/>
      <c r="E671" s="212"/>
      <c r="H671" s="211"/>
      <c r="J671" s="211"/>
    </row>
    <row r="672" ht="15.75" customHeight="1">
      <c r="C672" s="212"/>
      <c r="D672" s="212"/>
      <c r="E672" s="212"/>
      <c r="H672" s="211"/>
      <c r="J672" s="211"/>
    </row>
    <row r="673" ht="15.75" customHeight="1">
      <c r="C673" s="212"/>
      <c r="D673" s="212"/>
      <c r="E673" s="212"/>
      <c r="H673" s="211"/>
      <c r="J673" s="211"/>
    </row>
    <row r="674" ht="15.75" customHeight="1">
      <c r="C674" s="212"/>
      <c r="D674" s="212"/>
      <c r="E674" s="212"/>
      <c r="H674" s="211"/>
      <c r="J674" s="211"/>
    </row>
    <row r="675" ht="15.75" customHeight="1">
      <c r="C675" s="212"/>
      <c r="D675" s="212"/>
      <c r="E675" s="212"/>
      <c r="H675" s="211"/>
      <c r="J675" s="211"/>
    </row>
    <row r="676" ht="15.75" customHeight="1">
      <c r="C676" s="212"/>
      <c r="D676" s="212"/>
      <c r="E676" s="212"/>
      <c r="H676" s="211"/>
      <c r="J676" s="211"/>
    </row>
    <row r="677" ht="15.75" customHeight="1">
      <c r="C677" s="212"/>
      <c r="D677" s="212"/>
      <c r="E677" s="212"/>
      <c r="H677" s="211"/>
      <c r="J677" s="211"/>
    </row>
    <row r="678" ht="15.75" customHeight="1">
      <c r="C678" s="212"/>
      <c r="D678" s="212"/>
      <c r="E678" s="212"/>
      <c r="H678" s="211"/>
      <c r="J678" s="211"/>
    </row>
    <row r="679" ht="15.75" customHeight="1">
      <c r="C679" s="212"/>
      <c r="D679" s="212"/>
      <c r="E679" s="212"/>
      <c r="H679" s="211"/>
      <c r="J679" s="211"/>
    </row>
    <row r="680" ht="15.75" customHeight="1">
      <c r="C680" s="212"/>
      <c r="D680" s="212"/>
      <c r="E680" s="212"/>
      <c r="H680" s="211"/>
      <c r="J680" s="211"/>
    </row>
    <row r="681" ht="15.75" customHeight="1">
      <c r="C681" s="212"/>
      <c r="D681" s="212"/>
      <c r="E681" s="212"/>
      <c r="H681" s="211"/>
      <c r="J681" s="211"/>
    </row>
    <row r="682" ht="15.75" customHeight="1">
      <c r="C682" s="212"/>
      <c r="D682" s="212"/>
      <c r="E682" s="212"/>
      <c r="H682" s="211"/>
      <c r="J682" s="211"/>
    </row>
    <row r="683" ht="15.75" customHeight="1">
      <c r="C683" s="212"/>
      <c r="D683" s="212"/>
      <c r="E683" s="212"/>
      <c r="H683" s="211"/>
      <c r="J683" s="211"/>
    </row>
    <row r="684" ht="15.75" customHeight="1">
      <c r="C684" s="212"/>
      <c r="D684" s="212"/>
      <c r="E684" s="212"/>
      <c r="H684" s="211"/>
      <c r="J684" s="211"/>
    </row>
    <row r="685" ht="15.75" customHeight="1">
      <c r="C685" s="212"/>
      <c r="D685" s="212"/>
      <c r="E685" s="212"/>
      <c r="H685" s="211"/>
      <c r="J685" s="211"/>
    </row>
    <row r="686" ht="15.75" customHeight="1">
      <c r="C686" s="212"/>
      <c r="D686" s="212"/>
      <c r="E686" s="212"/>
      <c r="H686" s="211"/>
      <c r="J686" s="211"/>
    </row>
    <row r="687" ht="15.75" customHeight="1">
      <c r="C687" s="212"/>
      <c r="D687" s="212"/>
      <c r="E687" s="212"/>
      <c r="H687" s="211"/>
      <c r="J687" s="211"/>
    </row>
    <row r="688" ht="15.75" customHeight="1">
      <c r="C688" s="212"/>
      <c r="D688" s="212"/>
      <c r="E688" s="212"/>
      <c r="H688" s="211"/>
      <c r="J688" s="211"/>
    </row>
    <row r="689" ht="15.75" customHeight="1">
      <c r="C689" s="212"/>
      <c r="D689" s="212"/>
      <c r="E689" s="212"/>
      <c r="H689" s="211"/>
      <c r="J689" s="211"/>
    </row>
    <row r="690" ht="15.75" customHeight="1">
      <c r="C690" s="212"/>
      <c r="D690" s="212"/>
      <c r="E690" s="212"/>
      <c r="H690" s="211"/>
      <c r="J690" s="211"/>
    </row>
    <row r="691" ht="15.75" customHeight="1">
      <c r="C691" s="212"/>
      <c r="D691" s="212"/>
      <c r="E691" s="212"/>
      <c r="H691" s="211"/>
      <c r="J691" s="211"/>
    </row>
    <row r="692" ht="15.75" customHeight="1">
      <c r="C692" s="212"/>
      <c r="D692" s="212"/>
      <c r="E692" s="212"/>
      <c r="H692" s="211"/>
      <c r="J692" s="211"/>
    </row>
    <row r="693" ht="15.75" customHeight="1">
      <c r="C693" s="212"/>
      <c r="D693" s="212"/>
      <c r="E693" s="212"/>
      <c r="H693" s="211"/>
      <c r="J693" s="211"/>
    </row>
    <row r="694" ht="15.75" customHeight="1">
      <c r="C694" s="212"/>
      <c r="D694" s="212"/>
      <c r="E694" s="212"/>
      <c r="H694" s="211"/>
      <c r="J694" s="211"/>
    </row>
    <row r="695" ht="15.75" customHeight="1">
      <c r="C695" s="212"/>
      <c r="D695" s="212"/>
      <c r="E695" s="212"/>
      <c r="H695" s="211"/>
      <c r="J695" s="211"/>
    </row>
    <row r="696" ht="15.75" customHeight="1">
      <c r="C696" s="212"/>
      <c r="D696" s="212"/>
      <c r="E696" s="212"/>
      <c r="H696" s="211"/>
      <c r="J696" s="211"/>
    </row>
    <row r="697" ht="15.75" customHeight="1">
      <c r="C697" s="212"/>
      <c r="D697" s="212"/>
      <c r="E697" s="212"/>
      <c r="H697" s="211"/>
      <c r="J697" s="211"/>
    </row>
    <row r="698" ht="15.75" customHeight="1">
      <c r="C698" s="212"/>
      <c r="D698" s="212"/>
      <c r="E698" s="212"/>
      <c r="H698" s="211"/>
      <c r="J698" s="211"/>
    </row>
    <row r="699" ht="15.75" customHeight="1">
      <c r="C699" s="212"/>
      <c r="D699" s="212"/>
      <c r="E699" s="212"/>
      <c r="H699" s="211"/>
      <c r="J699" s="211"/>
    </row>
    <row r="700" ht="15.75" customHeight="1">
      <c r="C700" s="212"/>
      <c r="D700" s="212"/>
      <c r="E700" s="212"/>
      <c r="H700" s="211"/>
      <c r="J700" s="211"/>
    </row>
    <row r="701" ht="15.75" customHeight="1">
      <c r="C701" s="212"/>
      <c r="D701" s="212"/>
      <c r="E701" s="212"/>
      <c r="H701" s="211"/>
      <c r="J701" s="211"/>
    </row>
    <row r="702" ht="15.75" customHeight="1">
      <c r="C702" s="212"/>
      <c r="D702" s="212"/>
      <c r="E702" s="212"/>
      <c r="H702" s="211"/>
      <c r="J702" s="211"/>
    </row>
    <row r="703" ht="15.75" customHeight="1">
      <c r="C703" s="212"/>
      <c r="D703" s="212"/>
      <c r="E703" s="212"/>
      <c r="H703" s="211"/>
      <c r="J703" s="211"/>
    </row>
    <row r="704" ht="15.75" customHeight="1">
      <c r="C704" s="212"/>
      <c r="D704" s="212"/>
      <c r="E704" s="212"/>
      <c r="H704" s="211"/>
      <c r="J704" s="211"/>
    </row>
    <row r="705" ht="15.75" customHeight="1">
      <c r="C705" s="212"/>
      <c r="D705" s="212"/>
      <c r="E705" s="212"/>
      <c r="H705" s="211"/>
      <c r="J705" s="211"/>
    </row>
    <row r="706" ht="15.75" customHeight="1">
      <c r="C706" s="212"/>
      <c r="D706" s="212"/>
      <c r="E706" s="212"/>
      <c r="H706" s="211"/>
      <c r="J706" s="211"/>
    </row>
    <row r="707" ht="15.75" customHeight="1">
      <c r="C707" s="212"/>
      <c r="D707" s="212"/>
      <c r="E707" s="212"/>
      <c r="H707" s="211"/>
      <c r="J707" s="211"/>
    </row>
    <row r="708" ht="15.75" customHeight="1">
      <c r="C708" s="212"/>
      <c r="D708" s="212"/>
      <c r="E708" s="212"/>
      <c r="H708" s="211"/>
      <c r="J708" s="211"/>
    </row>
    <row r="709" ht="15.75" customHeight="1">
      <c r="C709" s="212"/>
      <c r="D709" s="212"/>
      <c r="E709" s="212"/>
      <c r="H709" s="211"/>
      <c r="J709" s="211"/>
    </row>
    <row r="710" ht="15.75" customHeight="1">
      <c r="C710" s="212"/>
      <c r="D710" s="212"/>
      <c r="E710" s="212"/>
      <c r="H710" s="211"/>
      <c r="J710" s="211"/>
    </row>
    <row r="711" ht="15.75" customHeight="1">
      <c r="C711" s="212"/>
      <c r="D711" s="212"/>
      <c r="E711" s="212"/>
      <c r="H711" s="211"/>
      <c r="J711" s="211"/>
    </row>
    <row r="712" ht="15.75" customHeight="1">
      <c r="C712" s="212"/>
      <c r="D712" s="212"/>
      <c r="E712" s="212"/>
      <c r="H712" s="211"/>
      <c r="J712" s="211"/>
    </row>
    <row r="713" ht="15.75" customHeight="1">
      <c r="C713" s="212"/>
      <c r="D713" s="212"/>
      <c r="E713" s="212"/>
      <c r="H713" s="211"/>
      <c r="J713" s="211"/>
    </row>
    <row r="714" ht="15.75" customHeight="1">
      <c r="C714" s="212"/>
      <c r="D714" s="212"/>
      <c r="E714" s="212"/>
      <c r="H714" s="211"/>
      <c r="J714" s="211"/>
    </row>
    <row r="715" ht="15.75" customHeight="1">
      <c r="C715" s="212"/>
      <c r="D715" s="212"/>
      <c r="E715" s="212"/>
      <c r="H715" s="211"/>
      <c r="J715" s="211"/>
    </row>
    <row r="716" ht="15.75" customHeight="1">
      <c r="C716" s="212"/>
      <c r="D716" s="212"/>
      <c r="E716" s="212"/>
      <c r="H716" s="211"/>
      <c r="J716" s="211"/>
    </row>
    <row r="717" ht="15.75" customHeight="1">
      <c r="C717" s="212"/>
      <c r="D717" s="212"/>
      <c r="E717" s="212"/>
      <c r="H717" s="211"/>
      <c r="J717" s="211"/>
    </row>
    <row r="718" ht="15.75" customHeight="1">
      <c r="C718" s="212"/>
      <c r="D718" s="212"/>
      <c r="E718" s="212"/>
      <c r="H718" s="211"/>
      <c r="J718" s="211"/>
    </row>
    <row r="719" ht="15.75" customHeight="1">
      <c r="C719" s="212"/>
      <c r="D719" s="212"/>
      <c r="E719" s="212"/>
      <c r="H719" s="211"/>
      <c r="J719" s="211"/>
    </row>
    <row r="720" ht="15.75" customHeight="1">
      <c r="C720" s="212"/>
      <c r="D720" s="212"/>
      <c r="E720" s="212"/>
      <c r="H720" s="211"/>
      <c r="J720" s="211"/>
    </row>
    <row r="721" ht="15.75" customHeight="1">
      <c r="C721" s="212"/>
      <c r="D721" s="212"/>
      <c r="E721" s="212"/>
      <c r="H721" s="211"/>
      <c r="J721" s="211"/>
    </row>
    <row r="722" ht="15.75" customHeight="1">
      <c r="C722" s="212"/>
      <c r="D722" s="212"/>
      <c r="E722" s="212"/>
      <c r="H722" s="211"/>
      <c r="J722" s="211"/>
    </row>
    <row r="723" ht="15.75" customHeight="1">
      <c r="C723" s="212"/>
      <c r="D723" s="212"/>
      <c r="E723" s="212"/>
      <c r="H723" s="211"/>
      <c r="J723" s="211"/>
    </row>
    <row r="724" ht="15.75" customHeight="1">
      <c r="C724" s="212"/>
      <c r="D724" s="212"/>
      <c r="E724" s="212"/>
      <c r="H724" s="211"/>
      <c r="J724" s="211"/>
    </row>
    <row r="725" ht="15.75" customHeight="1">
      <c r="C725" s="212"/>
      <c r="D725" s="212"/>
      <c r="E725" s="212"/>
      <c r="H725" s="211"/>
      <c r="J725" s="211"/>
    </row>
    <row r="726" ht="15.75" customHeight="1">
      <c r="C726" s="212"/>
      <c r="D726" s="212"/>
      <c r="E726" s="212"/>
      <c r="H726" s="211"/>
      <c r="J726" s="211"/>
    </row>
    <row r="727" ht="15.75" customHeight="1">
      <c r="C727" s="212"/>
      <c r="D727" s="212"/>
      <c r="E727" s="212"/>
      <c r="H727" s="211"/>
      <c r="J727" s="211"/>
    </row>
    <row r="728" ht="15.75" customHeight="1">
      <c r="C728" s="212"/>
      <c r="D728" s="212"/>
      <c r="E728" s="212"/>
      <c r="H728" s="211"/>
      <c r="J728" s="211"/>
    </row>
    <row r="729" ht="15.75" customHeight="1">
      <c r="C729" s="212"/>
      <c r="D729" s="212"/>
      <c r="E729" s="212"/>
      <c r="H729" s="211"/>
      <c r="J729" s="211"/>
    </row>
    <row r="730" ht="15.75" customHeight="1">
      <c r="C730" s="212"/>
      <c r="D730" s="212"/>
      <c r="E730" s="212"/>
      <c r="H730" s="211"/>
      <c r="J730" s="211"/>
    </row>
    <row r="731" ht="15.75" customHeight="1">
      <c r="C731" s="212"/>
      <c r="D731" s="212"/>
      <c r="E731" s="212"/>
      <c r="H731" s="211"/>
      <c r="J731" s="211"/>
    </row>
    <row r="732" ht="15.75" customHeight="1">
      <c r="C732" s="212"/>
      <c r="D732" s="212"/>
      <c r="E732" s="212"/>
      <c r="H732" s="211"/>
      <c r="J732" s="211"/>
    </row>
    <row r="733" ht="15.75" customHeight="1">
      <c r="C733" s="212"/>
      <c r="D733" s="212"/>
      <c r="E733" s="212"/>
      <c r="H733" s="211"/>
      <c r="J733" s="211"/>
    </row>
    <row r="734" ht="15.75" customHeight="1">
      <c r="C734" s="212"/>
      <c r="D734" s="212"/>
      <c r="E734" s="212"/>
      <c r="H734" s="211"/>
      <c r="J734" s="211"/>
    </row>
    <row r="735" ht="15.75" customHeight="1">
      <c r="C735" s="212"/>
      <c r="D735" s="212"/>
      <c r="E735" s="212"/>
      <c r="H735" s="211"/>
      <c r="J735" s="211"/>
    </row>
    <row r="736" ht="15.75" customHeight="1">
      <c r="C736" s="212"/>
      <c r="D736" s="212"/>
      <c r="E736" s="212"/>
      <c r="H736" s="211"/>
      <c r="J736" s="211"/>
    </row>
    <row r="737" ht="15.75" customHeight="1">
      <c r="C737" s="212"/>
      <c r="D737" s="212"/>
      <c r="E737" s="212"/>
      <c r="H737" s="211"/>
      <c r="J737" s="211"/>
    </row>
    <row r="738" ht="15.75" customHeight="1">
      <c r="C738" s="212"/>
      <c r="D738" s="212"/>
      <c r="E738" s="212"/>
      <c r="H738" s="211"/>
      <c r="J738" s="211"/>
    </row>
    <row r="739" ht="15.75" customHeight="1">
      <c r="C739" s="212"/>
      <c r="D739" s="212"/>
      <c r="E739" s="212"/>
      <c r="H739" s="211"/>
      <c r="J739" s="211"/>
    </row>
    <row r="740" ht="15.75" customHeight="1">
      <c r="C740" s="212"/>
      <c r="D740" s="212"/>
      <c r="E740" s="212"/>
      <c r="H740" s="211"/>
      <c r="J740" s="211"/>
    </row>
    <row r="741" ht="15.75" customHeight="1">
      <c r="C741" s="212"/>
      <c r="D741" s="212"/>
      <c r="E741" s="212"/>
      <c r="H741" s="211"/>
      <c r="J741" s="211"/>
    </row>
    <row r="742" ht="15.75" customHeight="1">
      <c r="C742" s="212"/>
      <c r="D742" s="212"/>
      <c r="E742" s="212"/>
      <c r="H742" s="211"/>
      <c r="J742" s="211"/>
    </row>
    <row r="743" ht="15.75" customHeight="1">
      <c r="C743" s="212"/>
      <c r="D743" s="212"/>
      <c r="E743" s="212"/>
      <c r="H743" s="211"/>
      <c r="J743" s="211"/>
    </row>
    <row r="744" ht="15.75" customHeight="1">
      <c r="C744" s="212"/>
      <c r="D744" s="212"/>
      <c r="E744" s="212"/>
      <c r="H744" s="211"/>
      <c r="J744" s="211"/>
    </row>
    <row r="745" ht="15.75" customHeight="1">
      <c r="C745" s="212"/>
      <c r="D745" s="212"/>
      <c r="E745" s="212"/>
      <c r="H745" s="211"/>
      <c r="J745" s="211"/>
    </row>
    <row r="746" ht="15.75" customHeight="1">
      <c r="C746" s="212"/>
      <c r="D746" s="212"/>
      <c r="E746" s="212"/>
      <c r="H746" s="211"/>
      <c r="J746" s="211"/>
    </row>
    <row r="747" ht="15.75" customHeight="1">
      <c r="C747" s="212"/>
      <c r="D747" s="212"/>
      <c r="E747" s="212"/>
      <c r="H747" s="211"/>
      <c r="J747" s="211"/>
    </row>
    <row r="748" ht="15.75" customHeight="1">
      <c r="C748" s="212"/>
      <c r="D748" s="212"/>
      <c r="E748" s="212"/>
      <c r="H748" s="211"/>
      <c r="J748" s="211"/>
    </row>
    <row r="749" ht="15.75" customHeight="1">
      <c r="C749" s="212"/>
      <c r="D749" s="212"/>
      <c r="E749" s="212"/>
      <c r="H749" s="211"/>
      <c r="J749" s="211"/>
    </row>
    <row r="750" ht="15.75" customHeight="1">
      <c r="C750" s="212"/>
      <c r="D750" s="212"/>
      <c r="E750" s="212"/>
      <c r="H750" s="211"/>
      <c r="J750" s="211"/>
    </row>
    <row r="751" ht="15.75" customHeight="1">
      <c r="C751" s="212"/>
      <c r="D751" s="212"/>
      <c r="E751" s="212"/>
      <c r="H751" s="211"/>
      <c r="J751" s="211"/>
    </row>
    <row r="752" ht="15.75" customHeight="1">
      <c r="C752" s="212"/>
      <c r="D752" s="212"/>
      <c r="E752" s="212"/>
      <c r="H752" s="211"/>
      <c r="J752" s="211"/>
    </row>
    <row r="753" ht="15.75" customHeight="1">
      <c r="C753" s="212"/>
      <c r="D753" s="212"/>
      <c r="E753" s="212"/>
      <c r="H753" s="211"/>
      <c r="J753" s="211"/>
    </row>
    <row r="754" ht="15.75" customHeight="1">
      <c r="C754" s="212"/>
      <c r="D754" s="212"/>
      <c r="E754" s="212"/>
      <c r="H754" s="211"/>
      <c r="J754" s="211"/>
    </row>
    <row r="755" ht="15.75" customHeight="1">
      <c r="C755" s="212"/>
      <c r="D755" s="212"/>
      <c r="E755" s="212"/>
      <c r="H755" s="211"/>
      <c r="J755" s="211"/>
    </row>
    <row r="756" ht="15.75" customHeight="1">
      <c r="C756" s="212"/>
      <c r="D756" s="212"/>
      <c r="E756" s="212"/>
      <c r="H756" s="211"/>
      <c r="J756" s="211"/>
    </row>
    <row r="757" ht="15.75" customHeight="1">
      <c r="C757" s="212"/>
      <c r="D757" s="212"/>
      <c r="E757" s="212"/>
      <c r="H757" s="211"/>
      <c r="J757" s="211"/>
    </row>
    <row r="758" ht="15.75" customHeight="1">
      <c r="C758" s="212"/>
      <c r="D758" s="212"/>
      <c r="E758" s="212"/>
      <c r="H758" s="211"/>
      <c r="J758" s="211"/>
    </row>
    <row r="759" ht="15.75" customHeight="1">
      <c r="C759" s="212"/>
      <c r="D759" s="212"/>
      <c r="E759" s="212"/>
      <c r="H759" s="211"/>
      <c r="J759" s="211"/>
    </row>
    <row r="760" ht="15.75" customHeight="1">
      <c r="C760" s="212"/>
      <c r="D760" s="212"/>
      <c r="E760" s="212"/>
      <c r="H760" s="211"/>
      <c r="J760" s="211"/>
    </row>
    <row r="761" ht="15.75" customHeight="1">
      <c r="C761" s="212"/>
      <c r="D761" s="212"/>
      <c r="E761" s="212"/>
      <c r="H761" s="211"/>
      <c r="J761" s="211"/>
    </row>
    <row r="762" ht="15.75" customHeight="1">
      <c r="C762" s="212"/>
      <c r="D762" s="212"/>
      <c r="E762" s="212"/>
      <c r="H762" s="211"/>
      <c r="J762" s="211"/>
    </row>
    <row r="763" ht="15.75" customHeight="1">
      <c r="C763" s="212"/>
      <c r="D763" s="212"/>
      <c r="E763" s="212"/>
      <c r="H763" s="211"/>
      <c r="J763" s="211"/>
    </row>
    <row r="764" ht="15.75" customHeight="1">
      <c r="C764" s="212"/>
      <c r="D764" s="212"/>
      <c r="E764" s="212"/>
      <c r="H764" s="211"/>
      <c r="J764" s="211"/>
    </row>
    <row r="765" ht="15.75" customHeight="1">
      <c r="C765" s="212"/>
      <c r="D765" s="212"/>
      <c r="E765" s="212"/>
      <c r="H765" s="211"/>
      <c r="J765" s="211"/>
    </row>
    <row r="766" ht="15.75" customHeight="1">
      <c r="C766" s="212"/>
      <c r="D766" s="212"/>
      <c r="E766" s="212"/>
      <c r="H766" s="211"/>
      <c r="J766" s="211"/>
    </row>
    <row r="767" ht="15.75" customHeight="1">
      <c r="C767" s="212"/>
      <c r="D767" s="212"/>
      <c r="E767" s="212"/>
      <c r="H767" s="211"/>
      <c r="J767" s="211"/>
    </row>
    <row r="768" ht="15.75" customHeight="1">
      <c r="C768" s="212"/>
      <c r="D768" s="212"/>
      <c r="E768" s="212"/>
      <c r="H768" s="211"/>
      <c r="J768" s="211"/>
    </row>
    <row r="769" ht="15.75" customHeight="1">
      <c r="C769" s="212"/>
      <c r="D769" s="212"/>
      <c r="E769" s="212"/>
      <c r="H769" s="211"/>
      <c r="J769" s="211"/>
    </row>
    <row r="770" ht="15.75" customHeight="1">
      <c r="C770" s="212"/>
      <c r="D770" s="212"/>
      <c r="E770" s="212"/>
      <c r="H770" s="211"/>
      <c r="J770" s="211"/>
    </row>
    <row r="771" ht="15.75" customHeight="1">
      <c r="C771" s="212"/>
      <c r="D771" s="212"/>
      <c r="E771" s="212"/>
      <c r="H771" s="211"/>
      <c r="J771" s="211"/>
    </row>
    <row r="772" ht="15.75" customHeight="1">
      <c r="C772" s="212"/>
      <c r="D772" s="212"/>
      <c r="E772" s="212"/>
      <c r="H772" s="211"/>
      <c r="J772" s="211"/>
    </row>
    <row r="773" ht="15.75" customHeight="1">
      <c r="C773" s="212"/>
      <c r="D773" s="212"/>
      <c r="E773" s="212"/>
      <c r="H773" s="211"/>
      <c r="J773" s="211"/>
    </row>
    <row r="774" ht="15.75" customHeight="1">
      <c r="C774" s="212"/>
      <c r="D774" s="212"/>
      <c r="E774" s="212"/>
      <c r="H774" s="211"/>
      <c r="J774" s="211"/>
    </row>
    <row r="775" ht="15.75" customHeight="1">
      <c r="C775" s="212"/>
      <c r="D775" s="212"/>
      <c r="E775" s="212"/>
      <c r="H775" s="211"/>
      <c r="J775" s="211"/>
    </row>
    <row r="776" ht="15.75" customHeight="1">
      <c r="C776" s="212"/>
      <c r="D776" s="212"/>
      <c r="E776" s="212"/>
      <c r="H776" s="211"/>
      <c r="J776" s="211"/>
    </row>
    <row r="777" ht="15.75" customHeight="1">
      <c r="C777" s="212"/>
      <c r="D777" s="212"/>
      <c r="E777" s="212"/>
      <c r="H777" s="211"/>
      <c r="J777" s="211"/>
    </row>
    <row r="778" ht="15.75" customHeight="1">
      <c r="C778" s="212"/>
      <c r="D778" s="212"/>
      <c r="E778" s="212"/>
      <c r="H778" s="211"/>
      <c r="J778" s="211"/>
    </row>
    <row r="779" ht="15.75" customHeight="1">
      <c r="C779" s="212"/>
      <c r="D779" s="212"/>
      <c r="E779" s="212"/>
      <c r="H779" s="211"/>
      <c r="J779" s="211"/>
    </row>
    <row r="780" ht="15.75" customHeight="1">
      <c r="C780" s="212"/>
      <c r="D780" s="212"/>
      <c r="E780" s="212"/>
      <c r="H780" s="211"/>
      <c r="J780" s="211"/>
    </row>
    <row r="781" ht="15.75" customHeight="1">
      <c r="C781" s="212"/>
      <c r="D781" s="212"/>
      <c r="E781" s="212"/>
      <c r="H781" s="211"/>
      <c r="J781" s="211"/>
    </row>
    <row r="782" ht="15.75" customHeight="1">
      <c r="C782" s="212"/>
      <c r="D782" s="212"/>
      <c r="E782" s="212"/>
      <c r="H782" s="211"/>
      <c r="J782" s="211"/>
    </row>
    <row r="783" ht="15.75" customHeight="1">
      <c r="C783" s="212"/>
      <c r="D783" s="212"/>
      <c r="E783" s="212"/>
      <c r="H783" s="211"/>
      <c r="J783" s="211"/>
    </row>
    <row r="784" ht="15.75" customHeight="1">
      <c r="C784" s="212"/>
      <c r="D784" s="212"/>
      <c r="E784" s="212"/>
      <c r="H784" s="211"/>
      <c r="J784" s="211"/>
    </row>
    <row r="785" ht="15.75" customHeight="1">
      <c r="C785" s="212"/>
      <c r="D785" s="212"/>
      <c r="E785" s="212"/>
      <c r="H785" s="211"/>
      <c r="J785" s="211"/>
    </row>
    <row r="786" ht="15.75" customHeight="1">
      <c r="C786" s="212"/>
      <c r="D786" s="212"/>
      <c r="E786" s="212"/>
      <c r="H786" s="211"/>
      <c r="J786" s="211"/>
    </row>
    <row r="787" ht="15.75" customHeight="1">
      <c r="C787" s="212"/>
      <c r="D787" s="212"/>
      <c r="E787" s="212"/>
      <c r="H787" s="211"/>
      <c r="J787" s="211"/>
    </row>
    <row r="788" ht="15.75" customHeight="1">
      <c r="C788" s="212"/>
      <c r="D788" s="212"/>
      <c r="E788" s="212"/>
      <c r="H788" s="211"/>
      <c r="J788" s="211"/>
    </row>
    <row r="789" ht="15.75" customHeight="1">
      <c r="C789" s="212"/>
      <c r="D789" s="212"/>
      <c r="E789" s="212"/>
      <c r="H789" s="211"/>
      <c r="J789" s="211"/>
    </row>
    <row r="790" ht="15.75" customHeight="1">
      <c r="C790" s="212"/>
      <c r="D790" s="212"/>
      <c r="E790" s="212"/>
      <c r="H790" s="211"/>
      <c r="J790" s="211"/>
    </row>
    <row r="791" ht="15.75" customHeight="1">
      <c r="C791" s="212"/>
      <c r="D791" s="212"/>
      <c r="E791" s="212"/>
      <c r="H791" s="211"/>
      <c r="J791" s="211"/>
    </row>
    <row r="792" ht="15.75" customHeight="1">
      <c r="C792" s="212"/>
      <c r="D792" s="212"/>
      <c r="E792" s="212"/>
      <c r="H792" s="211"/>
      <c r="J792" s="211"/>
    </row>
    <row r="793" ht="15.75" customHeight="1">
      <c r="C793" s="212"/>
      <c r="D793" s="212"/>
      <c r="E793" s="212"/>
      <c r="H793" s="211"/>
      <c r="J793" s="211"/>
    </row>
    <row r="794" ht="15.75" customHeight="1">
      <c r="C794" s="212"/>
      <c r="D794" s="212"/>
      <c r="E794" s="212"/>
      <c r="H794" s="211"/>
      <c r="J794" s="211"/>
    </row>
    <row r="795" ht="15.75" customHeight="1">
      <c r="C795" s="212"/>
      <c r="D795" s="212"/>
      <c r="E795" s="212"/>
      <c r="H795" s="211"/>
      <c r="J795" s="211"/>
    </row>
    <row r="796" ht="15.75" customHeight="1">
      <c r="C796" s="212"/>
      <c r="D796" s="212"/>
      <c r="E796" s="212"/>
      <c r="H796" s="211"/>
      <c r="J796" s="211"/>
    </row>
    <row r="797" ht="15.75" customHeight="1">
      <c r="C797" s="212"/>
      <c r="D797" s="212"/>
      <c r="E797" s="212"/>
      <c r="H797" s="211"/>
      <c r="J797" s="211"/>
    </row>
    <row r="798" ht="15.75" customHeight="1">
      <c r="C798" s="212"/>
      <c r="D798" s="212"/>
      <c r="E798" s="212"/>
      <c r="H798" s="211"/>
      <c r="J798" s="211"/>
    </row>
    <row r="799" ht="15.75" customHeight="1">
      <c r="C799" s="212"/>
      <c r="D799" s="212"/>
      <c r="E799" s="212"/>
      <c r="H799" s="211"/>
      <c r="J799" s="211"/>
    </row>
    <row r="800" ht="15.75" customHeight="1">
      <c r="C800" s="212"/>
      <c r="D800" s="212"/>
      <c r="E800" s="212"/>
      <c r="H800" s="211"/>
      <c r="J800" s="211"/>
    </row>
    <row r="801" ht="15.75" customHeight="1">
      <c r="C801" s="212"/>
      <c r="D801" s="212"/>
      <c r="E801" s="212"/>
      <c r="H801" s="211"/>
      <c r="J801" s="211"/>
    </row>
    <row r="802" ht="15.75" customHeight="1">
      <c r="C802" s="212"/>
      <c r="D802" s="212"/>
      <c r="E802" s="212"/>
      <c r="H802" s="211"/>
      <c r="J802" s="211"/>
    </row>
    <row r="803" ht="15.75" customHeight="1">
      <c r="C803" s="212"/>
      <c r="D803" s="212"/>
      <c r="E803" s="212"/>
      <c r="H803" s="211"/>
      <c r="J803" s="211"/>
    </row>
    <row r="804" ht="15.75" customHeight="1">
      <c r="C804" s="212"/>
      <c r="D804" s="212"/>
      <c r="E804" s="212"/>
      <c r="H804" s="211"/>
      <c r="J804" s="211"/>
    </row>
    <row r="805" ht="15.75" customHeight="1">
      <c r="C805" s="212"/>
      <c r="D805" s="212"/>
      <c r="E805" s="212"/>
      <c r="H805" s="211"/>
      <c r="J805" s="211"/>
    </row>
    <row r="806" ht="15.75" customHeight="1">
      <c r="C806" s="212"/>
      <c r="D806" s="212"/>
      <c r="E806" s="212"/>
      <c r="H806" s="211"/>
      <c r="J806" s="211"/>
    </row>
    <row r="807" ht="15.75" customHeight="1">
      <c r="C807" s="212"/>
      <c r="D807" s="212"/>
      <c r="E807" s="212"/>
      <c r="H807" s="211"/>
      <c r="J807" s="211"/>
    </row>
    <row r="808" ht="15.75" customHeight="1">
      <c r="C808" s="212"/>
      <c r="D808" s="212"/>
      <c r="E808" s="212"/>
      <c r="H808" s="211"/>
      <c r="J808" s="211"/>
    </row>
    <row r="809" ht="15.75" customHeight="1">
      <c r="C809" s="212"/>
      <c r="D809" s="212"/>
      <c r="E809" s="212"/>
      <c r="H809" s="211"/>
      <c r="J809" s="211"/>
    </row>
    <row r="810" ht="15.75" customHeight="1">
      <c r="C810" s="212"/>
      <c r="D810" s="212"/>
      <c r="E810" s="212"/>
      <c r="H810" s="211"/>
      <c r="J810" s="211"/>
    </row>
    <row r="811" ht="15.75" customHeight="1">
      <c r="C811" s="212"/>
      <c r="D811" s="212"/>
      <c r="E811" s="212"/>
      <c r="H811" s="211"/>
      <c r="J811" s="211"/>
    </row>
    <row r="812" ht="15.75" customHeight="1">
      <c r="C812" s="212"/>
      <c r="D812" s="212"/>
      <c r="E812" s="212"/>
      <c r="H812" s="211"/>
      <c r="J812" s="211"/>
    </row>
    <row r="813" ht="15.75" customHeight="1">
      <c r="C813" s="212"/>
      <c r="D813" s="212"/>
      <c r="E813" s="212"/>
      <c r="H813" s="211"/>
      <c r="J813" s="211"/>
    </row>
    <row r="814" ht="15.75" customHeight="1">
      <c r="C814" s="212"/>
      <c r="D814" s="212"/>
      <c r="E814" s="212"/>
      <c r="H814" s="211"/>
      <c r="J814" s="211"/>
    </row>
    <row r="815" ht="15.75" customHeight="1">
      <c r="C815" s="212"/>
      <c r="D815" s="212"/>
      <c r="E815" s="212"/>
      <c r="H815" s="211"/>
      <c r="J815" s="211"/>
    </row>
    <row r="816" ht="15.75" customHeight="1">
      <c r="C816" s="212"/>
      <c r="D816" s="212"/>
      <c r="E816" s="212"/>
      <c r="H816" s="211"/>
      <c r="J816" s="211"/>
    </row>
    <row r="817" ht="15.75" customHeight="1">
      <c r="C817" s="212"/>
      <c r="D817" s="212"/>
      <c r="E817" s="212"/>
      <c r="H817" s="211"/>
      <c r="J817" s="211"/>
    </row>
    <row r="818" ht="15.75" customHeight="1">
      <c r="C818" s="212"/>
      <c r="D818" s="212"/>
      <c r="E818" s="212"/>
      <c r="H818" s="211"/>
      <c r="J818" s="211"/>
    </row>
    <row r="819" ht="15.75" customHeight="1">
      <c r="C819" s="212"/>
      <c r="D819" s="212"/>
      <c r="E819" s="212"/>
      <c r="H819" s="211"/>
      <c r="J819" s="211"/>
    </row>
    <row r="820" ht="15.75" customHeight="1">
      <c r="C820" s="212"/>
      <c r="D820" s="212"/>
      <c r="E820" s="212"/>
      <c r="H820" s="211"/>
      <c r="J820" s="211"/>
    </row>
    <row r="821" ht="15.75" customHeight="1">
      <c r="C821" s="212"/>
      <c r="D821" s="212"/>
      <c r="E821" s="212"/>
      <c r="H821" s="211"/>
      <c r="J821" s="211"/>
    </row>
    <row r="822" ht="15.75" customHeight="1">
      <c r="C822" s="212"/>
      <c r="D822" s="212"/>
      <c r="E822" s="212"/>
      <c r="H822" s="211"/>
      <c r="J822" s="211"/>
    </row>
    <row r="823" ht="15.75" customHeight="1">
      <c r="C823" s="212"/>
      <c r="D823" s="212"/>
      <c r="E823" s="212"/>
      <c r="H823" s="211"/>
      <c r="J823" s="211"/>
    </row>
    <row r="824" ht="15.75" customHeight="1">
      <c r="C824" s="212"/>
      <c r="D824" s="212"/>
      <c r="E824" s="212"/>
      <c r="H824" s="211"/>
      <c r="J824" s="211"/>
    </row>
    <row r="825" ht="15.75" customHeight="1">
      <c r="C825" s="212"/>
      <c r="D825" s="212"/>
      <c r="E825" s="212"/>
      <c r="H825" s="211"/>
      <c r="J825" s="211"/>
    </row>
    <row r="826" ht="15.75" customHeight="1">
      <c r="C826" s="212"/>
      <c r="D826" s="212"/>
      <c r="E826" s="212"/>
      <c r="H826" s="211"/>
      <c r="J826" s="211"/>
    </row>
    <row r="827" ht="15.75" customHeight="1">
      <c r="C827" s="212"/>
      <c r="D827" s="212"/>
      <c r="E827" s="212"/>
      <c r="H827" s="211"/>
      <c r="J827" s="211"/>
    </row>
    <row r="828" ht="15.75" customHeight="1">
      <c r="C828" s="212"/>
      <c r="D828" s="212"/>
      <c r="E828" s="212"/>
      <c r="H828" s="211"/>
      <c r="J828" s="211"/>
    </row>
    <row r="829" ht="15.75" customHeight="1">
      <c r="C829" s="212"/>
      <c r="D829" s="212"/>
      <c r="E829" s="212"/>
      <c r="H829" s="211"/>
      <c r="J829" s="211"/>
    </row>
    <row r="830" ht="15.75" customHeight="1">
      <c r="C830" s="212"/>
      <c r="D830" s="212"/>
      <c r="E830" s="212"/>
      <c r="H830" s="211"/>
      <c r="J830" s="211"/>
    </row>
    <row r="831" ht="15.75" customHeight="1">
      <c r="C831" s="212"/>
      <c r="D831" s="212"/>
      <c r="E831" s="212"/>
      <c r="H831" s="211"/>
      <c r="J831" s="211"/>
    </row>
    <row r="832" ht="15.75" customHeight="1">
      <c r="C832" s="212"/>
      <c r="D832" s="212"/>
      <c r="E832" s="212"/>
      <c r="H832" s="211"/>
      <c r="J832" s="211"/>
    </row>
    <row r="833" ht="15.75" customHeight="1">
      <c r="C833" s="212"/>
      <c r="D833" s="212"/>
      <c r="E833" s="212"/>
      <c r="H833" s="211"/>
      <c r="J833" s="211"/>
    </row>
    <row r="834" ht="15.75" customHeight="1">
      <c r="C834" s="212"/>
      <c r="D834" s="212"/>
      <c r="E834" s="212"/>
      <c r="H834" s="211"/>
      <c r="J834" s="211"/>
    </row>
    <row r="835" ht="15.75" customHeight="1">
      <c r="C835" s="212"/>
      <c r="D835" s="212"/>
      <c r="E835" s="212"/>
      <c r="H835" s="211"/>
      <c r="J835" s="211"/>
    </row>
    <row r="836" ht="15.75" customHeight="1">
      <c r="C836" s="212"/>
      <c r="D836" s="212"/>
      <c r="E836" s="212"/>
      <c r="H836" s="211"/>
      <c r="J836" s="211"/>
    </row>
    <row r="837" ht="15.75" customHeight="1">
      <c r="C837" s="212"/>
      <c r="D837" s="212"/>
      <c r="E837" s="212"/>
      <c r="H837" s="211"/>
      <c r="J837" s="211"/>
    </row>
    <row r="838" ht="15.75" customHeight="1">
      <c r="C838" s="212"/>
      <c r="D838" s="212"/>
      <c r="E838" s="212"/>
      <c r="H838" s="211"/>
      <c r="J838" s="211"/>
    </row>
    <row r="839" ht="15.75" customHeight="1">
      <c r="C839" s="212"/>
      <c r="D839" s="212"/>
      <c r="E839" s="212"/>
      <c r="H839" s="211"/>
      <c r="J839" s="211"/>
    </row>
    <row r="840" ht="15.75" customHeight="1">
      <c r="C840" s="212"/>
      <c r="D840" s="212"/>
      <c r="E840" s="212"/>
      <c r="H840" s="211"/>
      <c r="J840" s="211"/>
    </row>
    <row r="841" ht="15.75" customHeight="1">
      <c r="C841" s="212"/>
      <c r="D841" s="212"/>
      <c r="E841" s="212"/>
      <c r="H841" s="211"/>
      <c r="J841" s="211"/>
    </row>
    <row r="842" ht="15.75" customHeight="1">
      <c r="C842" s="212"/>
      <c r="D842" s="212"/>
      <c r="E842" s="212"/>
      <c r="H842" s="211"/>
      <c r="J842" s="211"/>
    </row>
    <row r="843" ht="15.75" customHeight="1">
      <c r="C843" s="212"/>
      <c r="D843" s="212"/>
      <c r="E843" s="212"/>
      <c r="H843" s="211"/>
      <c r="J843" s="211"/>
    </row>
    <row r="844" ht="15.75" customHeight="1">
      <c r="C844" s="212"/>
      <c r="D844" s="212"/>
      <c r="E844" s="212"/>
      <c r="H844" s="211"/>
      <c r="J844" s="211"/>
    </row>
    <row r="845" ht="15.75" customHeight="1">
      <c r="C845" s="212"/>
      <c r="D845" s="212"/>
      <c r="E845" s="212"/>
      <c r="H845" s="211"/>
      <c r="J845" s="211"/>
    </row>
    <row r="846" ht="15.75" customHeight="1">
      <c r="C846" s="212"/>
      <c r="D846" s="212"/>
      <c r="E846" s="212"/>
      <c r="H846" s="211"/>
      <c r="J846" s="211"/>
    </row>
    <row r="847" ht="15.75" customHeight="1">
      <c r="C847" s="212"/>
      <c r="D847" s="212"/>
      <c r="E847" s="212"/>
      <c r="H847" s="211"/>
      <c r="J847" s="211"/>
    </row>
    <row r="848" ht="15.75" customHeight="1">
      <c r="C848" s="212"/>
      <c r="D848" s="212"/>
      <c r="E848" s="212"/>
      <c r="H848" s="211"/>
      <c r="J848" s="211"/>
    </row>
    <row r="849" ht="15.75" customHeight="1">
      <c r="C849" s="212"/>
      <c r="D849" s="212"/>
      <c r="E849" s="212"/>
      <c r="H849" s="211"/>
      <c r="J849" s="211"/>
    </row>
    <row r="850" ht="15.75" customHeight="1">
      <c r="C850" s="212"/>
      <c r="D850" s="212"/>
      <c r="E850" s="212"/>
      <c r="H850" s="211"/>
      <c r="J850" s="211"/>
    </row>
    <row r="851" ht="15.75" customHeight="1">
      <c r="C851" s="212"/>
      <c r="D851" s="212"/>
      <c r="E851" s="212"/>
      <c r="H851" s="211"/>
      <c r="J851" s="211"/>
    </row>
    <row r="852" ht="15.75" customHeight="1">
      <c r="C852" s="212"/>
      <c r="D852" s="212"/>
      <c r="E852" s="212"/>
      <c r="H852" s="211"/>
      <c r="J852" s="211"/>
    </row>
    <row r="853" ht="15.75" customHeight="1">
      <c r="C853" s="212"/>
      <c r="D853" s="212"/>
      <c r="E853" s="212"/>
      <c r="H853" s="211"/>
      <c r="J853" s="211"/>
    </row>
    <row r="854" ht="15.75" customHeight="1">
      <c r="C854" s="212"/>
      <c r="D854" s="212"/>
      <c r="E854" s="212"/>
      <c r="H854" s="211"/>
      <c r="J854" s="211"/>
    </row>
    <row r="855" ht="15.75" customHeight="1">
      <c r="C855" s="212"/>
      <c r="D855" s="212"/>
      <c r="E855" s="212"/>
      <c r="H855" s="211"/>
      <c r="J855" s="211"/>
    </row>
    <row r="856" ht="15.75" customHeight="1">
      <c r="C856" s="212"/>
      <c r="D856" s="212"/>
      <c r="E856" s="212"/>
      <c r="H856" s="211"/>
      <c r="J856" s="211"/>
    </row>
    <row r="857" ht="15.75" customHeight="1">
      <c r="C857" s="212"/>
      <c r="D857" s="212"/>
      <c r="E857" s="212"/>
      <c r="H857" s="211"/>
      <c r="J857" s="211"/>
    </row>
    <row r="858" ht="15.75" customHeight="1">
      <c r="C858" s="212"/>
      <c r="D858" s="212"/>
      <c r="E858" s="212"/>
      <c r="H858" s="211"/>
      <c r="J858" s="211"/>
    </row>
    <row r="859" ht="15.75" customHeight="1">
      <c r="C859" s="212"/>
      <c r="D859" s="212"/>
      <c r="E859" s="212"/>
      <c r="H859" s="211"/>
      <c r="J859" s="211"/>
    </row>
    <row r="860" ht="15.75" customHeight="1">
      <c r="C860" s="212"/>
      <c r="D860" s="212"/>
      <c r="E860" s="212"/>
      <c r="H860" s="211"/>
      <c r="J860" s="211"/>
    </row>
    <row r="861" ht="15.75" customHeight="1">
      <c r="C861" s="212"/>
      <c r="D861" s="212"/>
      <c r="E861" s="212"/>
      <c r="H861" s="211"/>
      <c r="J861" s="211"/>
    </row>
    <row r="862" ht="15.75" customHeight="1">
      <c r="C862" s="212"/>
      <c r="D862" s="212"/>
      <c r="E862" s="212"/>
      <c r="H862" s="211"/>
      <c r="J862" s="211"/>
    </row>
    <row r="863" ht="15.75" customHeight="1">
      <c r="C863" s="212"/>
      <c r="D863" s="212"/>
      <c r="E863" s="212"/>
      <c r="H863" s="211"/>
      <c r="J863" s="211"/>
    </row>
    <row r="864" ht="15.75" customHeight="1">
      <c r="C864" s="212"/>
      <c r="D864" s="212"/>
      <c r="E864" s="212"/>
      <c r="H864" s="211"/>
      <c r="J864" s="211"/>
    </row>
    <row r="865" ht="15.75" customHeight="1">
      <c r="C865" s="212"/>
      <c r="D865" s="212"/>
      <c r="E865" s="212"/>
      <c r="H865" s="211"/>
      <c r="J865" s="211"/>
    </row>
    <row r="866" ht="15.75" customHeight="1">
      <c r="C866" s="212"/>
      <c r="D866" s="212"/>
      <c r="E866" s="212"/>
      <c r="H866" s="211"/>
      <c r="J866" s="211"/>
    </row>
    <row r="867" ht="15.75" customHeight="1">
      <c r="C867" s="212"/>
      <c r="D867" s="212"/>
      <c r="E867" s="212"/>
      <c r="H867" s="211"/>
      <c r="J867" s="211"/>
    </row>
    <row r="868" ht="15.75" customHeight="1">
      <c r="C868" s="212"/>
      <c r="D868" s="212"/>
      <c r="E868" s="212"/>
      <c r="H868" s="211"/>
      <c r="J868" s="211"/>
    </row>
    <row r="869" ht="15.75" customHeight="1">
      <c r="C869" s="212"/>
      <c r="D869" s="212"/>
      <c r="E869" s="212"/>
      <c r="H869" s="211"/>
      <c r="J869" s="211"/>
    </row>
    <row r="870" ht="15.75" customHeight="1">
      <c r="C870" s="212"/>
      <c r="D870" s="212"/>
      <c r="E870" s="212"/>
      <c r="H870" s="211"/>
      <c r="J870" s="211"/>
    </row>
    <row r="871" ht="15.75" customHeight="1">
      <c r="C871" s="212"/>
      <c r="D871" s="212"/>
      <c r="E871" s="212"/>
      <c r="H871" s="211"/>
      <c r="J871" s="211"/>
    </row>
    <row r="872" ht="15.75" customHeight="1">
      <c r="C872" s="212"/>
      <c r="D872" s="212"/>
      <c r="E872" s="212"/>
      <c r="H872" s="211"/>
      <c r="J872" s="211"/>
    </row>
    <row r="873" ht="15.75" customHeight="1">
      <c r="C873" s="212"/>
      <c r="D873" s="212"/>
      <c r="E873" s="212"/>
      <c r="H873" s="211"/>
      <c r="J873" s="211"/>
    </row>
    <row r="874" ht="15.75" customHeight="1">
      <c r="C874" s="212"/>
      <c r="D874" s="212"/>
      <c r="E874" s="212"/>
      <c r="H874" s="211"/>
      <c r="J874" s="211"/>
    </row>
    <row r="875" ht="15.75" customHeight="1">
      <c r="C875" s="212"/>
      <c r="D875" s="212"/>
      <c r="E875" s="212"/>
      <c r="H875" s="211"/>
      <c r="J875" s="211"/>
    </row>
    <row r="876" ht="15.75" customHeight="1">
      <c r="C876" s="212"/>
      <c r="D876" s="212"/>
      <c r="E876" s="212"/>
      <c r="H876" s="211"/>
      <c r="J876" s="211"/>
    </row>
    <row r="877" ht="15.75" customHeight="1">
      <c r="C877" s="212"/>
      <c r="D877" s="212"/>
      <c r="E877" s="212"/>
      <c r="H877" s="211"/>
      <c r="J877" s="211"/>
    </row>
    <row r="878" ht="15.75" customHeight="1">
      <c r="C878" s="212"/>
      <c r="D878" s="212"/>
      <c r="E878" s="212"/>
      <c r="H878" s="211"/>
      <c r="J878" s="211"/>
    </row>
    <row r="879" ht="15.75" customHeight="1">
      <c r="C879" s="212"/>
      <c r="D879" s="212"/>
      <c r="E879" s="212"/>
      <c r="H879" s="211"/>
      <c r="J879" s="211"/>
    </row>
    <row r="880" ht="15.75" customHeight="1">
      <c r="C880" s="212"/>
      <c r="D880" s="212"/>
      <c r="E880" s="212"/>
      <c r="H880" s="211"/>
      <c r="J880" s="211"/>
    </row>
    <row r="881" ht="15.75" customHeight="1">
      <c r="C881" s="212"/>
      <c r="D881" s="212"/>
      <c r="E881" s="212"/>
      <c r="H881" s="211"/>
      <c r="J881" s="211"/>
    </row>
    <row r="882" ht="15.75" customHeight="1">
      <c r="C882" s="212"/>
      <c r="D882" s="212"/>
      <c r="E882" s="212"/>
      <c r="H882" s="211"/>
      <c r="J882" s="211"/>
    </row>
    <row r="883" ht="15.75" customHeight="1">
      <c r="C883" s="212"/>
      <c r="D883" s="212"/>
      <c r="E883" s="212"/>
      <c r="H883" s="211"/>
      <c r="J883" s="211"/>
    </row>
    <row r="884" ht="15.75" customHeight="1">
      <c r="C884" s="212"/>
      <c r="D884" s="212"/>
      <c r="E884" s="212"/>
      <c r="H884" s="211"/>
      <c r="J884" s="211"/>
    </row>
    <row r="885" ht="15.75" customHeight="1">
      <c r="C885" s="212"/>
      <c r="D885" s="212"/>
      <c r="E885" s="212"/>
      <c r="H885" s="211"/>
      <c r="J885" s="211"/>
    </row>
    <row r="886" ht="15.75" customHeight="1">
      <c r="C886" s="212"/>
      <c r="D886" s="212"/>
      <c r="E886" s="212"/>
      <c r="H886" s="211"/>
      <c r="J886" s="211"/>
    </row>
    <row r="887" ht="15.75" customHeight="1">
      <c r="C887" s="212"/>
      <c r="D887" s="212"/>
      <c r="E887" s="212"/>
      <c r="H887" s="211"/>
      <c r="J887" s="211"/>
    </row>
    <row r="888" ht="15.75" customHeight="1">
      <c r="C888" s="212"/>
      <c r="D888" s="212"/>
      <c r="E888" s="212"/>
      <c r="H888" s="211"/>
      <c r="J888" s="211"/>
    </row>
    <row r="889" ht="15.75" customHeight="1">
      <c r="C889" s="212"/>
      <c r="D889" s="212"/>
      <c r="E889" s="212"/>
      <c r="H889" s="211"/>
      <c r="J889" s="211"/>
    </row>
    <row r="890" ht="15.75" customHeight="1">
      <c r="C890" s="212"/>
      <c r="D890" s="212"/>
      <c r="E890" s="212"/>
      <c r="H890" s="211"/>
      <c r="J890" s="211"/>
    </row>
    <row r="891" ht="15.75" customHeight="1">
      <c r="C891" s="212"/>
      <c r="D891" s="212"/>
      <c r="E891" s="212"/>
      <c r="H891" s="211"/>
      <c r="J891" s="211"/>
    </row>
    <row r="892" ht="15.75" customHeight="1">
      <c r="C892" s="212"/>
      <c r="D892" s="212"/>
      <c r="E892" s="212"/>
      <c r="H892" s="211"/>
      <c r="J892" s="211"/>
    </row>
    <row r="893" ht="15.75" customHeight="1">
      <c r="C893" s="212"/>
      <c r="D893" s="212"/>
      <c r="E893" s="212"/>
      <c r="H893" s="211"/>
      <c r="J893" s="211"/>
    </row>
    <row r="894" ht="15.75" customHeight="1">
      <c r="C894" s="212"/>
      <c r="D894" s="212"/>
      <c r="E894" s="212"/>
      <c r="H894" s="211"/>
      <c r="J894" s="211"/>
    </row>
    <row r="895" ht="15.75" customHeight="1">
      <c r="C895" s="212"/>
      <c r="D895" s="212"/>
      <c r="E895" s="212"/>
      <c r="H895" s="211"/>
      <c r="J895" s="211"/>
    </row>
    <row r="896" ht="15.75" customHeight="1">
      <c r="C896" s="212"/>
      <c r="D896" s="212"/>
      <c r="E896" s="212"/>
      <c r="H896" s="211"/>
      <c r="J896" s="211"/>
    </row>
    <row r="897" ht="15.75" customHeight="1">
      <c r="C897" s="212"/>
      <c r="D897" s="212"/>
      <c r="E897" s="212"/>
      <c r="H897" s="211"/>
      <c r="J897" s="211"/>
    </row>
    <row r="898" ht="15.75" customHeight="1">
      <c r="C898" s="212"/>
      <c r="D898" s="212"/>
      <c r="E898" s="212"/>
      <c r="H898" s="211"/>
      <c r="J898" s="211"/>
    </row>
    <row r="899" ht="15.75" customHeight="1">
      <c r="C899" s="212"/>
      <c r="D899" s="212"/>
      <c r="E899" s="212"/>
      <c r="H899" s="211"/>
      <c r="J899" s="211"/>
    </row>
    <row r="900" ht="15.75" customHeight="1">
      <c r="C900" s="212"/>
      <c r="D900" s="212"/>
      <c r="E900" s="212"/>
      <c r="H900" s="211"/>
      <c r="J900" s="211"/>
    </row>
    <row r="901" ht="15.75" customHeight="1">
      <c r="C901" s="212"/>
      <c r="D901" s="212"/>
      <c r="E901" s="212"/>
      <c r="H901" s="211"/>
      <c r="J901" s="211"/>
    </row>
    <row r="902" ht="15.75" customHeight="1">
      <c r="C902" s="212"/>
      <c r="D902" s="212"/>
      <c r="E902" s="212"/>
      <c r="H902" s="211"/>
      <c r="J902" s="211"/>
    </row>
    <row r="903" ht="15.75" customHeight="1">
      <c r="C903" s="212"/>
      <c r="D903" s="212"/>
      <c r="E903" s="212"/>
      <c r="H903" s="211"/>
      <c r="J903" s="211"/>
    </row>
    <row r="904" ht="15.75" customHeight="1">
      <c r="C904" s="212"/>
      <c r="D904" s="212"/>
      <c r="E904" s="212"/>
      <c r="H904" s="211"/>
      <c r="J904" s="211"/>
    </row>
    <row r="905" ht="15.75" customHeight="1">
      <c r="C905" s="212"/>
      <c r="D905" s="212"/>
      <c r="E905" s="212"/>
      <c r="H905" s="211"/>
      <c r="J905" s="211"/>
    </row>
    <row r="906" ht="15.75" customHeight="1">
      <c r="C906" s="212"/>
      <c r="D906" s="212"/>
      <c r="E906" s="212"/>
      <c r="H906" s="211"/>
      <c r="J906" s="211"/>
    </row>
    <row r="907" ht="15.75" customHeight="1">
      <c r="C907" s="212"/>
      <c r="D907" s="212"/>
      <c r="E907" s="212"/>
      <c r="H907" s="211"/>
      <c r="J907" s="211"/>
    </row>
    <row r="908" ht="15.75" customHeight="1">
      <c r="C908" s="212"/>
      <c r="D908" s="212"/>
      <c r="E908" s="212"/>
      <c r="H908" s="211"/>
      <c r="J908" s="211"/>
    </row>
    <row r="909" ht="15.75" customHeight="1">
      <c r="C909" s="212"/>
      <c r="D909" s="212"/>
      <c r="E909" s="212"/>
      <c r="H909" s="211"/>
      <c r="J909" s="211"/>
    </row>
    <row r="910" ht="15.75" customHeight="1">
      <c r="C910" s="212"/>
      <c r="D910" s="212"/>
      <c r="E910" s="212"/>
      <c r="H910" s="211"/>
      <c r="J910" s="211"/>
    </row>
    <row r="911" ht="15.75" customHeight="1">
      <c r="C911" s="212"/>
      <c r="D911" s="212"/>
      <c r="E911" s="212"/>
      <c r="H911" s="211"/>
      <c r="J911" s="211"/>
    </row>
    <row r="912" ht="15.75" customHeight="1">
      <c r="C912" s="212"/>
      <c r="D912" s="212"/>
      <c r="E912" s="212"/>
      <c r="H912" s="211"/>
      <c r="J912" s="211"/>
    </row>
    <row r="913" ht="15.75" customHeight="1">
      <c r="C913" s="212"/>
      <c r="D913" s="212"/>
      <c r="E913" s="212"/>
      <c r="H913" s="211"/>
      <c r="J913" s="211"/>
    </row>
    <row r="914" ht="15.75" customHeight="1">
      <c r="C914" s="212"/>
      <c r="D914" s="212"/>
      <c r="E914" s="212"/>
      <c r="H914" s="211"/>
      <c r="J914" s="211"/>
    </row>
    <row r="915" ht="15.75" customHeight="1">
      <c r="C915" s="212"/>
      <c r="D915" s="212"/>
      <c r="E915" s="212"/>
      <c r="H915" s="211"/>
      <c r="J915" s="211"/>
    </row>
    <row r="916" ht="15.75" customHeight="1">
      <c r="C916" s="212"/>
      <c r="D916" s="212"/>
      <c r="E916" s="212"/>
      <c r="H916" s="211"/>
      <c r="J916" s="211"/>
    </row>
    <row r="917" ht="15.75" customHeight="1">
      <c r="C917" s="212"/>
      <c r="D917" s="212"/>
      <c r="E917" s="212"/>
      <c r="H917" s="211"/>
      <c r="J917" s="211"/>
    </row>
    <row r="918" ht="15.75" customHeight="1">
      <c r="C918" s="212"/>
      <c r="D918" s="212"/>
      <c r="E918" s="212"/>
      <c r="H918" s="211"/>
      <c r="J918" s="211"/>
    </row>
    <row r="919" ht="15.75" customHeight="1">
      <c r="C919" s="212"/>
      <c r="D919" s="212"/>
      <c r="E919" s="212"/>
      <c r="H919" s="211"/>
      <c r="J919" s="211"/>
    </row>
    <row r="920" ht="15.75" customHeight="1">
      <c r="C920" s="212"/>
      <c r="D920" s="212"/>
      <c r="E920" s="212"/>
      <c r="H920" s="211"/>
      <c r="J920" s="211"/>
    </row>
    <row r="921" ht="15.75" customHeight="1">
      <c r="C921" s="212"/>
      <c r="D921" s="212"/>
      <c r="E921" s="212"/>
      <c r="H921" s="211"/>
      <c r="J921" s="211"/>
    </row>
    <row r="922" ht="15.75" customHeight="1">
      <c r="C922" s="212"/>
      <c r="D922" s="212"/>
      <c r="E922" s="212"/>
      <c r="H922" s="211"/>
      <c r="J922" s="211"/>
    </row>
    <row r="923" ht="15.75" customHeight="1">
      <c r="C923" s="212"/>
      <c r="D923" s="212"/>
      <c r="E923" s="212"/>
      <c r="H923" s="211"/>
      <c r="J923" s="211"/>
    </row>
    <row r="924" ht="15.75" customHeight="1">
      <c r="C924" s="212"/>
      <c r="D924" s="212"/>
      <c r="E924" s="212"/>
      <c r="H924" s="211"/>
      <c r="J924" s="211"/>
    </row>
    <row r="925" ht="15.75" customHeight="1">
      <c r="C925" s="212"/>
      <c r="D925" s="212"/>
      <c r="E925" s="212"/>
      <c r="H925" s="211"/>
      <c r="J925" s="211"/>
    </row>
    <row r="926" ht="15.75" customHeight="1">
      <c r="C926" s="212"/>
      <c r="D926" s="212"/>
      <c r="E926" s="212"/>
      <c r="H926" s="211"/>
      <c r="J926" s="211"/>
    </row>
    <row r="927" ht="15.75" customHeight="1">
      <c r="C927" s="212"/>
      <c r="D927" s="212"/>
      <c r="E927" s="212"/>
      <c r="H927" s="211"/>
      <c r="J927" s="211"/>
    </row>
    <row r="928" ht="15.75" customHeight="1">
      <c r="C928" s="212"/>
      <c r="D928" s="212"/>
      <c r="E928" s="212"/>
      <c r="H928" s="211"/>
      <c r="J928" s="211"/>
    </row>
    <row r="929" ht="15.75" customHeight="1">
      <c r="C929" s="212"/>
      <c r="D929" s="212"/>
      <c r="E929" s="212"/>
      <c r="H929" s="211"/>
      <c r="J929" s="211"/>
    </row>
    <row r="930" ht="15.75" customHeight="1">
      <c r="C930" s="212"/>
      <c r="D930" s="212"/>
      <c r="E930" s="212"/>
      <c r="H930" s="211"/>
      <c r="J930" s="211"/>
    </row>
    <row r="931" ht="15.75" customHeight="1">
      <c r="C931" s="212"/>
      <c r="D931" s="212"/>
      <c r="E931" s="212"/>
      <c r="H931" s="211"/>
      <c r="J931" s="211"/>
    </row>
    <row r="932" ht="15.75" customHeight="1">
      <c r="C932" s="212"/>
      <c r="D932" s="212"/>
      <c r="E932" s="212"/>
      <c r="H932" s="211"/>
      <c r="J932" s="211"/>
    </row>
    <row r="933" ht="15.75" customHeight="1">
      <c r="C933" s="212"/>
      <c r="D933" s="212"/>
      <c r="E933" s="212"/>
      <c r="H933" s="211"/>
      <c r="J933" s="211"/>
    </row>
    <row r="934" ht="15.75" customHeight="1">
      <c r="C934" s="212"/>
      <c r="D934" s="212"/>
      <c r="E934" s="212"/>
      <c r="H934" s="211"/>
      <c r="J934" s="211"/>
    </row>
    <row r="935" ht="15.75" customHeight="1">
      <c r="C935" s="212"/>
      <c r="D935" s="212"/>
      <c r="E935" s="212"/>
      <c r="H935" s="211"/>
      <c r="J935" s="211"/>
    </row>
    <row r="936" ht="15.75" customHeight="1">
      <c r="C936" s="212"/>
      <c r="D936" s="212"/>
      <c r="E936" s="212"/>
      <c r="H936" s="211"/>
      <c r="J936" s="211"/>
    </row>
    <row r="937" ht="15.75" customHeight="1">
      <c r="C937" s="212"/>
      <c r="D937" s="212"/>
      <c r="E937" s="212"/>
      <c r="H937" s="211"/>
      <c r="J937" s="211"/>
    </row>
    <row r="938" ht="15.75" customHeight="1">
      <c r="C938" s="212"/>
      <c r="D938" s="212"/>
      <c r="E938" s="212"/>
      <c r="H938" s="211"/>
      <c r="J938" s="211"/>
    </row>
    <row r="939" ht="15.75" customHeight="1">
      <c r="C939" s="212"/>
      <c r="D939" s="212"/>
      <c r="E939" s="212"/>
      <c r="H939" s="211"/>
      <c r="J939" s="211"/>
    </row>
    <row r="940" ht="15.75" customHeight="1">
      <c r="C940" s="212"/>
      <c r="D940" s="212"/>
      <c r="E940" s="212"/>
      <c r="H940" s="211"/>
      <c r="J940" s="211"/>
    </row>
    <row r="941" ht="15.75" customHeight="1">
      <c r="C941" s="212"/>
      <c r="D941" s="212"/>
      <c r="E941" s="212"/>
      <c r="H941" s="211"/>
      <c r="J941" s="211"/>
    </row>
    <row r="942" ht="15.75" customHeight="1">
      <c r="C942" s="212"/>
      <c r="D942" s="212"/>
      <c r="E942" s="212"/>
      <c r="H942" s="211"/>
      <c r="J942" s="211"/>
    </row>
    <row r="943" ht="15.75" customHeight="1">
      <c r="C943" s="212"/>
      <c r="D943" s="212"/>
      <c r="E943" s="212"/>
      <c r="H943" s="211"/>
      <c r="J943" s="211"/>
    </row>
    <row r="944" ht="15.75" customHeight="1">
      <c r="C944" s="212"/>
      <c r="D944" s="212"/>
      <c r="E944" s="212"/>
      <c r="H944" s="211"/>
      <c r="J944" s="211"/>
    </row>
    <row r="945" ht="15.75" customHeight="1">
      <c r="C945" s="212"/>
      <c r="D945" s="212"/>
      <c r="E945" s="212"/>
      <c r="H945" s="211"/>
      <c r="J945" s="211"/>
    </row>
    <row r="946" ht="15.75" customHeight="1">
      <c r="C946" s="212"/>
      <c r="D946" s="212"/>
      <c r="E946" s="212"/>
      <c r="H946" s="211"/>
      <c r="J946" s="211"/>
    </row>
    <row r="947" ht="15.75" customHeight="1">
      <c r="C947" s="212"/>
      <c r="D947" s="212"/>
      <c r="E947" s="212"/>
      <c r="H947" s="211"/>
      <c r="J947" s="211"/>
    </row>
    <row r="948" ht="15.75" customHeight="1">
      <c r="C948" s="212"/>
      <c r="D948" s="212"/>
      <c r="E948" s="212"/>
      <c r="H948" s="211"/>
      <c r="J948" s="211"/>
    </row>
    <row r="949" ht="15.75" customHeight="1">
      <c r="C949" s="212"/>
      <c r="D949" s="212"/>
      <c r="E949" s="212"/>
      <c r="H949" s="211"/>
      <c r="J949" s="211"/>
    </row>
    <row r="950" ht="15.75" customHeight="1">
      <c r="C950" s="212"/>
      <c r="D950" s="212"/>
      <c r="E950" s="212"/>
      <c r="H950" s="211"/>
      <c r="J950" s="211"/>
    </row>
    <row r="951" ht="15.75" customHeight="1">
      <c r="C951" s="212"/>
      <c r="D951" s="212"/>
      <c r="E951" s="212"/>
      <c r="H951" s="211"/>
      <c r="J951" s="211"/>
    </row>
    <row r="952" ht="15.75" customHeight="1">
      <c r="C952" s="212"/>
      <c r="D952" s="212"/>
      <c r="E952" s="212"/>
      <c r="H952" s="211"/>
      <c r="J952" s="211"/>
    </row>
    <row r="953" ht="15.75" customHeight="1">
      <c r="C953" s="212"/>
      <c r="D953" s="212"/>
      <c r="E953" s="212"/>
      <c r="H953" s="211"/>
      <c r="J953" s="211"/>
    </row>
    <row r="954" ht="15.75" customHeight="1">
      <c r="C954" s="212"/>
      <c r="D954" s="212"/>
      <c r="E954" s="212"/>
      <c r="H954" s="211"/>
      <c r="J954" s="211"/>
    </row>
    <row r="955" ht="15.75" customHeight="1">
      <c r="C955" s="212"/>
      <c r="D955" s="212"/>
      <c r="E955" s="212"/>
      <c r="H955" s="211"/>
      <c r="J955" s="211"/>
    </row>
    <row r="956" ht="15.75" customHeight="1">
      <c r="C956" s="212"/>
      <c r="D956" s="212"/>
      <c r="E956" s="212"/>
      <c r="H956" s="211"/>
      <c r="J956" s="211"/>
    </row>
    <row r="957" ht="15.75" customHeight="1">
      <c r="C957" s="212"/>
      <c r="D957" s="212"/>
      <c r="E957" s="212"/>
      <c r="H957" s="211"/>
      <c r="J957" s="211"/>
    </row>
    <row r="958" ht="15.75" customHeight="1">
      <c r="C958" s="212"/>
      <c r="D958" s="212"/>
      <c r="E958" s="212"/>
      <c r="H958" s="211"/>
      <c r="J958" s="211"/>
    </row>
    <row r="959" ht="15.75" customHeight="1">
      <c r="C959" s="212"/>
      <c r="D959" s="212"/>
      <c r="E959" s="212"/>
      <c r="H959" s="211"/>
      <c r="J959" s="211"/>
    </row>
    <row r="960" ht="15.75" customHeight="1">
      <c r="C960" s="212"/>
      <c r="D960" s="212"/>
      <c r="E960" s="212"/>
      <c r="H960" s="211"/>
      <c r="J960" s="211"/>
    </row>
    <row r="961" ht="15.75" customHeight="1">
      <c r="C961" s="212"/>
      <c r="D961" s="212"/>
      <c r="E961" s="212"/>
      <c r="H961" s="211"/>
      <c r="J961" s="211"/>
    </row>
    <row r="962" ht="15.75" customHeight="1">
      <c r="C962" s="212"/>
      <c r="D962" s="212"/>
      <c r="E962" s="212"/>
      <c r="H962" s="211"/>
      <c r="J962" s="211"/>
    </row>
    <row r="963" ht="15.75" customHeight="1">
      <c r="C963" s="212"/>
      <c r="D963" s="212"/>
      <c r="E963" s="212"/>
      <c r="H963" s="211"/>
      <c r="J963" s="211"/>
    </row>
    <row r="964" ht="15.75" customHeight="1">
      <c r="C964" s="212"/>
      <c r="D964" s="212"/>
      <c r="E964" s="212"/>
      <c r="H964" s="211"/>
      <c r="J964" s="211"/>
    </row>
    <row r="965" ht="15.75" customHeight="1">
      <c r="C965" s="212"/>
      <c r="D965" s="212"/>
      <c r="E965" s="212"/>
      <c r="H965" s="211"/>
      <c r="J965" s="211"/>
    </row>
    <row r="966" ht="15.75" customHeight="1">
      <c r="C966" s="212"/>
      <c r="D966" s="212"/>
      <c r="E966" s="212"/>
      <c r="H966" s="211"/>
      <c r="J966" s="211"/>
    </row>
    <row r="967" ht="15.75" customHeight="1">
      <c r="C967" s="212"/>
      <c r="D967" s="212"/>
      <c r="E967" s="212"/>
      <c r="H967" s="211"/>
      <c r="J967" s="211"/>
    </row>
    <row r="968" ht="15.75" customHeight="1">
      <c r="C968" s="212"/>
      <c r="D968" s="212"/>
      <c r="E968" s="212"/>
      <c r="H968" s="211"/>
      <c r="J968" s="211"/>
    </row>
    <row r="969" ht="15.75" customHeight="1">
      <c r="C969" s="212"/>
      <c r="D969" s="212"/>
      <c r="E969" s="212"/>
      <c r="H969" s="211"/>
      <c r="J969" s="211"/>
    </row>
  </sheetData>
  <mergeCells count="396"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93:E393"/>
    <mergeCell ref="D394:E394"/>
    <mergeCell ref="D395:E395"/>
    <mergeCell ref="D396:E396"/>
    <mergeCell ref="D386:E386"/>
    <mergeCell ref="D387:E387"/>
    <mergeCell ref="D388:E388"/>
    <mergeCell ref="D389:E389"/>
    <mergeCell ref="D390:E390"/>
    <mergeCell ref="D391:E391"/>
    <mergeCell ref="D392:E392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</mergeCells>
  <conditionalFormatting sqref="C1 D1:I969 M344 C397:C969">
    <cfRule type="notContainsBlanks" dxfId="0" priority="1">
      <formula>LEN(TRIM(C1))&gt;0</formula>
    </cfRule>
  </conditionalFormatting>
  <conditionalFormatting sqref="F2:G2">
    <cfRule type="colorScale" priority="2">
      <colorScale>
        <cfvo type="min"/>
        <cfvo type="max"/>
        <color rgb="FF57BB8A"/>
        <color rgb="FFFFFFFF"/>
      </colorScale>
    </cfRule>
  </conditionalFormatting>
  <conditionalFormatting sqref="J1:J969">
    <cfRule type="notContainsBlanks" dxfId="0" priority="3">
      <formula>LEN(TRIM(J1))&gt;0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57"/>
    <col customWidth="1" min="2" max="2" width="23.29"/>
    <col customWidth="1" min="3" max="4" width="26.57"/>
    <col customWidth="1" min="5" max="5" width="0.43"/>
    <col customWidth="1" min="6" max="6" width="12.86"/>
    <col customWidth="1" min="7" max="13" width="8.71"/>
  </cols>
  <sheetData>
    <row r="1">
      <c r="A1" s="1" t="s">
        <v>470</v>
      </c>
      <c r="B1" s="2" t="s">
        <v>1</v>
      </c>
      <c r="C1" s="3" t="s">
        <v>2</v>
      </c>
      <c r="D1" s="4" t="s">
        <v>471</v>
      </c>
      <c r="E1" s="5"/>
      <c r="F1" s="219" t="s">
        <v>472</v>
      </c>
      <c r="G1" s="220" t="s">
        <v>6</v>
      </c>
      <c r="H1" s="220" t="s">
        <v>7</v>
      </c>
      <c r="I1" s="221" t="s">
        <v>8</v>
      </c>
      <c r="J1" s="11" t="s">
        <v>7</v>
      </c>
      <c r="K1" s="13"/>
      <c r="L1" s="14" t="s">
        <v>10</v>
      </c>
      <c r="M1" s="14" t="s">
        <v>11</v>
      </c>
    </row>
    <row r="2">
      <c r="A2" s="59">
        <v>44371.0</v>
      </c>
      <c r="B2" s="60" t="str">
        <f>IFERROR(__xludf.DUMMYFUNCTION("FILTER($G$2:$G$445,$H$2:$H$445=D2)"),"Latin American Womyn's Organization")</f>
        <v>Latin American Womyn's Organization</v>
      </c>
      <c r="C2" s="60" t="str">
        <f>IFERROR(__xludf.DUMMYFUNCTION("filter($I$1:$I$500, $J$1:$J$500=D2)"),"Cultural")</f>
        <v>Cultural</v>
      </c>
      <c r="D2" s="61">
        <v>6.0</v>
      </c>
      <c r="F2" s="62">
        <v>350.0</v>
      </c>
      <c r="G2" s="70" t="s">
        <v>118</v>
      </c>
      <c r="H2" s="64">
        <v>72.0</v>
      </c>
      <c r="I2" s="222" t="s">
        <v>15</v>
      </c>
      <c r="J2" s="66">
        <v>1292.0</v>
      </c>
      <c r="K2" s="66"/>
      <c r="L2" s="67">
        <v>142.0</v>
      </c>
      <c r="M2" s="68">
        <v>250.0</v>
      </c>
    </row>
    <row r="3">
      <c r="A3" s="59">
        <v>44371.0</v>
      </c>
      <c r="B3" s="60" t="str">
        <f>IFERROR(__xludf.DUMMYFUNCTION("FILTER($G$2:$G$445,$H$2:$H$445=D3)"),"Latin American Womyn's Organization")</f>
        <v>Latin American Womyn's Organization</v>
      </c>
      <c r="C3" s="60" t="str">
        <f>IFERROR(__xludf.DUMMYFUNCTION("filter($I$1:$I$500, $J$1:$J$500=D3)"),"Cultural")</f>
        <v>Cultural</v>
      </c>
      <c r="D3" s="61">
        <v>6.0</v>
      </c>
      <c r="F3" s="62">
        <v>767.0</v>
      </c>
      <c r="G3" s="70" t="s">
        <v>142</v>
      </c>
      <c r="H3" s="64">
        <v>1942.0</v>
      </c>
      <c r="I3" s="72"/>
      <c r="J3" s="72"/>
      <c r="K3" s="72"/>
      <c r="L3" s="73">
        <v>232.0</v>
      </c>
      <c r="M3" s="74">
        <v>440.0</v>
      </c>
    </row>
    <row r="4">
      <c r="A4" s="119">
        <v>44371.0</v>
      </c>
      <c r="B4" s="120" t="str">
        <f>IFERROR(__xludf.DUMMYFUNCTION("FILTER($G$2:$G$445,$H$2:$H$445=D4)"),"The Anthologist")</f>
        <v>The Anthologist</v>
      </c>
      <c r="C4" s="120" t="str">
        <f>IFERROR(__xludf.DUMMYFUNCTION("filter($I$1:$I$500, $J$1:$J$500=D4)"),"Media")</f>
        <v>Media</v>
      </c>
      <c r="D4" s="121">
        <v>17.0</v>
      </c>
      <c r="F4" s="122">
        <v>175.0</v>
      </c>
      <c r="G4" s="223" t="s">
        <v>236</v>
      </c>
      <c r="H4" s="124">
        <v>1819.0</v>
      </c>
      <c r="I4" s="131"/>
      <c r="J4" s="131"/>
      <c r="K4" s="131"/>
      <c r="L4" s="132">
        <v>1424.0</v>
      </c>
      <c r="M4" s="133">
        <v>0.0</v>
      </c>
    </row>
    <row r="5">
      <c r="A5" s="59">
        <v>44371.0</v>
      </c>
      <c r="B5" s="60" t="str">
        <f>IFERROR(__xludf.DUMMYFUNCTION("FILTER($G$2:$G$445,$H$2:$H$445=D5)"),"Rutgers Armenian Students Association")</f>
        <v>Rutgers Armenian Students Association</v>
      </c>
      <c r="C5" s="60" t="str">
        <f>IFERROR(__xludf.DUMMYFUNCTION("filter($I$1:$I$500, $J$1:$J$500=D5)"),"Cultural")</f>
        <v>Cultural</v>
      </c>
      <c r="D5" s="61">
        <v>19.0</v>
      </c>
      <c r="F5" s="62">
        <v>280.0</v>
      </c>
      <c r="G5" s="224" t="s">
        <v>113</v>
      </c>
      <c r="H5" s="64">
        <v>1758.0</v>
      </c>
      <c r="I5" s="72"/>
      <c r="J5" s="72"/>
      <c r="K5" s="72"/>
      <c r="L5" s="73">
        <v>1334.0</v>
      </c>
      <c r="M5" s="73">
        <v>2400.0</v>
      </c>
    </row>
    <row r="6">
      <c r="A6" s="59">
        <v>44371.0</v>
      </c>
      <c r="B6" s="60" t="str">
        <f>IFERROR(__xludf.DUMMYFUNCTION("FILTER($G$2:$G$445,$H$2:$H$445=D6)"),"Association of Indians at Rutgers")</f>
        <v>Association of Indians at Rutgers</v>
      </c>
      <c r="C6" s="60" t="str">
        <f>IFERROR(__xludf.DUMMYFUNCTION("filter($I$1:$I$500, $J$1:$J$500=D6)"),"Cultural")</f>
        <v>Cultural</v>
      </c>
      <c r="D6" s="61">
        <v>22.0</v>
      </c>
      <c r="F6" s="76">
        <v>8000.0</v>
      </c>
      <c r="G6" s="70" t="s">
        <v>167</v>
      </c>
      <c r="H6" s="64">
        <v>1369.0</v>
      </c>
      <c r="I6" s="224" t="s">
        <v>22</v>
      </c>
      <c r="J6" s="66">
        <v>26.0</v>
      </c>
      <c r="K6" s="66"/>
      <c r="L6" s="67" t="s">
        <v>134</v>
      </c>
      <c r="M6" s="68">
        <v>150.0</v>
      </c>
    </row>
    <row r="7">
      <c r="A7" s="59">
        <v>44371.0</v>
      </c>
      <c r="B7" s="60" t="str">
        <f>IFERROR(__xludf.DUMMYFUNCTION("FILTER($G$2:$G$445,$H$2:$H$445=D7)"),"Association of Indians at Rutgers")</f>
        <v>Association of Indians at Rutgers</v>
      </c>
      <c r="C7" s="60" t="str">
        <f>IFERROR(__xludf.DUMMYFUNCTION("filter($I$1:$I$500, $J$1:$J$500=D7)"),"Cultural")</f>
        <v>Cultural</v>
      </c>
      <c r="D7" s="61">
        <v>22.0</v>
      </c>
      <c r="F7" s="76">
        <v>10915.0</v>
      </c>
      <c r="G7" s="70" t="s">
        <v>168</v>
      </c>
      <c r="H7" s="64">
        <v>1899.0</v>
      </c>
      <c r="I7" s="222" t="s">
        <v>22</v>
      </c>
      <c r="J7" s="66">
        <v>1280.0</v>
      </c>
      <c r="K7" s="66"/>
      <c r="L7" s="67">
        <v>660.0</v>
      </c>
      <c r="M7" s="68">
        <v>0.0</v>
      </c>
    </row>
    <row r="8">
      <c r="A8" s="59">
        <v>44371.0</v>
      </c>
      <c r="B8" s="60" t="str">
        <f>IFERROR(__xludf.DUMMYFUNCTION("FILTER($G$2:$G$445,$H$2:$H$445=D8)"),"Black Student Union")</f>
        <v>Black Student Union</v>
      </c>
      <c r="C8" s="60" t="str">
        <f>IFERROR(__xludf.DUMMYFUNCTION("filter($I$1:$I$500, $J$1:$J$500=D8)"),"Cultural")</f>
        <v>Cultural</v>
      </c>
      <c r="D8" s="61">
        <v>25.0</v>
      </c>
      <c r="F8" s="76">
        <v>14400.0</v>
      </c>
      <c r="G8" s="70" t="s">
        <v>169</v>
      </c>
      <c r="H8" s="64">
        <v>1433.0</v>
      </c>
      <c r="I8" s="224" t="s">
        <v>37</v>
      </c>
      <c r="J8" s="66">
        <v>53.0</v>
      </c>
      <c r="K8" s="66"/>
      <c r="L8" s="67">
        <v>1608.0</v>
      </c>
      <c r="M8" s="68">
        <v>0.0</v>
      </c>
    </row>
    <row r="9">
      <c r="A9" s="59">
        <v>44371.0</v>
      </c>
      <c r="B9" s="60" t="str">
        <f>IFERROR(__xludf.DUMMYFUNCTION("FILTER($G$2:$G$445,$H$2:$H$445=D9)"),"Black Student Union")</f>
        <v>Black Student Union</v>
      </c>
      <c r="C9" s="60" t="str">
        <f>IFERROR(__xludf.DUMMYFUNCTION("filter($I$1:$I$500, $J$1:$J$500=D9)"),"Cultural")</f>
        <v>Cultural</v>
      </c>
      <c r="D9" s="61">
        <v>25.0</v>
      </c>
      <c r="F9" s="62">
        <v>500.0</v>
      </c>
      <c r="G9" s="224" t="s">
        <v>128</v>
      </c>
      <c r="H9" s="64">
        <v>1801.0</v>
      </c>
      <c r="I9" s="222" t="s">
        <v>37</v>
      </c>
      <c r="J9" s="66">
        <v>1278.0</v>
      </c>
      <c r="K9" s="66"/>
      <c r="L9" s="67">
        <v>362.0</v>
      </c>
      <c r="M9" s="68">
        <v>2620.0</v>
      </c>
    </row>
    <row r="10">
      <c r="A10" s="59">
        <v>44371.0</v>
      </c>
      <c r="B10" s="60" t="str">
        <f>IFERROR(__xludf.DUMMYFUNCTION("FILTER($G$2:$G$445,$H$2:$H$445=D10)"),"Black Student Union")</f>
        <v>Black Student Union</v>
      </c>
      <c r="C10" s="60" t="str">
        <f>IFERROR(__xludf.DUMMYFUNCTION("filter($I$1:$I$500, $J$1:$J$500=D10)"),"Cultural")</f>
        <v>Cultural</v>
      </c>
      <c r="D10" s="61">
        <v>25.0</v>
      </c>
      <c r="F10" s="62">
        <v>530.0</v>
      </c>
      <c r="G10" s="70" t="s">
        <v>129</v>
      </c>
      <c r="H10" s="64">
        <v>1355.0</v>
      </c>
      <c r="I10" s="72"/>
      <c r="J10" s="72"/>
      <c r="K10" s="72"/>
      <c r="L10" s="73">
        <v>443.0</v>
      </c>
      <c r="M10" s="74">
        <v>210.0</v>
      </c>
    </row>
    <row r="11">
      <c r="A11" s="192">
        <v>44371.0</v>
      </c>
      <c r="B11" s="193" t="str">
        <f>IFERROR(__xludf.DUMMYFUNCTION("FILTER($G$2:$G$445,$H$2:$H$445=D11)"),"Amnesty International")</f>
        <v>Amnesty International</v>
      </c>
      <c r="C11" s="193" t="str">
        <f>IFERROR(__xludf.DUMMYFUNCTION("filter($I$1:$I$500, $J$1:$J$500=D11)"),"Social Action/Political")</f>
        <v>Social Action/Political</v>
      </c>
      <c r="D11" s="194">
        <v>26.0</v>
      </c>
      <c r="F11" s="195">
        <v>50.0</v>
      </c>
      <c r="G11" s="203" t="s">
        <v>360</v>
      </c>
      <c r="H11" s="197">
        <v>762.0</v>
      </c>
      <c r="I11" s="225" t="s">
        <v>13</v>
      </c>
      <c r="J11" s="199">
        <v>1277.0</v>
      </c>
      <c r="K11" s="199"/>
      <c r="L11" s="199"/>
      <c r="M11" s="199"/>
    </row>
    <row r="12">
      <c r="A12" s="192">
        <v>44371.0</v>
      </c>
      <c r="B12" s="193" t="str">
        <f>IFERROR(__xludf.DUMMYFUNCTION("FILTER($G$2:$G$445,$H$2:$H$445=D12)"),"Amnesty International")</f>
        <v>Amnesty International</v>
      </c>
      <c r="C12" s="193" t="str">
        <f>IFERROR(__xludf.DUMMYFUNCTION("filter($I$1:$I$500, $J$1:$J$500=D12)"),"Social Action/Political")</f>
        <v>Social Action/Political</v>
      </c>
      <c r="D12" s="194">
        <v>26.0</v>
      </c>
      <c r="F12" s="195">
        <v>867.0</v>
      </c>
      <c r="G12" s="203" t="s">
        <v>383</v>
      </c>
      <c r="H12" s="203" t="s">
        <v>384</v>
      </c>
      <c r="I12" s="202"/>
      <c r="J12" s="202"/>
      <c r="K12" s="202"/>
      <c r="L12" s="202"/>
      <c r="M12" s="202"/>
    </row>
    <row r="13">
      <c r="A13" s="192">
        <v>44371.0</v>
      </c>
      <c r="B13" s="193" t="str">
        <f>IFERROR(__xludf.DUMMYFUNCTION("FILTER($G$2:$G$445,$H$2:$H$445=D13)"),"Democrats")</f>
        <v>Democrats</v>
      </c>
      <c r="C13" s="193" t="str">
        <f>IFERROR(__xludf.DUMMYFUNCTION("filter($I$1:$I$500, $J$1:$J$500=D13)"),"Social Action/Political")</f>
        <v>Social Action/Political</v>
      </c>
      <c r="D13" s="194">
        <v>29.0</v>
      </c>
      <c r="F13" s="205">
        <v>1500.0</v>
      </c>
      <c r="G13" s="226" t="s">
        <v>390</v>
      </c>
      <c r="H13" s="197">
        <v>1949.0</v>
      </c>
      <c r="I13" s="225" t="s">
        <v>22</v>
      </c>
      <c r="J13" s="199">
        <v>1274.0</v>
      </c>
      <c r="K13" s="199"/>
      <c r="L13" s="199"/>
      <c r="M13" s="199"/>
    </row>
    <row r="14">
      <c r="A14" s="192">
        <v>44371.0</v>
      </c>
      <c r="B14" s="193" t="str">
        <f>IFERROR(__xludf.DUMMYFUNCTION("FILTER($G$2:$G$445,$H$2:$H$445=D14)"),"Democrats")</f>
        <v>Democrats</v>
      </c>
      <c r="C14" s="193" t="str">
        <f>IFERROR(__xludf.DUMMYFUNCTION("filter($I$1:$I$500, $J$1:$J$500=D14)"),"Social Action/Political")</f>
        <v>Social Action/Political</v>
      </c>
      <c r="D14" s="194">
        <v>29.0</v>
      </c>
      <c r="F14" s="205">
        <v>1016.0</v>
      </c>
      <c r="G14" s="203" t="s">
        <v>387</v>
      </c>
      <c r="H14" s="197">
        <v>545.0</v>
      </c>
      <c r="I14" s="202"/>
      <c r="J14" s="202"/>
      <c r="K14" s="202"/>
      <c r="L14" s="202"/>
      <c r="M14" s="202"/>
    </row>
    <row r="15">
      <c r="A15" s="177">
        <v>44371.0</v>
      </c>
      <c r="B15" s="178" t="str">
        <f>IFERROR(__xludf.DUMMYFUNCTION("FILTER($G$2:$G$445,$H$2:$H$445=D15)"),"Health Professions United")</f>
        <v>Health Professions United</v>
      </c>
      <c r="C15" s="178" t="str">
        <f>IFERROR(__xludf.DUMMYFUNCTION("filter($I$1:$I$500, $J$1:$J$500=D15)"),"Pre-Professional")</f>
        <v>Pre-Professional</v>
      </c>
      <c r="D15" s="179">
        <v>48.0</v>
      </c>
      <c r="F15" s="180">
        <v>200.0</v>
      </c>
      <c r="G15" s="227" t="s">
        <v>324</v>
      </c>
      <c r="H15" s="182">
        <v>588.0</v>
      </c>
      <c r="I15" s="228" t="s">
        <v>19</v>
      </c>
      <c r="J15" s="184">
        <v>1273.0</v>
      </c>
      <c r="K15" s="184"/>
      <c r="L15" s="184"/>
      <c r="M15" s="184"/>
    </row>
    <row r="16">
      <c r="A16" s="15">
        <v>44371.0</v>
      </c>
      <c r="B16" s="16" t="str">
        <f>IFERROR(__xludf.DUMMYFUNCTION("FILTER($G$2:$G$445,$H$2:$H$445=D16)"),"Educational Opportunity Program Student Association")</f>
        <v>Educational Opportunity Program Student Association</v>
      </c>
      <c r="C16" s="16" t="str">
        <f>IFERROR(__xludf.DUMMYFUNCTION("filter($I$1:$I$500, $J$1:$J$500=D16)"),"#N/A")</f>
        <v>#N/A</v>
      </c>
      <c r="D16" s="17">
        <v>57.0</v>
      </c>
      <c r="F16" s="18">
        <v>50.0</v>
      </c>
      <c r="G16" s="216" t="s">
        <v>395</v>
      </c>
      <c r="H16" s="20">
        <v>1850.0</v>
      </c>
      <c r="I16" s="229" t="s">
        <v>27</v>
      </c>
      <c r="J16" s="22">
        <v>1256.0</v>
      </c>
      <c r="K16" s="22"/>
      <c r="L16" s="22"/>
      <c r="M16" s="22"/>
    </row>
    <row r="17">
      <c r="A17" s="15">
        <v>44371.0</v>
      </c>
      <c r="B17" s="16" t="str">
        <f>IFERROR(__xludf.DUMMYFUNCTION("FILTER($G$2:$G$445,$H$2:$H$445=D17)"),"Educational Opportunity Program Student Association")</f>
        <v>Educational Opportunity Program Student Association</v>
      </c>
      <c r="C17" s="16" t="str">
        <f>IFERROR(__xludf.DUMMYFUNCTION("filter($I$1:$I$500, $J$1:$J$500=D17)"),"#N/A")</f>
        <v>#N/A</v>
      </c>
      <c r="D17" s="17">
        <v>57.0</v>
      </c>
      <c r="F17" s="18">
        <v>75.0</v>
      </c>
      <c r="G17" s="216" t="s">
        <v>398</v>
      </c>
      <c r="H17" s="20">
        <v>1078.0</v>
      </c>
    </row>
    <row r="18">
      <c r="A18" s="59">
        <v>44371.0</v>
      </c>
      <c r="B18" s="60" t="str">
        <f>IFERROR(__xludf.DUMMYFUNCTION("FILTER($G$2:$G$445,$H$2:$H$445=D18)"),"Rutgers Cantonese Club")</f>
        <v>Rutgers Cantonese Club</v>
      </c>
      <c r="C18" s="60" t="str">
        <f>IFERROR(__xludf.DUMMYFUNCTION("filter($I$1:$I$500, $J$1:$J$500=D18)"),"Cultural")</f>
        <v>Cultural</v>
      </c>
      <c r="D18" s="61">
        <v>58.0</v>
      </c>
      <c r="F18" s="62">
        <v>90.0</v>
      </c>
      <c r="G18" s="70" t="s">
        <v>101</v>
      </c>
      <c r="H18" s="64">
        <v>1961.0</v>
      </c>
      <c r="I18" s="72"/>
      <c r="J18" s="72"/>
      <c r="K18" s="72"/>
      <c r="L18" s="73">
        <v>1592.0</v>
      </c>
      <c r="M18" s="74">
        <v>500.0</v>
      </c>
    </row>
    <row r="19">
      <c r="A19" s="59">
        <v>44371.0</v>
      </c>
      <c r="B19" s="60" t="str">
        <f>IFERROR(__xludf.DUMMYFUNCTION("FILTER($G$2:$G$445,$H$2:$H$445=D19)"),"Chinese Student Organization")</f>
        <v>Chinese Student Organization</v>
      </c>
      <c r="C19" s="60" t="str">
        <f>IFERROR(__xludf.DUMMYFUNCTION("filter($I$1:$I$500, $J$1:$J$500=D19)"),"Cultural")</f>
        <v>Cultural</v>
      </c>
      <c r="D19" s="61">
        <v>62.0</v>
      </c>
      <c r="F19" s="62">
        <v>684.86</v>
      </c>
      <c r="G19" s="224" t="s">
        <v>137</v>
      </c>
      <c r="H19" s="64">
        <v>1957.0</v>
      </c>
      <c r="I19" s="72"/>
      <c r="J19" s="72"/>
      <c r="K19" s="72"/>
      <c r="L19" s="73">
        <v>1278.0</v>
      </c>
      <c r="M19" s="74">
        <v>850.0</v>
      </c>
    </row>
    <row r="20">
      <c r="A20" s="59">
        <v>44371.0</v>
      </c>
      <c r="B20" s="60" t="str">
        <f>IFERROR(__xludf.DUMMYFUNCTION("FILTER($G$2:$G$445,$H$2:$H$445=D20)"),"Bengali Students Association")</f>
        <v>Bengali Students Association</v>
      </c>
      <c r="C20" s="60" t="str">
        <f>IFERROR(__xludf.DUMMYFUNCTION("filter($I$1:$I$500, $J$1:$J$500=D20)"),"Cultural")</f>
        <v>Cultural</v>
      </c>
      <c r="D20" s="61">
        <v>63.0</v>
      </c>
      <c r="F20" s="62">
        <v>30.0</v>
      </c>
      <c r="G20" s="70" t="s">
        <v>96</v>
      </c>
      <c r="H20" s="64">
        <v>197.0</v>
      </c>
      <c r="I20" s="222" t="s">
        <v>17</v>
      </c>
      <c r="J20" s="66">
        <v>1239.0</v>
      </c>
      <c r="K20" s="66"/>
      <c r="L20" s="67">
        <v>1785.0</v>
      </c>
      <c r="M20" s="68">
        <v>735.0</v>
      </c>
    </row>
    <row r="21">
      <c r="A21" s="59">
        <v>44371.0</v>
      </c>
      <c r="B21" s="60" t="str">
        <f>IFERROR(__xludf.DUMMYFUNCTION("FILTER($G$2:$G$445,$H$2:$H$445=D21)"),"Bengali Students Association")</f>
        <v>Bengali Students Association</v>
      </c>
      <c r="C21" s="60" t="str">
        <f>IFERROR(__xludf.DUMMYFUNCTION("filter($I$1:$I$500, $J$1:$J$500=D21)"),"Cultural")</f>
        <v>Cultural</v>
      </c>
      <c r="D21" s="61">
        <v>63.0</v>
      </c>
      <c r="F21" s="62">
        <v>309.0</v>
      </c>
      <c r="G21" s="70" t="s">
        <v>116</v>
      </c>
      <c r="H21" s="64">
        <v>1231.0</v>
      </c>
      <c r="I21" s="72"/>
      <c r="J21" s="72"/>
      <c r="K21" s="72"/>
      <c r="L21" s="73">
        <v>568.0</v>
      </c>
      <c r="M21" s="74">
        <v>7750.0</v>
      </c>
    </row>
    <row r="22">
      <c r="A22" s="43">
        <v>44371.0</v>
      </c>
      <c r="B22" s="44" t="str">
        <f>IFERROR(__xludf.DUMMYFUNCTION("FILTER($G$2:$G$445,$H$2:$H$445=D22)"),"Envision ")</f>
        <v>Envision </v>
      </c>
      <c r="C22" s="44" t="str">
        <f>IFERROR(__xludf.DUMMYFUNCTION("filter($I$1:$I$500, $J$1:$J$500=D22)"),"Community Service")</f>
        <v>Community Service</v>
      </c>
      <c r="D22" s="45">
        <v>66.0</v>
      </c>
      <c r="F22" s="58">
        <v>1717.15</v>
      </c>
      <c r="G22" s="230" t="s">
        <v>88</v>
      </c>
      <c r="H22" s="48">
        <v>761.0</v>
      </c>
      <c r="I22" s="231" t="s">
        <v>17</v>
      </c>
      <c r="J22" s="50">
        <v>1236.0</v>
      </c>
      <c r="K22" s="50"/>
      <c r="L22" s="51">
        <v>749.0</v>
      </c>
      <c r="M22" s="52">
        <v>300.0</v>
      </c>
    </row>
    <row r="23">
      <c r="A23" s="43">
        <v>44371.0</v>
      </c>
      <c r="B23" s="44" t="str">
        <f>IFERROR(__xludf.DUMMYFUNCTION("FILTER($G$2:$G$445,$H$2:$H$445=D23)"),"Envision ")</f>
        <v>Envision </v>
      </c>
      <c r="C23" s="44" t="str">
        <f>IFERROR(__xludf.DUMMYFUNCTION("filter($I$1:$I$500, $J$1:$J$500=D23)"),"Community Service")</f>
        <v>Community Service</v>
      </c>
      <c r="D23" s="45">
        <v>66.0</v>
      </c>
      <c r="F23" s="46">
        <v>360.32</v>
      </c>
      <c r="G23" s="232" t="s">
        <v>86</v>
      </c>
      <c r="H23" s="48">
        <v>1538.0</v>
      </c>
      <c r="I23" s="55"/>
      <c r="J23" s="55"/>
      <c r="K23" s="55"/>
      <c r="L23" s="56">
        <v>363.0</v>
      </c>
      <c r="M23" s="56">
        <v>200.0</v>
      </c>
    </row>
    <row r="24">
      <c r="A24" s="146">
        <v>44371.0</v>
      </c>
      <c r="B24" s="147" t="str">
        <f>IFERROR(__xludf.DUMMYFUNCTION("FILTER($G$2:$G$445,$H$2:$H$445=D24)"),"College Avenue Players")</f>
        <v>College Avenue Players</v>
      </c>
      <c r="C24" s="147" t="str">
        <f>IFERROR(__xludf.DUMMYFUNCTION("filter($I$1:$I$500, $J$1:$J$500=D24)"),"Performing Arts")</f>
        <v>Performing Arts</v>
      </c>
      <c r="D24" s="148">
        <v>69.0</v>
      </c>
      <c r="F24" s="149">
        <v>100.0</v>
      </c>
      <c r="G24" s="161" t="s">
        <v>251</v>
      </c>
      <c r="H24" s="151">
        <v>1816.0</v>
      </c>
      <c r="I24" s="158"/>
      <c r="J24" s="158"/>
      <c r="K24" s="158"/>
      <c r="L24" s="159">
        <v>821.0</v>
      </c>
      <c r="M24" s="160">
        <v>170.0</v>
      </c>
    </row>
    <row r="25">
      <c r="A25" s="177">
        <v>44371.0</v>
      </c>
      <c r="B25" s="178" t="str">
        <f>IFERROR(__xludf.DUMMYFUNCTION("FILTER($G$2:$G$445,$H$2:$H$445=D25)"),"Minority Association of Pre-Health Students")</f>
        <v>Minority Association of Pre-Health Students</v>
      </c>
      <c r="C25" s="178" t="str">
        <f>IFERROR(__xludf.DUMMYFUNCTION("filter($I$1:$I$500, $J$1:$J$500=D25)"),"Pre-Professional")</f>
        <v>Pre-Professional</v>
      </c>
      <c r="D25" s="179">
        <v>72.0</v>
      </c>
      <c r="F25" s="180">
        <v>449.0</v>
      </c>
      <c r="G25" s="233" t="s">
        <v>335</v>
      </c>
      <c r="H25" s="182">
        <v>494.0</v>
      </c>
      <c r="I25" s="187"/>
      <c r="J25" s="187"/>
      <c r="K25" s="187"/>
      <c r="L25" s="187"/>
      <c r="M25" s="187"/>
    </row>
    <row r="26">
      <c r="A26" s="59">
        <v>44371.0</v>
      </c>
      <c r="B26" s="60" t="str">
        <f>IFERROR(__xludf.DUMMYFUNCTION("FILTER($G$2:$G$445,$H$2:$H$445=D26)"),"Twese The Organization for Africans and Friends of Africa")</f>
        <v>Twese The Organization for Africans and Friends of Africa</v>
      </c>
      <c r="C26" s="60" t="str">
        <f>IFERROR(__xludf.DUMMYFUNCTION("filter($I$1:$I$500, $J$1:$J$500=D26)"),"Cultural")</f>
        <v>Cultural</v>
      </c>
      <c r="D26" s="61">
        <v>74.0</v>
      </c>
      <c r="F26" s="76">
        <v>2776.0</v>
      </c>
      <c r="G26" s="224" t="s">
        <v>161</v>
      </c>
      <c r="H26" s="64">
        <v>1433.0</v>
      </c>
      <c r="I26" s="224" t="s">
        <v>15</v>
      </c>
      <c r="J26" s="66">
        <v>52.0</v>
      </c>
      <c r="K26" s="66"/>
      <c r="L26" s="67">
        <v>1716.0</v>
      </c>
      <c r="M26" s="68">
        <v>50.0</v>
      </c>
    </row>
    <row r="27">
      <c r="A27" s="59">
        <v>44371.0</v>
      </c>
      <c r="B27" s="60" t="str">
        <f>IFERROR(__xludf.DUMMYFUNCTION("FILTER($G$2:$G$445,$H$2:$H$445=D27)"),"Twese The Organization for Africans and Friends of Africa")</f>
        <v>Twese The Organization for Africans and Friends of Africa</v>
      </c>
      <c r="C27" s="60" t="str">
        <f>IFERROR(__xludf.DUMMYFUNCTION("filter($I$1:$I$500, $J$1:$J$500=D27)"),"Cultural")</f>
        <v>Cultural</v>
      </c>
      <c r="D27" s="61">
        <v>74.0</v>
      </c>
      <c r="F27" s="76">
        <v>3981.02</v>
      </c>
      <c r="G27" s="70" t="s">
        <v>164</v>
      </c>
      <c r="H27" s="64">
        <v>784.0</v>
      </c>
      <c r="I27" s="222" t="s">
        <v>30</v>
      </c>
      <c r="J27" s="66">
        <v>1231.0</v>
      </c>
      <c r="K27" s="66"/>
      <c r="L27" s="67">
        <v>1594.0</v>
      </c>
      <c r="M27" s="68">
        <v>1000.0</v>
      </c>
    </row>
    <row r="28">
      <c r="A28" s="59">
        <v>44371.0</v>
      </c>
      <c r="B28" s="60" t="str">
        <f>IFERROR(__xludf.DUMMYFUNCTION("FILTER($G$2:$G$445,$H$2:$H$445=D28)"),"Twese The Organization for Africans and Friends of Africa")</f>
        <v>Twese The Organization for Africans and Friends of Africa</v>
      </c>
      <c r="C28" s="60" t="str">
        <f>IFERROR(__xludf.DUMMYFUNCTION("filter($I$1:$I$500, $J$1:$J$500=D28)"),"Cultural")</f>
        <v>Cultural</v>
      </c>
      <c r="D28" s="61">
        <v>74.0</v>
      </c>
      <c r="F28" s="62">
        <v>779.0</v>
      </c>
      <c r="G28" s="70" t="s">
        <v>143</v>
      </c>
      <c r="H28" s="64">
        <v>1141.0</v>
      </c>
      <c r="I28" s="72"/>
      <c r="J28" s="72"/>
      <c r="K28" s="72"/>
      <c r="L28" s="73">
        <v>1759.0</v>
      </c>
      <c r="M28" s="74">
        <v>5000.0</v>
      </c>
    </row>
    <row r="29">
      <c r="A29" s="77">
        <v>44371.0</v>
      </c>
      <c r="B29" s="78" t="str">
        <f>IFERROR(__xludf.DUMMYFUNCTION("FILTER($G$2:$G$445,$H$2:$H$445=D29)"),"Rutgers Hindu Students Council")</f>
        <v>Rutgers Hindu Students Council</v>
      </c>
      <c r="C29" s="78" t="str">
        <f>IFERROR(__xludf.DUMMYFUNCTION("filter($I$1:$I$500, $J$1:$J$500=D29)"),"Faith-based")</f>
        <v>Faith-based</v>
      </c>
      <c r="D29" s="79">
        <v>75.0</v>
      </c>
      <c r="F29" s="92">
        <v>1324.0</v>
      </c>
      <c r="G29" s="93" t="s">
        <v>200</v>
      </c>
      <c r="H29" s="82">
        <v>1954.0</v>
      </c>
      <c r="I29" s="89"/>
      <c r="J29" s="89"/>
      <c r="K29" s="89"/>
      <c r="L29" s="90" t="s">
        <v>134</v>
      </c>
      <c r="M29" s="91">
        <v>150.0</v>
      </c>
    </row>
    <row r="30">
      <c r="A30" s="77">
        <v>44371.0</v>
      </c>
      <c r="B30" s="78" t="str">
        <f>IFERROR(__xludf.DUMMYFUNCTION("FILTER($G$2:$G$445,$H$2:$H$445=D30)"),"Orthodox Christian Campus Ministries")</f>
        <v>Orthodox Christian Campus Ministries</v>
      </c>
      <c r="C30" s="78" t="str">
        <f>IFERROR(__xludf.DUMMYFUNCTION("filter($I$1:$I$500, $J$1:$J$500=D30)"),"Faith-based")</f>
        <v>Faith-based</v>
      </c>
      <c r="D30" s="79">
        <v>84.0</v>
      </c>
      <c r="F30" s="92">
        <v>3250.0</v>
      </c>
      <c r="G30" s="93" t="s">
        <v>207</v>
      </c>
      <c r="H30" s="82">
        <v>677.0</v>
      </c>
      <c r="I30" s="234" t="s">
        <v>27</v>
      </c>
      <c r="J30" s="84">
        <v>1220.0</v>
      </c>
      <c r="K30" s="84"/>
      <c r="L30" s="85">
        <v>1905.0</v>
      </c>
      <c r="M30" s="86">
        <v>0.0</v>
      </c>
    </row>
    <row r="31">
      <c r="A31" s="77">
        <v>44371.0</v>
      </c>
      <c r="B31" s="78" t="str">
        <f>IFERROR(__xludf.DUMMYFUNCTION("FILTER($G$2:$G$445,$H$2:$H$445=D31)"),"Orthodox Christian Campus Ministries")</f>
        <v>Orthodox Christian Campus Ministries</v>
      </c>
      <c r="C31" s="78" t="str">
        <f>IFERROR(__xludf.DUMMYFUNCTION("filter($I$1:$I$500, $J$1:$J$500=D31)"),"Faith-based")</f>
        <v>Faith-based</v>
      </c>
      <c r="D31" s="79">
        <v>84.0</v>
      </c>
      <c r="F31" s="80">
        <v>652.0</v>
      </c>
      <c r="G31" s="93" t="s">
        <v>193</v>
      </c>
      <c r="H31" s="82">
        <v>586.0</v>
      </c>
      <c r="I31" s="89"/>
      <c r="J31" s="89"/>
      <c r="K31" s="89"/>
      <c r="L31" s="90">
        <v>624.0</v>
      </c>
      <c r="M31" s="91">
        <v>0.0</v>
      </c>
    </row>
    <row r="32">
      <c r="A32" s="119">
        <v>44371.0</v>
      </c>
      <c r="B32" s="120" t="str">
        <f>IFERROR(__xludf.DUMMYFUNCTION("FILTER($G$2:$G$445,$H$2:$H$445=D32)"),"Film Productions")</f>
        <v>Film Productions</v>
      </c>
      <c r="C32" s="120" t="str">
        <f>IFERROR(__xludf.DUMMYFUNCTION("filter($I$1:$I$500, $J$1:$J$500=D32)"),"Media")</f>
        <v>Media</v>
      </c>
      <c r="D32" s="121">
        <v>90.0</v>
      </c>
      <c r="F32" s="122">
        <v>80.0</v>
      </c>
      <c r="G32" s="223" t="s">
        <v>233</v>
      </c>
      <c r="H32" s="124">
        <v>1579.0</v>
      </c>
      <c r="I32" s="235" t="s">
        <v>13</v>
      </c>
      <c r="J32" s="126">
        <v>1205.0</v>
      </c>
      <c r="K32" s="126"/>
      <c r="L32" s="127">
        <v>1881.0</v>
      </c>
      <c r="M32" s="129">
        <v>200.0</v>
      </c>
    </row>
    <row r="33">
      <c r="A33" s="119">
        <v>44371.0</v>
      </c>
      <c r="B33" s="120" t="str">
        <f>IFERROR(__xludf.DUMMYFUNCTION("FILTER($G$2:$G$445,$H$2:$H$445=D33)"),"Film Productions")</f>
        <v>Film Productions</v>
      </c>
      <c r="C33" s="120" t="str">
        <f>IFERROR(__xludf.DUMMYFUNCTION("filter($I$1:$I$500, $J$1:$J$500=D33)"),"Media")</f>
        <v>Media</v>
      </c>
      <c r="D33" s="121">
        <v>90.0</v>
      </c>
      <c r="F33" s="122">
        <v>135.0</v>
      </c>
      <c r="G33" s="236" t="s">
        <v>234</v>
      </c>
      <c r="H33" s="124">
        <v>776.0</v>
      </c>
      <c r="I33" s="131"/>
      <c r="J33" s="131"/>
      <c r="K33" s="131"/>
      <c r="L33" s="132">
        <v>1878.0</v>
      </c>
      <c r="M33" s="133">
        <v>0.0</v>
      </c>
    </row>
    <row r="34">
      <c r="A34" s="77">
        <v>44371.0</v>
      </c>
      <c r="B34" s="78" t="str">
        <f>IFERROR(__xludf.DUMMYFUNCTION("FILTER($G$2:$G$445,$H$2:$H$445=D34)"),"CRU")</f>
        <v>CRU</v>
      </c>
      <c r="C34" s="78" t="str">
        <f>IFERROR(__xludf.DUMMYFUNCTION("filter($I$1:$I$500, $J$1:$J$500=D34)"),"Faith-based")</f>
        <v>Faith-based</v>
      </c>
      <c r="D34" s="79">
        <v>96.0</v>
      </c>
      <c r="F34" s="80">
        <v>133.0</v>
      </c>
      <c r="G34" s="93" t="s">
        <v>179</v>
      </c>
      <c r="H34" s="82">
        <v>344.0</v>
      </c>
      <c r="I34" s="234" t="s">
        <v>13</v>
      </c>
      <c r="J34" s="84">
        <v>1203.0</v>
      </c>
      <c r="K34" s="84"/>
      <c r="L34" s="85">
        <v>415.0</v>
      </c>
      <c r="M34" s="86">
        <v>390.0</v>
      </c>
    </row>
    <row r="35">
      <c r="A35" s="77">
        <v>44371.0</v>
      </c>
      <c r="B35" s="78" t="str">
        <f>IFERROR(__xludf.DUMMYFUNCTION("FILTER($G$2:$G$445,$H$2:$H$445=D35)"),"CRU")</f>
        <v>CRU</v>
      </c>
      <c r="C35" s="78" t="str">
        <f>IFERROR(__xludf.DUMMYFUNCTION("filter($I$1:$I$500, $J$1:$J$500=D35)"),"Faith-based")</f>
        <v>Faith-based</v>
      </c>
      <c r="D35" s="79">
        <v>96.0</v>
      </c>
      <c r="F35" s="80">
        <v>836.65</v>
      </c>
      <c r="G35" s="237" t="s">
        <v>197</v>
      </c>
      <c r="H35" s="82">
        <v>1777.0</v>
      </c>
      <c r="I35" s="89"/>
      <c r="J35" s="89"/>
      <c r="K35" s="89"/>
      <c r="L35" s="90">
        <v>587.0</v>
      </c>
      <c r="M35" s="90">
        <v>2500.0</v>
      </c>
    </row>
    <row r="36">
      <c r="A36" s="146">
        <v>44371.0</v>
      </c>
      <c r="B36" s="147" t="str">
        <f>IFERROR(__xludf.DUMMYFUNCTION("FILTER($G$2:$G$445,$H$2:$H$445=D36)"),"Asian Acapella Group ")</f>
        <v>Asian Acapella Group </v>
      </c>
      <c r="C36" s="147" t="str">
        <f>IFERROR(__xludf.DUMMYFUNCTION("filter($I$1:$I$500, $J$1:$J$500=D36)"),"Performing Arts")</f>
        <v>Performing Arts</v>
      </c>
      <c r="D36" s="148">
        <v>98.0</v>
      </c>
      <c r="F36" s="163">
        <v>2822.0</v>
      </c>
      <c r="G36" s="161" t="s">
        <v>285</v>
      </c>
      <c r="H36" s="151">
        <v>6.0</v>
      </c>
      <c r="I36" s="238" t="s">
        <v>15</v>
      </c>
      <c r="J36" s="153">
        <v>1193.0</v>
      </c>
      <c r="K36" s="153"/>
      <c r="L36" s="154">
        <v>1538.0</v>
      </c>
      <c r="M36" s="156">
        <v>0.0</v>
      </c>
    </row>
    <row r="37">
      <c r="A37" s="146">
        <v>44371.0</v>
      </c>
      <c r="B37" s="147" t="str">
        <f>IFERROR(__xludf.DUMMYFUNCTION("FILTER($G$2:$G$445,$H$2:$H$445=D37)"),"Asian Acapella Group ")</f>
        <v>Asian Acapella Group </v>
      </c>
      <c r="C37" s="147" t="str">
        <f>IFERROR(__xludf.DUMMYFUNCTION("filter($I$1:$I$500, $J$1:$J$500=D37)"),"Performing Arts")</f>
        <v>Performing Arts</v>
      </c>
      <c r="D37" s="148">
        <v>98.0</v>
      </c>
      <c r="F37" s="149">
        <v>23.17</v>
      </c>
      <c r="G37" s="161" t="s">
        <v>246</v>
      </c>
      <c r="H37" s="151">
        <v>663.0</v>
      </c>
      <c r="I37" s="158"/>
      <c r="J37" s="158"/>
      <c r="K37" s="158"/>
      <c r="L37" s="159">
        <v>1256.0</v>
      </c>
      <c r="M37" s="160">
        <v>100.0</v>
      </c>
    </row>
    <row r="38">
      <c r="A38" s="192">
        <v>44371.0</v>
      </c>
      <c r="B38" s="193" t="str">
        <f>IFERROR(__xludf.DUMMYFUNCTION("FILTER($G$2:$G$445,$H$2:$H$445=D38)"),"Queer Student Alliance")</f>
        <v>Queer Student Alliance</v>
      </c>
      <c r="C38" s="193" t="str">
        <f>IFERROR(__xludf.DUMMYFUNCTION("filter($I$1:$I$500, $J$1:$J$500=D38)"),"Social Action/Political")</f>
        <v>Social Action/Political</v>
      </c>
      <c r="D38" s="194">
        <v>128.0</v>
      </c>
      <c r="F38" s="195">
        <v>50.0</v>
      </c>
      <c r="G38" s="226" t="s">
        <v>359</v>
      </c>
      <c r="H38" s="197">
        <v>759.0</v>
      </c>
      <c r="I38" s="225" t="s">
        <v>22</v>
      </c>
      <c r="J38" s="199">
        <v>1191.0</v>
      </c>
      <c r="K38" s="199"/>
      <c r="L38" s="199"/>
      <c r="M38" s="199"/>
    </row>
    <row r="39">
      <c r="A39" s="192">
        <v>44371.0</v>
      </c>
      <c r="B39" s="193" t="str">
        <f>IFERROR(__xludf.DUMMYFUNCTION("FILTER($G$2:$G$445,$H$2:$H$445=D39)"),"Queer Student Alliance")</f>
        <v>Queer Student Alliance</v>
      </c>
      <c r="C39" s="193" t="str">
        <f>IFERROR(__xludf.DUMMYFUNCTION("filter($I$1:$I$500, $J$1:$J$500=D39)"),"Social Action/Political")</f>
        <v>Social Action/Political</v>
      </c>
      <c r="D39" s="194">
        <v>128.0</v>
      </c>
      <c r="F39" s="195">
        <v>218.0</v>
      </c>
      <c r="G39" s="203" t="s">
        <v>371</v>
      </c>
      <c r="H39" s="197">
        <v>1306.0</v>
      </c>
      <c r="I39" s="202"/>
      <c r="J39" s="202"/>
      <c r="K39" s="202"/>
      <c r="L39" s="202"/>
      <c r="M39" s="202"/>
    </row>
    <row r="40">
      <c r="A40" s="146">
        <v>44371.0</v>
      </c>
      <c r="B40" s="147" t="str">
        <f>IFERROR(__xludf.DUMMYFUNCTION("FILTER($G$2:$G$445,$H$2:$H$445=D40)"),"Glee Club (The Rutgers University)")</f>
        <v>Glee Club (The Rutgers University)</v>
      </c>
      <c r="C40" s="147" t="str">
        <f>IFERROR(__xludf.DUMMYFUNCTION("filter($I$1:$I$500, $J$1:$J$500=D40)"),"Performing Arts")</f>
        <v>Performing Arts</v>
      </c>
      <c r="D40" s="148">
        <v>132.0</v>
      </c>
      <c r="F40" s="149">
        <v>365.0</v>
      </c>
      <c r="G40" s="239" t="s">
        <v>262</v>
      </c>
      <c r="H40" s="151">
        <v>1883.0</v>
      </c>
      <c r="I40" s="158"/>
      <c r="J40" s="158"/>
      <c r="K40" s="158"/>
      <c r="L40" s="159">
        <v>1859.0</v>
      </c>
      <c r="M40" s="160">
        <v>0.0</v>
      </c>
    </row>
    <row r="41">
      <c r="A41" s="59">
        <v>44371.0</v>
      </c>
      <c r="B41" s="60" t="str">
        <f>IFERROR(__xludf.DUMMYFUNCTION("FILTER($G$2:$G$445,$H$2:$H$445=D41)"),"Hellenic Cultural Association")</f>
        <v>Hellenic Cultural Association</v>
      </c>
      <c r="C41" s="60" t="str">
        <f>IFERROR(__xludf.DUMMYFUNCTION("filter($I$1:$I$500, $J$1:$J$500=D41)"),"Cultural")</f>
        <v>Cultural</v>
      </c>
      <c r="D41" s="61">
        <v>136.0</v>
      </c>
      <c r="F41" s="62">
        <v>220.0</v>
      </c>
      <c r="G41" s="224" t="s">
        <v>109</v>
      </c>
      <c r="H41" s="64">
        <v>1574.0</v>
      </c>
      <c r="I41" s="222" t="s">
        <v>13</v>
      </c>
      <c r="J41" s="66">
        <v>1187.0</v>
      </c>
      <c r="K41" s="66"/>
      <c r="L41" s="67">
        <v>1944.0</v>
      </c>
      <c r="M41" s="68">
        <v>150.0</v>
      </c>
    </row>
    <row r="42">
      <c r="A42" s="59">
        <v>44371.0</v>
      </c>
      <c r="B42" s="60" t="str">
        <f>IFERROR(__xludf.DUMMYFUNCTION("FILTER($G$2:$G$445,$H$2:$H$445=D42)"),"Hellenic Cultural Association")</f>
        <v>Hellenic Cultural Association</v>
      </c>
      <c r="C42" s="60" t="str">
        <f>IFERROR(__xludf.DUMMYFUNCTION("filter($I$1:$I$500, $J$1:$J$500=D42)"),"Cultural")</f>
        <v>Cultural</v>
      </c>
      <c r="D42" s="61">
        <v>136.0</v>
      </c>
      <c r="F42" s="62">
        <v>200.0</v>
      </c>
      <c r="G42" s="70" t="s">
        <v>107</v>
      </c>
      <c r="H42" s="64">
        <v>1829.0</v>
      </c>
      <c r="I42" s="72"/>
      <c r="J42" s="72"/>
      <c r="K42" s="72"/>
      <c r="L42" s="73">
        <v>1817.0</v>
      </c>
      <c r="M42" s="74">
        <v>1050.0</v>
      </c>
    </row>
    <row r="43">
      <c r="A43" s="59">
        <v>44371.0</v>
      </c>
      <c r="B43" s="60" t="str">
        <f>IFERROR(__xludf.DUMMYFUNCTION("FILTER($G$2:$G$445,$H$2:$H$445=D43)"),"International Student Association of Rutgers University")</f>
        <v>International Student Association of Rutgers University</v>
      </c>
      <c r="C43" s="60" t="str">
        <f>IFERROR(__xludf.DUMMYFUNCTION("filter($I$1:$I$500, $J$1:$J$500=D43)"),"Cultural")</f>
        <v>Cultural</v>
      </c>
      <c r="D43" s="61">
        <v>142.0</v>
      </c>
      <c r="F43" s="62">
        <v>250.0</v>
      </c>
      <c r="G43" s="224" t="s">
        <v>111</v>
      </c>
      <c r="H43" s="64">
        <v>164.0</v>
      </c>
      <c r="I43" s="222" t="s">
        <v>27</v>
      </c>
      <c r="J43" s="66">
        <v>1186.0</v>
      </c>
      <c r="K43" s="66"/>
      <c r="L43" s="67">
        <v>1960.0</v>
      </c>
      <c r="M43" s="68">
        <v>9590.0</v>
      </c>
    </row>
    <row r="44">
      <c r="A44" s="59">
        <v>44371.0</v>
      </c>
      <c r="B44" s="60" t="str">
        <f>IFERROR(__xludf.DUMMYFUNCTION("FILTER($G$2:$G$445,$H$2:$H$445=D44)"),"International Student Association of Rutgers University")</f>
        <v>International Student Association of Rutgers University</v>
      </c>
      <c r="C44" s="60" t="str">
        <f>IFERROR(__xludf.DUMMYFUNCTION("filter($I$1:$I$500, $J$1:$J$500=D44)"),"Cultural")</f>
        <v>Cultural</v>
      </c>
      <c r="D44" s="61">
        <v>142.0</v>
      </c>
      <c r="F44" s="62">
        <v>450.0</v>
      </c>
      <c r="G44" s="70" t="s">
        <v>125</v>
      </c>
      <c r="H44" s="64">
        <v>1694.0</v>
      </c>
      <c r="I44" s="72"/>
      <c r="J44" s="72"/>
      <c r="K44" s="72"/>
      <c r="L44" s="73">
        <v>1492.0</v>
      </c>
      <c r="M44" s="74">
        <v>0.0</v>
      </c>
    </row>
    <row r="45">
      <c r="A45" s="77">
        <v>44371.0</v>
      </c>
      <c r="B45" s="78" t="str">
        <f>IFERROR(__xludf.DUMMYFUNCTION("FILTER($G$2:$G$445,$H$2:$H$445=D45)"),"Intervarsity Multi-Ethnic Chris")</f>
        <v>Intervarsity Multi-Ethnic Chris</v>
      </c>
      <c r="C45" s="78" t="str">
        <f>IFERROR(__xludf.DUMMYFUNCTION("filter($I$1:$I$500, $J$1:$J$500=D45)"),"Faith-based")</f>
        <v>Faith-based</v>
      </c>
      <c r="D45" s="79">
        <v>145.0</v>
      </c>
      <c r="F45" s="80">
        <v>696.0</v>
      </c>
      <c r="G45" s="93" t="s">
        <v>194</v>
      </c>
      <c r="H45" s="82">
        <v>1572.0</v>
      </c>
      <c r="I45" s="89"/>
      <c r="J45" s="89"/>
      <c r="K45" s="89"/>
      <c r="L45" s="90" t="e">
        <v>#N/A</v>
      </c>
      <c r="M45" s="91">
        <v>0.0</v>
      </c>
    </row>
    <row r="46">
      <c r="A46" s="59">
        <v>44371.0</v>
      </c>
      <c r="B46" s="60" t="str">
        <f>IFERROR(__xludf.DUMMYFUNCTION("FILTER($G$2:$G$445,$H$2:$H$445=D46)"),"Italian Club")</f>
        <v>Italian Club</v>
      </c>
      <c r="C46" s="60" t="str">
        <f>IFERROR(__xludf.DUMMYFUNCTION("filter($I$1:$I$500, $J$1:$J$500=D46)"),"Cultural")</f>
        <v>Cultural</v>
      </c>
      <c r="D46" s="61">
        <v>148.0</v>
      </c>
      <c r="F46" s="76">
        <v>1970.0</v>
      </c>
      <c r="G46" s="224" t="s">
        <v>159</v>
      </c>
      <c r="H46" s="64">
        <v>1940.0</v>
      </c>
      <c r="I46" s="222" t="s">
        <v>30</v>
      </c>
      <c r="J46" s="66">
        <v>1184.0</v>
      </c>
      <c r="K46" s="66"/>
      <c r="L46" s="67">
        <v>1741.0</v>
      </c>
      <c r="M46" s="68">
        <v>1100.0</v>
      </c>
    </row>
    <row r="47">
      <c r="A47" s="59">
        <v>44371.0</v>
      </c>
      <c r="B47" s="60" t="str">
        <f>IFERROR(__xludf.DUMMYFUNCTION("FILTER($G$2:$G$445,$H$2:$H$445=D47)"),"Italian Club")</f>
        <v>Italian Club</v>
      </c>
      <c r="C47" s="60" t="str">
        <f>IFERROR(__xludf.DUMMYFUNCTION("filter($I$1:$I$500, $J$1:$J$500=D47)"),"Cultural")</f>
        <v>Cultural</v>
      </c>
      <c r="D47" s="61">
        <v>148.0</v>
      </c>
      <c r="F47" s="62">
        <v>714.25</v>
      </c>
      <c r="G47" s="224" t="s">
        <v>139</v>
      </c>
      <c r="H47" s="64">
        <v>386.0</v>
      </c>
      <c r="I47" s="72"/>
      <c r="J47" s="72"/>
      <c r="K47" s="72"/>
      <c r="L47" s="73">
        <v>53.0</v>
      </c>
      <c r="M47" s="74">
        <v>0.0</v>
      </c>
    </row>
    <row r="48">
      <c r="A48" s="177">
        <v>44371.0</v>
      </c>
      <c r="B48" s="178" t="str">
        <f>IFERROR(__xludf.DUMMYFUNCTION("FILTER($G$2:$G$445,$H$2:$H$445=D48)"),"Association of International Relations(RUAIR)")</f>
        <v>Association of International Relations(RUAIR)</v>
      </c>
      <c r="C48" s="178" t="str">
        <f>IFERROR(__xludf.DUMMYFUNCTION("filter($I$1:$I$500, $J$1:$J$500=D48)"),"Pre-Professional")</f>
        <v>Pre-Professional</v>
      </c>
      <c r="D48" s="179">
        <v>154.0</v>
      </c>
      <c r="F48" s="180">
        <v>326.15</v>
      </c>
      <c r="G48" s="233" t="s">
        <v>330</v>
      </c>
      <c r="H48" s="182">
        <v>163.0</v>
      </c>
      <c r="I48" s="228" t="s">
        <v>17</v>
      </c>
      <c r="J48" s="184">
        <v>1169.0</v>
      </c>
      <c r="K48" s="184"/>
      <c r="L48" s="184"/>
      <c r="M48" s="184"/>
    </row>
    <row r="49">
      <c r="A49" s="25">
        <v>44371.0</v>
      </c>
      <c r="B49" s="26" t="str">
        <f>IFERROR(__xludf.DUMMYFUNCTION("FILTER($G$2:$G$445,$H$2:$H$445=D49)"),"Debate Union")</f>
        <v>Debate Union</v>
      </c>
      <c r="C49" s="26" t="str">
        <f>IFERROR(__xludf.DUMMYFUNCTION("filter($I$1:$I$500, $J$1:$J$500=D49)"),"Academic")</f>
        <v>Academic</v>
      </c>
      <c r="D49" s="27">
        <v>157.0</v>
      </c>
      <c r="F49" s="28">
        <v>595.0</v>
      </c>
      <c r="G49" s="240" t="s">
        <v>52</v>
      </c>
      <c r="H49" s="30">
        <v>733.0</v>
      </c>
      <c r="I49" s="38"/>
      <c r="J49" s="38"/>
      <c r="K49" s="38"/>
      <c r="L49" s="39">
        <v>1871.0</v>
      </c>
      <c r="M49" s="40">
        <v>0.0</v>
      </c>
    </row>
    <row r="50">
      <c r="A50" s="146">
        <v>44371.0</v>
      </c>
      <c r="B50" s="147" t="str">
        <f>IFERROR(__xludf.DUMMYFUNCTION("FILTER($G$2:$G$445,$H$2:$H$445=D50)"),"Kirkpatrick Choir ")</f>
        <v>Kirkpatrick Choir </v>
      </c>
      <c r="C50" s="147" t="str">
        <f>IFERROR(__xludf.DUMMYFUNCTION("filter($I$1:$I$500, $J$1:$J$500=D50)"),"Performing Arts")</f>
        <v>Performing Arts</v>
      </c>
      <c r="D50" s="148">
        <v>159.0</v>
      </c>
      <c r="F50" s="149">
        <v>950.0</v>
      </c>
      <c r="G50" s="161" t="s">
        <v>277</v>
      </c>
      <c r="H50" s="151">
        <v>575.0</v>
      </c>
      <c r="I50" s="238" t="s">
        <v>13</v>
      </c>
      <c r="J50" s="153">
        <v>1157.0</v>
      </c>
      <c r="K50" s="153"/>
      <c r="L50" s="154">
        <v>494.0</v>
      </c>
      <c r="M50" s="156">
        <v>400.0</v>
      </c>
    </row>
    <row r="51">
      <c r="A51" s="146">
        <v>44371.0</v>
      </c>
      <c r="B51" s="147" t="str">
        <f>IFERROR(__xludf.DUMMYFUNCTION("FILTER($G$2:$G$445,$H$2:$H$445=D51)"),"Kirkpatrick Choir ")</f>
        <v>Kirkpatrick Choir </v>
      </c>
      <c r="C51" s="147" t="str">
        <f>IFERROR(__xludf.DUMMYFUNCTION("filter($I$1:$I$500, $J$1:$J$500=D51)"),"Performing Arts")</f>
        <v>Performing Arts</v>
      </c>
      <c r="D51" s="148">
        <v>159.0</v>
      </c>
      <c r="F51" s="149">
        <v>112.0</v>
      </c>
      <c r="G51" s="161" t="s">
        <v>252</v>
      </c>
      <c r="H51" s="151">
        <v>271.0</v>
      </c>
      <c r="I51" s="158"/>
      <c r="J51" s="158"/>
      <c r="K51" s="158"/>
      <c r="L51" s="159">
        <v>293.0</v>
      </c>
      <c r="M51" s="160">
        <v>0.0</v>
      </c>
    </row>
    <row r="52">
      <c r="A52" s="77">
        <v>44371.0</v>
      </c>
      <c r="B52" s="78" t="str">
        <f>IFERROR(__xludf.DUMMYFUNCTION("FILTER($G$2:$G$445,$H$2:$H$445=D52)"),"Korean Christian Fellowship")</f>
        <v>Korean Christian Fellowship</v>
      </c>
      <c r="C52" s="78" t="str">
        <f>IFERROR(__xludf.DUMMYFUNCTION("filter($I$1:$I$500, $J$1:$J$500=D52)"),"Faith-based")</f>
        <v>Faith-based</v>
      </c>
      <c r="D52" s="79">
        <v>163.0</v>
      </c>
      <c r="F52" s="80">
        <v>94.93</v>
      </c>
      <c r="G52" s="93" t="s">
        <v>177</v>
      </c>
      <c r="H52" s="82">
        <v>1079.0</v>
      </c>
      <c r="I52" s="234" t="s">
        <v>13</v>
      </c>
      <c r="J52" s="84">
        <v>1155.0</v>
      </c>
      <c r="K52" s="84"/>
      <c r="L52" s="85">
        <v>230.0</v>
      </c>
      <c r="M52" s="86">
        <v>0.0</v>
      </c>
    </row>
    <row r="53">
      <c r="A53" s="59">
        <v>44371.0</v>
      </c>
      <c r="B53" s="60" t="str">
        <f>IFERROR(__xludf.DUMMYFUNCTION("FILTER($G$2:$G$445,$H$2:$H$445=D53)"),"Korean Student Association")</f>
        <v>Korean Student Association</v>
      </c>
      <c r="C53" s="60" t="str">
        <f>IFERROR(__xludf.DUMMYFUNCTION("filter($I$1:$I$500, $J$1:$J$500=D53)"),"Cultural")</f>
        <v>Cultural</v>
      </c>
      <c r="D53" s="61">
        <v>164.0</v>
      </c>
      <c r="F53" s="62">
        <v>750.0</v>
      </c>
      <c r="G53" s="70" t="s">
        <v>141</v>
      </c>
      <c r="H53" s="64">
        <v>222.0</v>
      </c>
      <c r="I53" s="222" t="s">
        <v>37</v>
      </c>
      <c r="J53" s="66">
        <v>1143.0</v>
      </c>
      <c r="K53" s="66"/>
      <c r="L53" s="67">
        <v>136.0</v>
      </c>
      <c r="M53" s="68">
        <v>220.0</v>
      </c>
    </row>
    <row r="54">
      <c r="A54" s="59">
        <v>44371.0</v>
      </c>
      <c r="B54" s="60" t="str">
        <f>IFERROR(__xludf.DUMMYFUNCTION("FILTER($G$2:$G$445,$H$2:$H$445=D54)"),"Korean Student Association")</f>
        <v>Korean Student Association</v>
      </c>
      <c r="C54" s="60" t="str">
        <f>IFERROR(__xludf.DUMMYFUNCTION("filter($I$1:$I$500, $J$1:$J$500=D54)"),"Cultural")</f>
        <v>Cultural</v>
      </c>
      <c r="D54" s="61">
        <v>164.0</v>
      </c>
      <c r="F54" s="62">
        <v>224.0</v>
      </c>
      <c r="G54" s="70" t="s">
        <v>110</v>
      </c>
      <c r="H54" s="64">
        <v>615.0</v>
      </c>
      <c r="I54" s="72"/>
      <c r="J54" s="72"/>
      <c r="K54" s="72"/>
      <c r="L54" s="73">
        <v>661.0</v>
      </c>
      <c r="M54" s="74">
        <v>730.0</v>
      </c>
    </row>
    <row r="55">
      <c r="A55" s="43">
        <v>44371.0</v>
      </c>
      <c r="B55" s="44" t="str">
        <f>IFERROR(__xludf.DUMMYFUNCTION("FILTER($G$2:$G$445,$H$2:$H$445=D55)"),"Big Buddy")</f>
        <v>Big Buddy</v>
      </c>
      <c r="C55" s="44" t="str">
        <f>IFERROR(__xludf.DUMMYFUNCTION("filter($I$1:$I$500, $J$1:$J$500=D55)"),"Community Service")</f>
        <v>Community Service</v>
      </c>
      <c r="D55" s="45">
        <v>170.0</v>
      </c>
      <c r="F55" s="46">
        <v>225.0</v>
      </c>
      <c r="G55" s="230" t="s">
        <v>78</v>
      </c>
      <c r="H55" s="48">
        <v>1797.0</v>
      </c>
      <c r="I55" s="231" t="s">
        <v>25</v>
      </c>
      <c r="J55" s="50">
        <v>1141.0</v>
      </c>
      <c r="K55" s="50"/>
      <c r="L55" s="51">
        <v>211.0</v>
      </c>
      <c r="M55" s="52">
        <v>870.0</v>
      </c>
    </row>
    <row r="56">
      <c r="A56" s="43">
        <v>44371.0</v>
      </c>
      <c r="B56" s="44" t="str">
        <f>IFERROR(__xludf.DUMMYFUNCTION("FILTER($G$2:$G$445,$H$2:$H$445=D56)"),"Big Buddy")</f>
        <v>Big Buddy</v>
      </c>
      <c r="C56" s="44" t="str">
        <f>IFERROR(__xludf.DUMMYFUNCTION("filter($I$1:$I$500, $J$1:$J$500=D56)"),"Community Service")</f>
        <v>Community Service</v>
      </c>
      <c r="D56" s="45">
        <v>170.0</v>
      </c>
      <c r="F56" s="46">
        <v>920.8</v>
      </c>
      <c r="G56" s="230" t="s">
        <v>87</v>
      </c>
      <c r="H56" s="48">
        <v>1974.0</v>
      </c>
      <c r="I56" s="231" t="s">
        <v>69</v>
      </c>
      <c r="J56" s="50">
        <v>1972.0</v>
      </c>
      <c r="K56" s="50"/>
      <c r="L56" s="51">
        <v>722.0</v>
      </c>
      <c r="M56" s="52">
        <v>8000.0</v>
      </c>
    </row>
    <row r="57">
      <c r="A57" s="146">
        <v>44371.0</v>
      </c>
      <c r="B57" s="147" t="str">
        <f>IFERROR(__xludf.DUMMYFUNCTION("FILTER($G$2:$G$445,$H$2:$H$445=D57)"),"Chinese Dance Troupe ")</f>
        <v>Chinese Dance Troupe </v>
      </c>
      <c r="C57" s="147" t="str">
        <f>IFERROR(__xludf.DUMMYFUNCTION("filter($I$1:$I$500, $J$1:$J$500=D57)"),"Performing Arts")</f>
        <v>Performing Arts</v>
      </c>
      <c r="D57" s="148">
        <v>178.0</v>
      </c>
      <c r="F57" s="163">
        <v>2374.76</v>
      </c>
      <c r="G57" s="239" t="s">
        <v>281</v>
      </c>
      <c r="H57" s="151">
        <v>159.0</v>
      </c>
      <c r="I57" s="238" t="s">
        <v>25</v>
      </c>
      <c r="J57" s="153">
        <v>1125.0</v>
      </c>
      <c r="K57" s="153"/>
      <c r="L57" s="154">
        <v>1141.0</v>
      </c>
      <c r="M57" s="154">
        <v>1100.0</v>
      </c>
    </row>
    <row r="58">
      <c r="A58" s="146">
        <v>44371.0</v>
      </c>
      <c r="B58" s="147" t="str">
        <f>IFERROR(__xludf.DUMMYFUNCTION("FILTER($G$2:$G$445,$H$2:$H$445=D58)"),"Chinese Dance Troupe ")</f>
        <v>Chinese Dance Troupe </v>
      </c>
      <c r="C58" s="147" t="str">
        <f>IFERROR(__xludf.DUMMYFUNCTION("filter($I$1:$I$500, $J$1:$J$500=D58)"),"Performing Arts")</f>
        <v>Performing Arts</v>
      </c>
      <c r="D58" s="148">
        <v>178.0</v>
      </c>
      <c r="F58" s="149">
        <v>439.0</v>
      </c>
      <c r="G58" s="161" t="s">
        <v>266</v>
      </c>
      <c r="H58" s="151">
        <v>773.0</v>
      </c>
      <c r="I58" s="238" t="s">
        <v>69</v>
      </c>
      <c r="J58" s="153">
        <v>1963.0</v>
      </c>
      <c r="K58" s="153"/>
      <c r="L58" s="154">
        <v>391.0</v>
      </c>
      <c r="M58" s="156">
        <v>0.0</v>
      </c>
    </row>
    <row r="59">
      <c r="A59" s="146">
        <v>44371.0</v>
      </c>
      <c r="B59" s="147" t="str">
        <f>IFERROR(__xludf.DUMMYFUNCTION("FILTER($G$2:$G$445,$H$2:$H$445=D59)"),"ACDA")</f>
        <v>ACDA</v>
      </c>
      <c r="C59" s="147" t="str">
        <f>IFERROR(__xludf.DUMMYFUNCTION("filter($I$1:$I$500, $J$1:$J$500=D59)"),"Performing Arts")</f>
        <v>Performing Arts</v>
      </c>
      <c r="D59" s="148">
        <v>196.0</v>
      </c>
      <c r="F59" s="163">
        <v>1400.0</v>
      </c>
      <c r="G59" s="161" t="s">
        <v>279</v>
      </c>
      <c r="H59" s="151">
        <v>380.0</v>
      </c>
      <c r="I59" s="238" t="s">
        <v>27</v>
      </c>
      <c r="J59" s="153">
        <v>1123.0</v>
      </c>
      <c r="K59" s="153"/>
      <c r="L59" s="154">
        <v>1777.0</v>
      </c>
      <c r="M59" s="156">
        <v>0.0</v>
      </c>
    </row>
    <row r="60">
      <c r="A60" s="146">
        <v>44371.0</v>
      </c>
      <c r="B60" s="147" t="str">
        <f>IFERROR(__xludf.DUMMYFUNCTION("FILTER($G$2:$G$445,$H$2:$H$445=D60)"),"ACDA")</f>
        <v>ACDA</v>
      </c>
      <c r="C60" s="147" t="str">
        <f>IFERROR(__xludf.DUMMYFUNCTION("filter($I$1:$I$500, $J$1:$J$500=D60)"),"Performing Arts")</f>
        <v>Performing Arts</v>
      </c>
      <c r="D60" s="148">
        <v>196.0</v>
      </c>
      <c r="F60" s="149">
        <v>180.0</v>
      </c>
      <c r="G60" s="239" t="s">
        <v>254</v>
      </c>
      <c r="H60" s="151">
        <v>1415.0</v>
      </c>
      <c r="I60" s="238" t="s">
        <v>69</v>
      </c>
      <c r="J60" s="153">
        <v>1962.0</v>
      </c>
      <c r="K60" s="153"/>
      <c r="L60" s="154">
        <v>74.0</v>
      </c>
      <c r="M60" s="156">
        <v>4200.0</v>
      </c>
    </row>
    <row r="61">
      <c r="A61" s="177">
        <v>44371.0</v>
      </c>
      <c r="B61" s="178" t="str">
        <f>IFERROR(__xludf.DUMMYFUNCTION("FILTER($G$2:$G$445,$H$2:$H$445=D61)"),"Women in Computer Science")</f>
        <v>Women in Computer Science</v>
      </c>
      <c r="C61" s="178" t="str">
        <f>IFERROR(__xludf.DUMMYFUNCTION("filter($I$1:$I$500, $J$1:$J$500=D61)"),"Pre-Professional")</f>
        <v>Pre-Professional</v>
      </c>
      <c r="D61" s="179">
        <v>209.0</v>
      </c>
      <c r="F61" s="191">
        <v>1192.08</v>
      </c>
      <c r="G61" s="227" t="s">
        <v>350</v>
      </c>
      <c r="H61" s="182">
        <v>1939.0</v>
      </c>
      <c r="I61" s="228" t="s">
        <v>27</v>
      </c>
      <c r="J61" s="184">
        <v>1119.0</v>
      </c>
      <c r="K61" s="184"/>
      <c r="L61" s="184"/>
      <c r="M61" s="184"/>
    </row>
    <row r="62">
      <c r="A62" s="177">
        <v>44371.0</v>
      </c>
      <c r="B62" s="178" t="str">
        <f>IFERROR(__xludf.DUMMYFUNCTION("FILTER($G$2:$G$445,$H$2:$H$445=D62)"),"Women in Computer Science")</f>
        <v>Women in Computer Science</v>
      </c>
      <c r="C62" s="178" t="str">
        <f>IFERROR(__xludf.DUMMYFUNCTION("filter($I$1:$I$500, $J$1:$J$500=D62)"),"Pre-Professional")</f>
        <v>Pre-Professional</v>
      </c>
      <c r="D62" s="179">
        <v>209.0</v>
      </c>
      <c r="F62" s="191">
        <v>2155.0</v>
      </c>
      <c r="G62" s="233" t="s">
        <v>353</v>
      </c>
      <c r="H62" s="182">
        <v>149.0</v>
      </c>
      <c r="I62" s="228" t="s">
        <v>19</v>
      </c>
      <c r="J62" s="184">
        <v>1961.0</v>
      </c>
      <c r="K62" s="184"/>
      <c r="L62" s="184"/>
      <c r="M62" s="184"/>
    </row>
    <row r="63">
      <c r="A63" s="107">
        <v>44371.0</v>
      </c>
      <c r="B63" s="108" t="str">
        <f>IFERROR(__xludf.DUMMYFUNCTION("FILTER($G$2:$G$445,$H$2:$H$445=D63)"),"Outdoors Club")</f>
        <v>Outdoors Club</v>
      </c>
      <c r="C63" s="108" t="str">
        <f>IFERROR(__xludf.DUMMYFUNCTION("filter($I$1:$I$500, $J$1:$J$500=D63)"),"Leisure")</f>
        <v>Leisure</v>
      </c>
      <c r="D63" s="109">
        <v>217.0</v>
      </c>
      <c r="F63" s="110">
        <v>247.0</v>
      </c>
      <c r="G63" s="241" t="s">
        <v>226</v>
      </c>
      <c r="H63" s="112">
        <v>1274.0</v>
      </c>
      <c r="I63" s="242" t="s">
        <v>13</v>
      </c>
      <c r="J63" s="114">
        <v>1960.0</v>
      </c>
      <c r="K63" s="114"/>
      <c r="L63" s="115">
        <v>1775.0</v>
      </c>
      <c r="M63" s="116">
        <v>0.0</v>
      </c>
    </row>
    <row r="64">
      <c r="A64" s="59">
        <v>44371.0</v>
      </c>
      <c r="B64" s="60" t="str">
        <f>IFERROR(__xludf.DUMMYFUNCTION("FILTER($G$2:$G$445,$H$2:$H$445=D64)"),"Haitian Association")</f>
        <v>Haitian Association</v>
      </c>
      <c r="C64" s="60" t="str">
        <f>IFERROR(__xludf.DUMMYFUNCTION("filter($I$1:$I$500, $J$1:$J$500=D64)"),"Cultural")</f>
        <v>Cultural</v>
      </c>
      <c r="D64" s="61">
        <v>218.0</v>
      </c>
      <c r="F64" s="62">
        <v>263.0</v>
      </c>
      <c r="G64" s="224" t="s">
        <v>112</v>
      </c>
      <c r="H64" s="64">
        <v>1542.0</v>
      </c>
      <c r="I64" s="224" t="s">
        <v>22</v>
      </c>
      <c r="J64" s="66">
        <v>1108.0</v>
      </c>
      <c r="K64" s="66"/>
      <c r="L64" s="67">
        <v>1786.0</v>
      </c>
      <c r="M64" s="68">
        <v>0.0</v>
      </c>
    </row>
    <row r="65">
      <c r="A65" s="146">
        <v>44371.0</v>
      </c>
      <c r="B65" s="147" t="str">
        <f>IFERROR(__xludf.DUMMYFUNCTION("FILTER($G$2:$G$445,$H$2:$H$445=D65)"),"Kol Halayla")</f>
        <v>Kol Halayla</v>
      </c>
      <c r="C65" s="147" t="str">
        <f>IFERROR(__xludf.DUMMYFUNCTION("filter($I$1:$I$500, $J$1:$J$500=D65)"),"Performing Arts")</f>
        <v>Performing Arts</v>
      </c>
      <c r="D65" s="148">
        <v>222.0</v>
      </c>
      <c r="F65" s="149">
        <v>100.0</v>
      </c>
      <c r="G65" s="161" t="s">
        <v>249</v>
      </c>
      <c r="H65" s="151">
        <v>1568.0</v>
      </c>
      <c r="I65" s="239" t="s">
        <v>27</v>
      </c>
      <c r="J65" s="153">
        <v>1103.0</v>
      </c>
      <c r="K65" s="153"/>
      <c r="L65" s="154">
        <v>663.0</v>
      </c>
      <c r="M65" s="156">
        <v>0.0</v>
      </c>
    </row>
    <row r="66">
      <c r="A66" s="146">
        <v>44371.0</v>
      </c>
      <c r="B66" s="147" t="str">
        <f>IFERROR(__xludf.DUMMYFUNCTION("FILTER($G$2:$G$445,$H$2:$H$445=D66)"),"Kol Halayla")</f>
        <v>Kol Halayla</v>
      </c>
      <c r="C66" s="147" t="str">
        <f>IFERROR(__xludf.DUMMYFUNCTION("filter($I$1:$I$500, $J$1:$J$500=D66)"),"Performing Arts")</f>
        <v>Performing Arts</v>
      </c>
      <c r="D66" s="148">
        <v>222.0</v>
      </c>
      <c r="F66" s="149">
        <v>100.0</v>
      </c>
      <c r="G66" s="161" t="s">
        <v>250</v>
      </c>
      <c r="H66" s="151">
        <v>495.0</v>
      </c>
      <c r="I66" s="238" t="s">
        <v>69</v>
      </c>
      <c r="J66" s="153">
        <v>1959.0</v>
      </c>
      <c r="K66" s="153"/>
      <c r="L66" s="154">
        <v>346.0</v>
      </c>
      <c r="M66" s="156">
        <v>0.0</v>
      </c>
    </row>
    <row r="67">
      <c r="A67" s="59">
        <v>44371.0</v>
      </c>
      <c r="B67" s="60" t="str">
        <f>IFERROR(__xludf.DUMMYFUNCTION("FILTER($G$2:$G$445,$H$2:$H$445=D67)"),"Polish Club")</f>
        <v>Polish Club</v>
      </c>
      <c r="C67" s="60" t="str">
        <f>IFERROR(__xludf.DUMMYFUNCTION("filter($I$1:$I$500, $J$1:$J$500=D67)"),"Cultural")</f>
        <v>Cultural</v>
      </c>
      <c r="D67" s="61">
        <v>230.0</v>
      </c>
      <c r="F67" s="62">
        <v>539.0</v>
      </c>
      <c r="G67" s="70" t="s">
        <v>131</v>
      </c>
      <c r="H67" s="64">
        <v>437.0</v>
      </c>
      <c r="I67" s="222" t="s">
        <v>15</v>
      </c>
      <c r="J67" s="66">
        <v>1958.0</v>
      </c>
      <c r="K67" s="66"/>
      <c r="L67" s="67">
        <v>1412.0</v>
      </c>
      <c r="M67" s="68">
        <v>300.0</v>
      </c>
    </row>
    <row r="68">
      <c r="A68" s="164">
        <v>44371.0</v>
      </c>
      <c r="B68" s="165" t="str">
        <f>IFERROR(__xludf.DUMMYFUNCTION("FILTER($G$2:$G$445,$H$2:$H$445=D68)"),"Operation Smile")</f>
        <v>Operation Smile</v>
      </c>
      <c r="C68" s="165" t="str">
        <f>IFERROR(__xludf.DUMMYFUNCTION("filter($I$1:$I$500, $J$1:$J$500=D68)"),"Philanthropic")</f>
        <v>Philanthropic</v>
      </c>
      <c r="D68" s="166">
        <v>232.0</v>
      </c>
      <c r="F68" s="167">
        <v>440.14</v>
      </c>
      <c r="G68" s="243" t="s">
        <v>305</v>
      </c>
      <c r="H68" s="169">
        <v>21.0</v>
      </c>
      <c r="I68" s="244" t="s">
        <v>43</v>
      </c>
      <c r="J68" s="171">
        <v>1091.0</v>
      </c>
      <c r="K68" s="171"/>
      <c r="L68" s="172">
        <v>209.0</v>
      </c>
      <c r="M68" s="173">
        <v>1300.0</v>
      </c>
    </row>
    <row r="69">
      <c r="A69" s="164">
        <v>44371.0</v>
      </c>
      <c r="B69" s="165" t="str">
        <f>IFERROR(__xludf.DUMMYFUNCTION("FILTER($G$2:$G$445,$H$2:$H$445=D69)"),"Operation Smile")</f>
        <v>Operation Smile</v>
      </c>
      <c r="C69" s="165" t="str">
        <f>IFERROR(__xludf.DUMMYFUNCTION("filter($I$1:$I$500, $J$1:$J$500=D69)"),"Philanthropic")</f>
        <v>Philanthropic</v>
      </c>
      <c r="D69" s="166">
        <v>232.0</v>
      </c>
      <c r="F69" s="167">
        <v>433.12</v>
      </c>
      <c r="G69" s="243" t="s">
        <v>304</v>
      </c>
      <c r="H69" s="169">
        <v>1475.0</v>
      </c>
      <c r="I69" s="244" t="s">
        <v>30</v>
      </c>
      <c r="J69" s="171">
        <v>1957.0</v>
      </c>
      <c r="K69" s="171"/>
      <c r="L69" s="171"/>
      <c r="M69" s="171"/>
    </row>
    <row r="70">
      <c r="A70" s="43">
        <v>44371.0</v>
      </c>
      <c r="B70" s="44" t="str">
        <f>IFERROR(__xludf.DUMMYFUNCTION("FILTER($G$2:$G$445,$H$2:$H$445=D70)"),"Reach Out And Read")</f>
        <v>Reach Out And Read</v>
      </c>
      <c r="C70" s="44" t="str">
        <f>IFERROR(__xludf.DUMMYFUNCTION("filter($I$1:$I$500, $J$1:$J$500=D70)"),"Community Service")</f>
        <v>Community Service</v>
      </c>
      <c r="D70" s="45">
        <v>244.0</v>
      </c>
      <c r="F70" s="46">
        <v>61.47</v>
      </c>
      <c r="G70" s="230" t="s">
        <v>67</v>
      </c>
      <c r="H70" s="48">
        <v>1143.0</v>
      </c>
      <c r="I70" s="231" t="s">
        <v>37</v>
      </c>
      <c r="J70" s="50">
        <v>1084.0</v>
      </c>
      <c r="K70" s="50"/>
      <c r="L70" s="51">
        <v>1478.0</v>
      </c>
      <c r="M70" s="52">
        <v>400.0</v>
      </c>
    </row>
    <row r="71">
      <c r="A71" s="43">
        <v>44371.0</v>
      </c>
      <c r="B71" s="44" t="str">
        <f>IFERROR(__xludf.DUMMYFUNCTION("FILTER($G$2:$G$445,$H$2:$H$445=D71)"),"Reach Out And Read")</f>
        <v>Reach Out And Read</v>
      </c>
      <c r="C71" s="44" t="str">
        <f>IFERROR(__xludf.DUMMYFUNCTION("filter($I$1:$I$500, $J$1:$J$500=D71)"),"Community Service")</f>
        <v>Community Service</v>
      </c>
      <c r="D71" s="45">
        <v>244.0</v>
      </c>
      <c r="F71" s="46">
        <v>84.0</v>
      </c>
      <c r="G71" s="232" t="s">
        <v>68</v>
      </c>
      <c r="H71" s="48">
        <v>833.0</v>
      </c>
      <c r="I71" s="231" t="s">
        <v>69</v>
      </c>
      <c r="J71" s="50">
        <v>1956.0</v>
      </c>
      <c r="K71" s="50"/>
      <c r="L71" s="51">
        <v>1662.0</v>
      </c>
      <c r="M71" s="52">
        <v>0.0</v>
      </c>
    </row>
    <row r="72">
      <c r="A72" s="146">
        <v>44371.0</v>
      </c>
      <c r="B72" s="147" t="str">
        <f>IFERROR(__xludf.DUMMYFUNCTION("FILTER($G$2:$G$445,$H$2:$H$445=D72)"),"Queens Chorale")</f>
        <v>Queens Chorale</v>
      </c>
      <c r="C72" s="147" t="str">
        <f>IFERROR(__xludf.DUMMYFUNCTION("filter($I$1:$I$500, $J$1:$J$500=D72)"),"Performing Arts")</f>
        <v>Performing Arts</v>
      </c>
      <c r="D72" s="148">
        <v>269.0</v>
      </c>
      <c r="F72" s="149">
        <v>600.0</v>
      </c>
      <c r="G72" s="161" t="s">
        <v>272</v>
      </c>
      <c r="H72" s="151">
        <v>1396.0</v>
      </c>
      <c r="I72" s="238" t="s">
        <v>13</v>
      </c>
      <c r="J72" s="153">
        <v>1079.0</v>
      </c>
      <c r="K72" s="153"/>
      <c r="L72" s="154">
        <v>1883.0</v>
      </c>
      <c r="M72" s="156">
        <v>0.0</v>
      </c>
    </row>
    <row r="73">
      <c r="A73" s="146">
        <v>44371.0</v>
      </c>
      <c r="B73" s="147" t="str">
        <f>IFERROR(__xludf.DUMMYFUNCTION("FILTER($G$2:$G$445,$H$2:$H$445=D73)"),"Queens Chorale")</f>
        <v>Queens Chorale</v>
      </c>
      <c r="C73" s="147" t="str">
        <f>IFERROR(__xludf.DUMMYFUNCTION("filter($I$1:$I$500, $J$1:$J$500=D73)"),"Performing Arts")</f>
        <v>Performing Arts</v>
      </c>
      <c r="D73" s="148">
        <v>269.0</v>
      </c>
      <c r="F73" s="149">
        <v>125.0</v>
      </c>
      <c r="G73" s="161" t="s">
        <v>253</v>
      </c>
      <c r="H73" s="151">
        <v>721.0</v>
      </c>
      <c r="I73" s="238" t="s">
        <v>19</v>
      </c>
      <c r="J73" s="153">
        <v>1954.0</v>
      </c>
      <c r="K73" s="153"/>
      <c r="L73" s="154">
        <v>1239.0</v>
      </c>
      <c r="M73" s="156">
        <v>0.0</v>
      </c>
    </row>
    <row r="74">
      <c r="A74" s="177">
        <v>44371.0</v>
      </c>
      <c r="B74" s="178" t="str">
        <f>IFERROR(__xludf.DUMMYFUNCTION("FILTER($G$2:$G$445,$H$2:$H$445=D74)"),"Society of Professional Journalists")</f>
        <v>Society of Professional Journalists</v>
      </c>
      <c r="C74" s="178" t="str">
        <f>IFERROR(__xludf.DUMMYFUNCTION("filter($I$1:$I$500, $J$1:$J$500=D74)"),"Pre-Professional")</f>
        <v>Pre-Professional</v>
      </c>
      <c r="D74" s="179">
        <v>271.0</v>
      </c>
      <c r="F74" s="180">
        <v>800.0</v>
      </c>
      <c r="G74" s="227" t="s">
        <v>341</v>
      </c>
      <c r="H74" s="182">
        <v>1875.0</v>
      </c>
      <c r="I74" s="228" t="s">
        <v>34</v>
      </c>
      <c r="J74" s="184">
        <v>1078.0</v>
      </c>
      <c r="K74" s="184"/>
      <c r="L74" s="184"/>
      <c r="M74" s="184"/>
    </row>
    <row r="75">
      <c r="A75" s="59">
        <v>44371.0</v>
      </c>
      <c r="B75" s="60" t="str">
        <f>IFERROR(__xludf.DUMMYFUNCTION("FILTER($G$2:$G$445,$H$2:$H$445=D75)"),"Organization of Luso-Americans")</f>
        <v>Organization of Luso-Americans</v>
      </c>
      <c r="C75" s="60" t="str">
        <f>IFERROR(__xludf.DUMMYFUNCTION("filter($I$1:$I$500, $J$1:$J$500=D75)"),"Cultural")</f>
        <v>Cultural</v>
      </c>
      <c r="D75" s="61">
        <v>287.0</v>
      </c>
      <c r="F75" s="62">
        <v>28.0</v>
      </c>
      <c r="G75" s="70" t="s">
        <v>95</v>
      </c>
      <c r="H75" s="64">
        <v>1012.0</v>
      </c>
      <c r="I75" s="222" t="s">
        <v>13</v>
      </c>
      <c r="J75" s="66">
        <v>1953.0</v>
      </c>
      <c r="K75" s="66"/>
      <c r="L75" s="67">
        <v>72.0</v>
      </c>
      <c r="M75" s="68">
        <v>0.0</v>
      </c>
    </row>
    <row r="76">
      <c r="A76" s="177">
        <v>44371.0</v>
      </c>
      <c r="B76" s="178" t="str">
        <f>IFERROR(__xludf.DUMMYFUNCTION("FILTER($G$2:$G$445,$H$2:$H$445=D76)"),"American Medical Student Association")</f>
        <v>American Medical Student Association</v>
      </c>
      <c r="C76" s="178" t="str">
        <f>IFERROR(__xludf.DUMMYFUNCTION("filter($I$1:$I$500, $J$1:$J$500=D76)"),"Pre-Professional")</f>
        <v>Pre-Professional</v>
      </c>
      <c r="D76" s="179">
        <v>291.0</v>
      </c>
      <c r="F76" s="191">
        <v>3890.0</v>
      </c>
      <c r="G76" s="233" t="s">
        <v>356</v>
      </c>
      <c r="H76" s="182">
        <v>1124.0</v>
      </c>
      <c r="I76" s="228" t="s">
        <v>17</v>
      </c>
      <c r="J76" s="184">
        <v>1063.0</v>
      </c>
      <c r="K76" s="184"/>
      <c r="L76" s="184"/>
      <c r="M76" s="184"/>
    </row>
    <row r="77">
      <c r="A77" s="177">
        <v>44371.0</v>
      </c>
      <c r="B77" s="178" t="str">
        <f>IFERROR(__xludf.DUMMYFUNCTION("FILTER($G$2:$G$445,$H$2:$H$445=D77)"),"American Medical Student Association")</f>
        <v>American Medical Student Association</v>
      </c>
      <c r="C77" s="178" t="str">
        <f>IFERROR(__xludf.DUMMYFUNCTION("filter($I$1:$I$500, $J$1:$J$500=D77)"),"Pre-Professional")</f>
        <v>Pre-Professional</v>
      </c>
      <c r="D77" s="179">
        <v>291.0</v>
      </c>
      <c r="F77" s="180">
        <v>825.0</v>
      </c>
      <c r="G77" s="233" t="s">
        <v>342</v>
      </c>
      <c r="H77" s="182">
        <v>1496.0</v>
      </c>
      <c r="I77" s="228" t="s">
        <v>15</v>
      </c>
      <c r="J77" s="184">
        <v>1952.0</v>
      </c>
      <c r="K77" s="184"/>
      <c r="L77" s="184"/>
      <c r="M77" s="184"/>
    </row>
    <row r="78">
      <c r="A78" s="43">
        <v>44371.0</v>
      </c>
      <c r="B78" s="44" t="str">
        <f>IFERROR(__xludf.DUMMYFUNCTION("FILTER($G$2:$G$445,$H$2:$H$445=D78)"),"Habitat for Humanity")</f>
        <v>Habitat for Humanity</v>
      </c>
      <c r="C78" s="44" t="str">
        <f>IFERROR(__xludf.DUMMYFUNCTION("filter($I$1:$I$500, $J$1:$J$500=D78)"),"Community Service")</f>
        <v>Community Service</v>
      </c>
      <c r="D78" s="45">
        <v>292.0</v>
      </c>
      <c r="F78" s="46">
        <v>300.0</v>
      </c>
      <c r="G78" s="232" t="s">
        <v>83</v>
      </c>
      <c r="H78" s="48">
        <v>614.0</v>
      </c>
      <c r="I78" s="231" t="s">
        <v>19</v>
      </c>
      <c r="J78" s="50">
        <v>1055.0</v>
      </c>
      <c r="K78" s="50"/>
      <c r="L78" s="51">
        <v>69.0</v>
      </c>
      <c r="M78" s="51">
        <v>0.0</v>
      </c>
    </row>
    <row r="79">
      <c r="A79" s="43">
        <v>44371.0</v>
      </c>
      <c r="B79" s="44" t="str">
        <f>IFERROR(__xludf.DUMMYFUNCTION("FILTER($G$2:$G$445,$H$2:$H$445=D79)"),"Habitat for Humanity")</f>
        <v>Habitat for Humanity</v>
      </c>
      <c r="C79" s="44" t="str">
        <f>IFERROR(__xludf.DUMMYFUNCTION("filter($I$1:$I$500, $J$1:$J$500=D79)"),"Community Service")</f>
        <v>Community Service</v>
      </c>
      <c r="D79" s="45">
        <v>292.0</v>
      </c>
      <c r="F79" s="46">
        <v>300.0</v>
      </c>
      <c r="G79" s="232" t="s">
        <v>84</v>
      </c>
      <c r="H79" s="48">
        <v>1543.0</v>
      </c>
      <c r="I79" s="231" t="s">
        <v>30</v>
      </c>
      <c r="J79" s="50">
        <v>1951.0</v>
      </c>
      <c r="K79" s="50"/>
      <c r="L79" s="51">
        <v>29.0</v>
      </c>
      <c r="M79" s="52">
        <v>1500.0</v>
      </c>
    </row>
    <row r="80">
      <c r="A80" s="59">
        <v>44371.0</v>
      </c>
      <c r="B80" s="60" t="str">
        <f>IFERROR(__xludf.DUMMYFUNCTION("FILTER($G$2:$G$445,$H$2:$H$445=D80)"),"Association of Phillipine Students")</f>
        <v>Association of Phillipine Students</v>
      </c>
      <c r="C80" s="60" t="str">
        <f>IFERROR(__xludf.DUMMYFUNCTION("filter($I$1:$I$500, $J$1:$J$500=D80)"),"Cultural")</f>
        <v>Cultural</v>
      </c>
      <c r="D80" s="61">
        <v>295.0</v>
      </c>
      <c r="F80" s="76">
        <v>2400.0</v>
      </c>
      <c r="G80" s="224" t="s">
        <v>160</v>
      </c>
      <c r="H80" s="64">
        <v>1575.0</v>
      </c>
      <c r="I80" s="222" t="s">
        <v>27</v>
      </c>
      <c r="J80" s="66">
        <v>1054.0</v>
      </c>
      <c r="K80" s="66"/>
      <c r="L80" s="67">
        <v>1717.0</v>
      </c>
      <c r="M80" s="68">
        <v>210.0</v>
      </c>
    </row>
    <row r="81">
      <c r="A81" s="59">
        <v>44371.0</v>
      </c>
      <c r="B81" s="60" t="str">
        <f>IFERROR(__xludf.DUMMYFUNCTION("FILTER($G$2:$G$445,$H$2:$H$445=D81)"),"Association of Phillipine Students")</f>
        <v>Association of Phillipine Students</v>
      </c>
      <c r="C81" s="60" t="str">
        <f>IFERROR(__xludf.DUMMYFUNCTION("filter($I$1:$I$500, $J$1:$J$500=D81)"),"Cultural")</f>
        <v>Cultural</v>
      </c>
      <c r="D81" s="61">
        <v>295.0</v>
      </c>
      <c r="F81" s="62">
        <v>450.0</v>
      </c>
      <c r="G81" s="70" t="s">
        <v>123</v>
      </c>
      <c r="H81" s="64">
        <v>1773.0</v>
      </c>
      <c r="I81" s="222" t="s">
        <v>124</v>
      </c>
      <c r="J81" s="66">
        <v>1950.0</v>
      </c>
      <c r="K81" s="66"/>
      <c r="L81" s="67">
        <v>1899.0</v>
      </c>
      <c r="M81" s="68">
        <v>300.0</v>
      </c>
    </row>
    <row r="82">
      <c r="A82" s="77">
        <v>44371.0</v>
      </c>
      <c r="B82" s="78" t="str">
        <f>IFERROR(__xludf.DUMMYFUNCTION("FILTER($G$2:$G$445,$H$2:$H$445=D82)"),"Jewish Student Union")</f>
        <v>Jewish Student Union</v>
      </c>
      <c r="C82" s="78" t="str">
        <f>IFERROR(__xludf.DUMMYFUNCTION("filter($I$1:$I$500, $J$1:$J$500=D82)"),"Faith-based")</f>
        <v>Faith-based</v>
      </c>
      <c r="D82" s="79">
        <v>301.0</v>
      </c>
      <c r="F82" s="80">
        <v>905.0</v>
      </c>
      <c r="G82" s="93" t="s">
        <v>198</v>
      </c>
      <c r="H82" s="82">
        <v>1945.0</v>
      </c>
      <c r="I82" s="234" t="s">
        <v>22</v>
      </c>
      <c r="J82" s="84">
        <v>1949.0</v>
      </c>
      <c r="K82" s="84"/>
      <c r="L82" s="85">
        <v>1514.0</v>
      </c>
      <c r="M82" s="86">
        <v>0.0</v>
      </c>
    </row>
    <row r="83">
      <c r="A83" s="146">
        <v>44371.0</v>
      </c>
      <c r="B83" s="147" t="str">
        <f>IFERROR(__xludf.DUMMYFUNCTION("FILTER($G$2:$G$445,$H$2:$H$445=D83)"),"Deep Treble")</f>
        <v>Deep Treble</v>
      </c>
      <c r="C83" s="147" t="str">
        <f>IFERROR(__xludf.DUMMYFUNCTION("filter($I$1:$I$500, $J$1:$J$500=D83)"),"Performing Arts")</f>
        <v>Performing Arts</v>
      </c>
      <c r="D83" s="148">
        <v>320.0</v>
      </c>
      <c r="F83" s="149">
        <v>561.0</v>
      </c>
      <c r="G83" s="161" t="s">
        <v>268</v>
      </c>
      <c r="H83" s="151">
        <v>496.0</v>
      </c>
      <c r="I83" s="238" t="s">
        <v>25</v>
      </c>
      <c r="J83" s="153">
        <v>1948.0</v>
      </c>
      <c r="K83" s="153"/>
      <c r="L83" s="154">
        <v>1425.0</v>
      </c>
      <c r="M83" s="156">
        <v>0.0</v>
      </c>
    </row>
    <row r="84">
      <c r="A84" s="77">
        <v>44371.0</v>
      </c>
      <c r="B84" s="78" t="str">
        <f>IFERROR(__xludf.DUMMYFUNCTION("FILTER($G$2:$G$445,$H$2:$H$445=D84)"),"Chabad Jewish Student Organization")</f>
        <v>Chabad Jewish Student Organization</v>
      </c>
      <c r="C84" s="78" t="str">
        <f>IFERROR(__xludf.DUMMYFUNCTION("filter($I$1:$I$500, $J$1:$J$500=D84)"),"Faith-based")</f>
        <v>Faith-based</v>
      </c>
      <c r="D84" s="79">
        <v>328.0</v>
      </c>
      <c r="F84" s="80">
        <v>755.05</v>
      </c>
      <c r="G84" s="237" t="s">
        <v>196</v>
      </c>
      <c r="H84" s="82">
        <v>1866.0</v>
      </c>
      <c r="I84" s="234" t="s">
        <v>13</v>
      </c>
      <c r="J84" s="84">
        <v>1044.0</v>
      </c>
      <c r="K84" s="84"/>
      <c r="L84" s="85">
        <v>1742.0</v>
      </c>
      <c r="M84" s="86">
        <v>50.0</v>
      </c>
    </row>
    <row r="85">
      <c r="A85" s="77">
        <v>44371.0</v>
      </c>
      <c r="B85" s="78" t="str">
        <f>IFERROR(__xludf.DUMMYFUNCTION("FILTER($G$2:$G$445,$H$2:$H$445=D85)"),"Chabad Jewish Student Organization")</f>
        <v>Chabad Jewish Student Organization</v>
      </c>
      <c r="C85" s="78" t="str">
        <f>IFERROR(__xludf.DUMMYFUNCTION("filter($I$1:$I$500, $J$1:$J$500=D85)"),"Faith-based")</f>
        <v>Faith-based</v>
      </c>
      <c r="D85" s="79">
        <v>328.0</v>
      </c>
      <c r="F85" s="80">
        <v>365.73</v>
      </c>
      <c r="G85" s="93" t="s">
        <v>189</v>
      </c>
      <c r="H85" s="82">
        <v>1424.0</v>
      </c>
      <c r="I85" s="234" t="s">
        <v>69</v>
      </c>
      <c r="J85" s="84">
        <v>1947.0</v>
      </c>
      <c r="K85" s="84"/>
      <c r="L85" s="85">
        <v>1593.0</v>
      </c>
      <c r="M85" s="86">
        <v>530.0</v>
      </c>
    </row>
    <row r="86">
      <c r="A86" s="177">
        <v>44371.0</v>
      </c>
      <c r="B86" s="178" t="str">
        <f>IFERROR(__xludf.DUMMYFUNCTION("FILTER($G$2:$G$445,$H$2:$H$445=D86)"),"Cognitive Science Club")</f>
        <v>Cognitive Science Club</v>
      </c>
      <c r="C86" s="178" t="str">
        <f>IFERROR(__xludf.DUMMYFUNCTION("filter($I$1:$I$500, $J$1:$J$500=D86)"),"Pre-Professional")</f>
        <v>Pre-Professional</v>
      </c>
      <c r="D86" s="179">
        <v>338.0</v>
      </c>
      <c r="F86" s="180">
        <v>100.01</v>
      </c>
      <c r="G86" s="227" t="s">
        <v>319</v>
      </c>
      <c r="H86" s="182">
        <v>145.0</v>
      </c>
      <c r="I86" s="228" t="s">
        <v>37</v>
      </c>
      <c r="J86" s="184">
        <v>1042.0</v>
      </c>
      <c r="K86" s="184"/>
      <c r="L86" s="184"/>
      <c r="M86" s="184"/>
    </row>
    <row r="87">
      <c r="A87" s="177">
        <v>44371.0</v>
      </c>
      <c r="B87" s="178" t="str">
        <f>IFERROR(__xludf.DUMMYFUNCTION("FILTER($G$2:$G$445,$H$2:$H$445=D87)"),"Cognitive Science Club")</f>
        <v>Cognitive Science Club</v>
      </c>
      <c r="C87" s="178" t="str">
        <f>IFERROR(__xludf.DUMMYFUNCTION("filter($I$1:$I$500, $J$1:$J$500=D87)"),"Pre-Professional")</f>
        <v>Pre-Professional</v>
      </c>
      <c r="D87" s="179">
        <v>338.0</v>
      </c>
      <c r="F87" s="191">
        <v>1244.0</v>
      </c>
      <c r="G87" s="227" t="s">
        <v>351</v>
      </c>
      <c r="H87" s="182">
        <v>1839.0</v>
      </c>
      <c r="I87" s="228" t="s">
        <v>30</v>
      </c>
      <c r="J87" s="184">
        <v>1946.0</v>
      </c>
      <c r="K87" s="184"/>
      <c r="L87" s="184"/>
      <c r="M87" s="184"/>
    </row>
    <row r="88">
      <c r="A88" s="59">
        <v>44371.0</v>
      </c>
      <c r="B88" s="60" t="str">
        <f>IFERROR(__xludf.DUMMYFUNCTION("FILTER($G$2:$G$445,$H$2:$H$445=D88)"),"Latino Student Council")</f>
        <v>Latino Student Council</v>
      </c>
      <c r="C88" s="60" t="str">
        <f>IFERROR(__xludf.DUMMYFUNCTION("filter($I$1:$I$500, $J$1:$J$500=D88)"),"Cultural")</f>
        <v>Cultural</v>
      </c>
      <c r="D88" s="61">
        <v>344.0</v>
      </c>
      <c r="F88" s="62">
        <v>0.04</v>
      </c>
      <c r="G88" s="70" t="s">
        <v>91</v>
      </c>
      <c r="H88" s="64">
        <v>1203.0</v>
      </c>
      <c r="I88" s="224" t="s">
        <v>15</v>
      </c>
      <c r="J88" s="66">
        <v>25.0</v>
      </c>
      <c r="K88" s="66"/>
      <c r="L88" s="67">
        <v>57.0</v>
      </c>
      <c r="M88" s="68">
        <v>50.0</v>
      </c>
    </row>
    <row r="89">
      <c r="A89" s="59">
        <v>44371.0</v>
      </c>
      <c r="B89" s="60" t="str">
        <f>IFERROR(__xludf.DUMMYFUNCTION("FILTER($G$2:$G$445,$H$2:$H$445=D89)"),"Latino Student Council")</f>
        <v>Latino Student Council</v>
      </c>
      <c r="C89" s="60" t="str">
        <f>IFERROR(__xludf.DUMMYFUNCTION("filter($I$1:$I$500, $J$1:$J$500=D89)"),"Cultural")</f>
        <v>Cultural</v>
      </c>
      <c r="D89" s="61">
        <v>344.0</v>
      </c>
      <c r="F89" s="62">
        <v>400.0</v>
      </c>
      <c r="G89" s="224" t="s">
        <v>122</v>
      </c>
      <c r="H89" s="64">
        <v>142.0</v>
      </c>
      <c r="I89" s="222" t="s">
        <v>27</v>
      </c>
      <c r="J89" s="66">
        <v>1030.0</v>
      </c>
      <c r="K89" s="66"/>
      <c r="L89" s="67">
        <v>48.0</v>
      </c>
      <c r="M89" s="68">
        <v>200.0</v>
      </c>
    </row>
    <row r="90">
      <c r="A90" s="59">
        <v>44371.0</v>
      </c>
      <c r="B90" s="60" t="str">
        <f>IFERROR(__xludf.DUMMYFUNCTION("FILTER($G$2:$G$445,$H$2:$H$445=D90)"),"Latino Student Council")</f>
        <v>Latino Student Council</v>
      </c>
      <c r="C90" s="60" t="str">
        <f>IFERROR(__xludf.DUMMYFUNCTION("filter($I$1:$I$500, $J$1:$J$500=D90)"),"Cultural")</f>
        <v>Cultural</v>
      </c>
      <c r="D90" s="61">
        <v>344.0</v>
      </c>
      <c r="F90" s="76">
        <v>1493.0</v>
      </c>
      <c r="G90" s="224" t="s">
        <v>157</v>
      </c>
      <c r="H90" s="64">
        <v>1653.0</v>
      </c>
      <c r="I90" s="222" t="s">
        <v>19</v>
      </c>
      <c r="J90" s="66">
        <v>1945.0</v>
      </c>
      <c r="K90" s="66"/>
      <c r="L90" s="67">
        <v>1801.0</v>
      </c>
      <c r="M90" s="68">
        <v>300.0</v>
      </c>
    </row>
    <row r="91">
      <c r="A91" s="59">
        <v>44371.0</v>
      </c>
      <c r="B91" s="60" t="str">
        <f>IFERROR(__xludf.DUMMYFUNCTION("FILTER($G$2:$G$445,$H$2:$H$445=D91)"),"Turkish Culture Club")</f>
        <v>Turkish Culture Club</v>
      </c>
      <c r="C91" s="60" t="str">
        <f>IFERROR(__xludf.DUMMYFUNCTION("filter($I$1:$I$500, $J$1:$J$500=D91)"),"Cultural")</f>
        <v>Cultural</v>
      </c>
      <c r="D91" s="61">
        <v>346.0</v>
      </c>
      <c r="F91" s="62">
        <v>337.0</v>
      </c>
      <c r="G91" s="70" t="s">
        <v>117</v>
      </c>
      <c r="H91" s="64">
        <v>1652.0</v>
      </c>
      <c r="I91" s="222" t="s">
        <v>15</v>
      </c>
      <c r="J91" s="66">
        <v>1944.0</v>
      </c>
      <c r="K91" s="66"/>
      <c r="L91" s="67">
        <v>1949.0</v>
      </c>
      <c r="M91" s="68">
        <v>0.0</v>
      </c>
    </row>
    <row r="92">
      <c r="A92" s="59">
        <v>44371.0</v>
      </c>
      <c r="B92" s="60" t="str">
        <f>IFERROR(__xludf.DUMMYFUNCTION("FILTER($G$2:$G$445,$H$2:$H$445=D92)"),"Union Estudiantil Puertorriquen")</f>
        <v>Union Estudiantil Puertorriquen</v>
      </c>
      <c r="C92" s="60" t="str">
        <f>IFERROR(__xludf.DUMMYFUNCTION("filter($I$1:$I$500, $J$1:$J$500=D92)"),"Cultural")</f>
        <v>Cultural</v>
      </c>
      <c r="D92" s="61">
        <v>347.0</v>
      </c>
      <c r="F92" s="76">
        <v>1060.0</v>
      </c>
      <c r="G92" s="70" t="s">
        <v>150</v>
      </c>
      <c r="H92" s="70" t="s">
        <v>99</v>
      </c>
      <c r="I92" s="222" t="s">
        <v>25</v>
      </c>
      <c r="J92" s="66">
        <v>1023.0</v>
      </c>
      <c r="K92" s="66"/>
      <c r="L92" s="67">
        <v>1373.0</v>
      </c>
      <c r="M92" s="68">
        <v>400.0</v>
      </c>
    </row>
    <row r="93">
      <c r="A93" s="25">
        <v>44371.0</v>
      </c>
      <c r="B93" s="26" t="str">
        <f>IFERROR(__xludf.DUMMYFUNCTION("FILTER($G$2:$G$445,$H$2:$H$445=D93)"),"Undergraduate Students Alliance of Computer Science")</f>
        <v>Undergraduate Students Alliance of Computer Science</v>
      </c>
      <c r="C93" s="26" t="str">
        <f>IFERROR(__xludf.DUMMYFUNCTION("filter($I$1:$I$500, $J$1:$J$500=D93)"),"Academic")</f>
        <v>Academic</v>
      </c>
      <c r="D93" s="27">
        <v>352.0</v>
      </c>
      <c r="F93" s="28">
        <v>100.0</v>
      </c>
      <c r="G93" s="245" t="s">
        <v>28</v>
      </c>
      <c r="H93" s="30">
        <v>660.0</v>
      </c>
      <c r="I93" s="246" t="s">
        <v>17</v>
      </c>
      <c r="J93" s="32">
        <v>1013.0</v>
      </c>
      <c r="K93" s="32"/>
      <c r="L93" s="33">
        <v>1845.0</v>
      </c>
      <c r="M93" s="34">
        <v>100.0</v>
      </c>
    </row>
    <row r="94">
      <c r="A94" s="25">
        <v>44371.0</v>
      </c>
      <c r="B94" s="26" t="str">
        <f>IFERROR(__xludf.DUMMYFUNCTION("FILTER($G$2:$G$445,$H$2:$H$445=D94)"),"Undergraduate Students Alliance of Computer Science")</f>
        <v>Undergraduate Students Alliance of Computer Science</v>
      </c>
      <c r="C94" s="26" t="str">
        <f>IFERROR(__xludf.DUMMYFUNCTION("filter($I$1:$I$500, $J$1:$J$500=D94)"),"Academic")</f>
        <v>Academic</v>
      </c>
      <c r="D94" s="27">
        <v>352.0</v>
      </c>
      <c r="F94" s="28">
        <v>257.04</v>
      </c>
      <c r="G94" s="240" t="s">
        <v>40</v>
      </c>
      <c r="H94" s="30">
        <v>1391.0</v>
      </c>
      <c r="I94" s="246" t="s">
        <v>19</v>
      </c>
      <c r="J94" s="32">
        <v>1943.0</v>
      </c>
      <c r="K94" s="32"/>
      <c r="L94" s="33">
        <v>1926.0</v>
      </c>
      <c r="M94" s="34">
        <v>0.0</v>
      </c>
    </row>
    <row r="95">
      <c r="A95" s="59">
        <v>44371.0</v>
      </c>
      <c r="B95" s="60" t="str">
        <f>IFERROR(__xludf.DUMMYFUNCTION("FILTER($G$2:$G$445,$H$2:$H$445=D95)"),"Vietnamese Student Association")</f>
        <v>Vietnamese Student Association</v>
      </c>
      <c r="C95" s="60" t="str">
        <f>IFERROR(__xludf.DUMMYFUNCTION("filter($I$1:$I$500, $J$1:$J$500=D95)"),"Cultural")</f>
        <v>Cultural</v>
      </c>
      <c r="D95" s="61">
        <v>353.0</v>
      </c>
      <c r="F95" s="76">
        <v>1829.8</v>
      </c>
      <c r="G95" s="70" t="s">
        <v>158</v>
      </c>
      <c r="H95" s="64">
        <v>93.0</v>
      </c>
      <c r="I95" s="222" t="s">
        <v>13</v>
      </c>
      <c r="J95" s="66">
        <v>831.0</v>
      </c>
      <c r="K95" s="66"/>
      <c r="L95" s="67">
        <v>1467.0</v>
      </c>
      <c r="M95" s="67">
        <v>15.0</v>
      </c>
    </row>
    <row r="96">
      <c r="A96" s="59">
        <v>44371.0</v>
      </c>
      <c r="B96" s="60" t="str">
        <f>IFERROR(__xludf.DUMMYFUNCTION("FILTER($G$2:$G$445,$H$2:$H$445=D96)"),"Vietnamese Student Association")</f>
        <v>Vietnamese Student Association</v>
      </c>
      <c r="C96" s="60" t="str">
        <f>IFERROR(__xludf.DUMMYFUNCTION("filter($I$1:$I$500, $J$1:$J$500=D96)"),"Cultural")</f>
        <v>Cultural</v>
      </c>
      <c r="D96" s="61">
        <v>353.0</v>
      </c>
      <c r="F96" s="76">
        <v>1401.04</v>
      </c>
      <c r="G96" s="224" t="s">
        <v>156</v>
      </c>
      <c r="H96" s="64">
        <v>1237.0</v>
      </c>
      <c r="I96" s="222" t="s">
        <v>19</v>
      </c>
      <c r="J96" s="66">
        <v>1942.0</v>
      </c>
      <c r="K96" s="66"/>
      <c r="L96" s="67">
        <v>761.0</v>
      </c>
      <c r="M96" s="67">
        <v>3100.0</v>
      </c>
    </row>
    <row r="97">
      <c r="A97" s="59">
        <v>44371.0</v>
      </c>
      <c r="B97" s="60" t="str">
        <f>IFERROR(__xludf.DUMMYFUNCTION("FILTER($G$2:$G$445,$H$2:$H$445=D97)"),"West Indian Student Organization")</f>
        <v>West Indian Student Organization</v>
      </c>
      <c r="C97" s="60" t="str">
        <f>IFERROR(__xludf.DUMMYFUNCTION("filter($I$1:$I$500, $J$1:$J$500=D97)"),"Cultural")</f>
        <v>Cultural</v>
      </c>
      <c r="D97" s="61">
        <v>357.0</v>
      </c>
      <c r="F97" s="76">
        <v>1265.83</v>
      </c>
      <c r="G97" s="70" t="s">
        <v>153</v>
      </c>
      <c r="H97" s="64">
        <v>1600.0</v>
      </c>
      <c r="I97" s="222" t="s">
        <v>15</v>
      </c>
      <c r="J97" s="66">
        <v>1941.0</v>
      </c>
      <c r="K97" s="66"/>
      <c r="L97" s="67">
        <v>677.0</v>
      </c>
      <c r="M97" s="67">
        <v>1425.0</v>
      </c>
    </row>
    <row r="98">
      <c r="A98" s="77">
        <v>44371.0</v>
      </c>
      <c r="B98" s="78" t="str">
        <f>IFERROR(__xludf.DUMMYFUNCTION("FILTER($G$2:$G$445,$H$2:$H$445=D98)"),"Indian Christian Fellowship")</f>
        <v>Indian Christian Fellowship</v>
      </c>
      <c r="C98" s="78" t="str">
        <f>IFERROR(__xludf.DUMMYFUNCTION("filter($I$1:$I$500, $J$1:$J$500=D98)"),"Faith-based")</f>
        <v>Faith-based</v>
      </c>
      <c r="D98" s="79">
        <v>362.0</v>
      </c>
      <c r="F98" s="92">
        <v>2220.0</v>
      </c>
      <c r="G98" s="93" t="s">
        <v>204</v>
      </c>
      <c r="H98" s="82">
        <v>362.0</v>
      </c>
      <c r="I98" s="234" t="s">
        <v>27</v>
      </c>
      <c r="J98" s="84">
        <v>821.0</v>
      </c>
      <c r="K98" s="84"/>
      <c r="L98" s="85">
        <v>768.0</v>
      </c>
      <c r="M98" s="86">
        <v>100.0</v>
      </c>
    </row>
    <row r="99">
      <c r="A99" s="77">
        <v>44371.0</v>
      </c>
      <c r="B99" s="78" t="str">
        <f>IFERROR(__xludf.DUMMYFUNCTION("FILTER($G$2:$G$445,$H$2:$H$445=D99)"),"Indian Christian Fellowship")</f>
        <v>Indian Christian Fellowship</v>
      </c>
      <c r="C99" s="78" t="str">
        <f>IFERROR(__xludf.DUMMYFUNCTION("filter($I$1:$I$500, $J$1:$J$500=D99)"),"Faith-based")</f>
        <v>Faith-based</v>
      </c>
      <c r="D99" s="79">
        <v>362.0</v>
      </c>
      <c r="F99" s="80">
        <v>124.15</v>
      </c>
      <c r="G99" s="237" t="s">
        <v>178</v>
      </c>
      <c r="H99" s="82">
        <v>1859.0</v>
      </c>
      <c r="I99" s="234" t="s">
        <v>27</v>
      </c>
      <c r="J99" s="84">
        <v>1940.0</v>
      </c>
      <c r="K99" s="84"/>
      <c r="L99" s="85">
        <v>1876.0</v>
      </c>
      <c r="M99" s="86">
        <v>0.0</v>
      </c>
    </row>
    <row r="100">
      <c r="A100" s="146">
        <v>44371.0</v>
      </c>
      <c r="B100" s="147" t="str">
        <f>IFERROR(__xludf.DUMMYFUNCTION("FILTER($G$2:$G$445,$H$2:$H$445=D100)"),"Dhol Effect")</f>
        <v>Dhol Effect</v>
      </c>
      <c r="C100" s="147" t="str">
        <f>IFERROR(__xludf.DUMMYFUNCTION("filter($I$1:$I$500, $J$1:$J$500=D100)"),"Performing Arts")</f>
        <v>Performing Arts</v>
      </c>
      <c r="D100" s="148">
        <v>363.0</v>
      </c>
      <c r="F100" s="149">
        <v>200.0</v>
      </c>
      <c r="G100" s="239" t="s">
        <v>256</v>
      </c>
      <c r="H100" s="151">
        <v>1785.0</v>
      </c>
      <c r="I100" s="238" t="s">
        <v>27</v>
      </c>
      <c r="J100" s="153">
        <v>782.0</v>
      </c>
      <c r="K100" s="153"/>
      <c r="L100" s="154">
        <v>1839.0</v>
      </c>
      <c r="M100" s="156">
        <v>300.0</v>
      </c>
    </row>
    <row r="101">
      <c r="A101" s="146">
        <v>44371.0</v>
      </c>
      <c r="B101" s="147" t="str">
        <f>IFERROR(__xludf.DUMMYFUNCTION("FILTER($G$2:$G$445,$H$2:$H$445=D101)"),"Dhol Effect")</f>
        <v>Dhol Effect</v>
      </c>
      <c r="C101" s="147" t="str">
        <f>IFERROR(__xludf.DUMMYFUNCTION("filter($I$1:$I$500, $J$1:$J$500=D101)"),"Performing Arts")</f>
        <v>Performing Arts</v>
      </c>
      <c r="D101" s="148">
        <v>363.0</v>
      </c>
      <c r="F101" s="149">
        <v>733.0</v>
      </c>
      <c r="G101" s="161" t="s">
        <v>274</v>
      </c>
      <c r="H101" s="151">
        <v>1121.0</v>
      </c>
      <c r="I101" s="238" t="s">
        <v>17</v>
      </c>
      <c r="J101" s="153">
        <v>1939.0</v>
      </c>
      <c r="K101" s="153"/>
      <c r="L101" s="154">
        <v>1950.0</v>
      </c>
      <c r="M101" s="156">
        <v>0.0</v>
      </c>
    </row>
    <row r="102">
      <c r="A102" s="146">
        <v>44371.0</v>
      </c>
      <c r="B102" s="147" t="str">
        <f>IFERROR(__xludf.DUMMYFUNCTION("FILTER($G$2:$G$445,$H$2:$H$445=D102)"),"South Asian Performing Arts")</f>
        <v>South Asian Performing Arts</v>
      </c>
      <c r="C102" s="147" t="str">
        <f>IFERROR(__xludf.DUMMYFUNCTION("filter($I$1:$I$500, $J$1:$J$500=D102)"),"Performing Arts")</f>
        <v>Performing Arts</v>
      </c>
      <c r="D102" s="148">
        <v>386.0</v>
      </c>
      <c r="F102" s="149">
        <v>482.43</v>
      </c>
      <c r="G102" s="161" t="s">
        <v>267</v>
      </c>
      <c r="H102" s="151">
        <v>707.0</v>
      </c>
      <c r="I102" s="238" t="s">
        <v>30</v>
      </c>
      <c r="J102" s="153">
        <v>1938.0</v>
      </c>
      <c r="K102" s="153"/>
      <c r="L102" s="154">
        <v>782.0</v>
      </c>
      <c r="M102" s="156">
        <v>0.0</v>
      </c>
    </row>
    <row r="103">
      <c r="A103" s="25">
        <v>44371.0</v>
      </c>
      <c r="B103" s="26" t="str">
        <f>IFERROR(__xludf.DUMMYFUNCTION("FILTER($G$2:$G$445,$H$2:$H$445=D103)"),"Undergraduate Anthropology Club")</f>
        <v>Undergraduate Anthropology Club</v>
      </c>
      <c r="C103" s="26" t="str">
        <f>IFERROR(__xludf.DUMMYFUNCTION("filter($I$1:$I$500, $J$1:$J$500=D103)"),"Academic")</f>
        <v>Academic</v>
      </c>
      <c r="D103" s="27">
        <v>391.0</v>
      </c>
      <c r="F103" s="28">
        <v>483.71</v>
      </c>
      <c r="G103" s="240" t="s">
        <v>49</v>
      </c>
      <c r="H103" s="30">
        <v>1951.0</v>
      </c>
      <c r="I103" s="246" t="s">
        <v>19</v>
      </c>
      <c r="J103" s="32">
        <v>1937.0</v>
      </c>
      <c r="K103" s="32"/>
      <c r="L103" s="33">
        <v>226.0</v>
      </c>
      <c r="M103" s="34">
        <v>1000.0</v>
      </c>
    </row>
    <row r="104">
      <c r="A104" s="43">
        <v>44371.0</v>
      </c>
      <c r="B104" s="44" t="str">
        <f>IFERROR(__xludf.DUMMYFUNCTION("FILTER($G$2:$G$445,$H$2:$H$445=D104)"),"Circle K ")</f>
        <v>Circle K </v>
      </c>
      <c r="C104" s="44" t="str">
        <f>IFERROR(__xludf.DUMMYFUNCTION("filter($I$1:$I$500, $J$1:$J$500=D104)"),"Community Service")</f>
        <v>Community Service</v>
      </c>
      <c r="D104" s="45">
        <v>401.0</v>
      </c>
      <c r="F104" s="46">
        <v>25.0</v>
      </c>
      <c r="G104" s="232" t="s">
        <v>65</v>
      </c>
      <c r="H104" s="48">
        <v>1599.0</v>
      </c>
      <c r="I104" s="231" t="s">
        <v>13</v>
      </c>
      <c r="J104" s="50">
        <v>769.0</v>
      </c>
      <c r="K104" s="50"/>
      <c r="L104" s="51">
        <v>338.0</v>
      </c>
      <c r="M104" s="52">
        <v>0.0</v>
      </c>
    </row>
    <row r="105">
      <c r="A105" s="43">
        <v>44371.0</v>
      </c>
      <c r="B105" s="44" t="str">
        <f>IFERROR(__xludf.DUMMYFUNCTION("FILTER($G$2:$G$445,$H$2:$H$445=D105)"),"Circle K ")</f>
        <v>Circle K </v>
      </c>
      <c r="C105" s="44" t="str">
        <f>IFERROR(__xludf.DUMMYFUNCTION("filter($I$1:$I$500, $J$1:$J$500=D105)"),"Community Service")</f>
        <v>Community Service</v>
      </c>
      <c r="D105" s="45">
        <v>401.0</v>
      </c>
      <c r="F105" s="46">
        <v>134.05</v>
      </c>
      <c r="G105" s="232" t="s">
        <v>72</v>
      </c>
      <c r="H105" s="48">
        <v>516.0</v>
      </c>
      <c r="I105" s="231" t="s">
        <v>69</v>
      </c>
      <c r="J105" s="50">
        <v>1936.0</v>
      </c>
      <c r="K105" s="50"/>
      <c r="L105" s="51">
        <v>1611.0</v>
      </c>
      <c r="M105" s="52">
        <v>0.0</v>
      </c>
    </row>
    <row r="106">
      <c r="A106" s="25">
        <v>44371.0</v>
      </c>
      <c r="B106" s="26" t="str">
        <f>IFERROR(__xludf.DUMMYFUNCTION("FILTER($G$2:$G$445,$H$2:$H$445=D106)"),"Academic Team")</f>
        <v>Academic Team</v>
      </c>
      <c r="C106" s="26" t="str">
        <f>IFERROR(__xludf.DUMMYFUNCTION("filter($I$1:$I$500, $J$1:$J$500=D106)"),"Academic")</f>
        <v>Academic</v>
      </c>
      <c r="D106" s="27">
        <v>405.0</v>
      </c>
      <c r="F106" s="28">
        <v>750.0</v>
      </c>
      <c r="G106" s="245" t="s">
        <v>55</v>
      </c>
      <c r="H106" s="30">
        <v>1594.0</v>
      </c>
      <c r="I106" s="246" t="s">
        <v>17</v>
      </c>
      <c r="J106" s="32">
        <v>768.0</v>
      </c>
      <c r="K106" s="32"/>
      <c r="L106" s="33">
        <v>767.0</v>
      </c>
      <c r="M106" s="34">
        <v>860.0</v>
      </c>
    </row>
    <row r="107">
      <c r="A107" s="146">
        <v>44371.0</v>
      </c>
      <c r="B107" s="147" t="str">
        <f>IFERROR(__xludf.DUMMYFUNCTION("FILTER($G$2:$G$445,$H$2:$H$445=D107)"),"Orphan Sporks")</f>
        <v>Orphan Sporks</v>
      </c>
      <c r="C107" s="147" t="str">
        <f>IFERROR(__xludf.DUMMYFUNCTION("filter($I$1:$I$500, $J$1:$J$500=D107)"),"Performing Arts")</f>
        <v>Performing Arts</v>
      </c>
      <c r="D107" s="148">
        <v>407.0</v>
      </c>
      <c r="F107" s="149">
        <v>565.0</v>
      </c>
      <c r="G107" s="239" t="s">
        <v>269</v>
      </c>
      <c r="H107" s="151">
        <v>1944.0</v>
      </c>
      <c r="I107" s="238" t="s">
        <v>15</v>
      </c>
      <c r="J107" s="153">
        <v>767.0</v>
      </c>
      <c r="K107" s="153"/>
      <c r="L107" s="154">
        <v>1880.0</v>
      </c>
      <c r="M107" s="156">
        <v>0.0</v>
      </c>
    </row>
    <row r="108">
      <c r="A108" s="146">
        <v>44371.0</v>
      </c>
      <c r="B108" s="147" t="str">
        <f>IFERROR(__xludf.DUMMYFUNCTION("FILTER($G$2:$G$445,$H$2:$H$445=D108)"),"Orphan Sporks")</f>
        <v>Orphan Sporks</v>
      </c>
      <c r="C108" s="147" t="str">
        <f>IFERROR(__xludf.DUMMYFUNCTION("filter($I$1:$I$500, $J$1:$J$500=D108)"),"Performing Arts")</f>
        <v>Performing Arts</v>
      </c>
      <c r="D108" s="148">
        <v>407.0</v>
      </c>
      <c r="F108" s="149">
        <v>402.62</v>
      </c>
      <c r="G108" s="161" t="s">
        <v>264</v>
      </c>
      <c r="H108" s="151">
        <v>1828.0</v>
      </c>
      <c r="I108" s="238" t="s">
        <v>69</v>
      </c>
      <c r="J108" s="153">
        <v>1935.0</v>
      </c>
      <c r="K108" s="153"/>
      <c r="L108" s="154">
        <v>1763.0</v>
      </c>
      <c r="M108" s="156">
        <v>775.0</v>
      </c>
    </row>
    <row r="109">
      <c r="A109" s="107">
        <v>44371.0</v>
      </c>
      <c r="B109" s="108" t="str">
        <f>IFERROR(__xludf.DUMMYFUNCTION("FILTER($G$2:$G$445,$H$2:$H$445=D109)"),"Chess Club")</f>
        <v>Chess Club</v>
      </c>
      <c r="C109" s="108" t="str">
        <f>IFERROR(__xludf.DUMMYFUNCTION("filter($I$1:$I$500, $J$1:$J$500=D109)"),"Leisure")</f>
        <v>Leisure</v>
      </c>
      <c r="D109" s="109">
        <v>414.0</v>
      </c>
      <c r="F109" s="110">
        <v>480.0</v>
      </c>
      <c r="G109" s="247" t="s">
        <v>229</v>
      </c>
      <c r="H109" s="112">
        <v>1960.0</v>
      </c>
      <c r="I109" s="242" t="s">
        <v>25</v>
      </c>
      <c r="J109" s="114">
        <v>761.0</v>
      </c>
      <c r="K109" s="114"/>
      <c r="L109" s="115">
        <v>1830.0</v>
      </c>
      <c r="M109" s="116">
        <v>0.0</v>
      </c>
    </row>
    <row r="110">
      <c r="A110" s="177">
        <v>44371.0</v>
      </c>
      <c r="B110" s="178" t="str">
        <f>IFERROR(__xludf.DUMMYFUNCTION("FILTER($G$2:$G$445,$H$2:$H$445=D110)"),"Pre-Dental Society of Rutgers University")</f>
        <v>Pre-Dental Society of Rutgers University</v>
      </c>
      <c r="C110" s="178" t="str">
        <f>IFERROR(__xludf.DUMMYFUNCTION("filter($I$1:$I$500, $J$1:$J$500=D110)"),"Pre-Professional")</f>
        <v>Pre-Professional</v>
      </c>
      <c r="D110" s="179">
        <v>415.0</v>
      </c>
      <c r="F110" s="180">
        <v>390.0</v>
      </c>
      <c r="G110" s="227" t="s">
        <v>331</v>
      </c>
      <c r="H110" s="182">
        <v>137.0</v>
      </c>
      <c r="I110" s="228" t="s">
        <v>15</v>
      </c>
      <c r="J110" s="184">
        <v>759.0</v>
      </c>
      <c r="K110" s="184"/>
      <c r="L110" s="184"/>
      <c r="M110" s="184"/>
    </row>
    <row r="111">
      <c r="A111" s="177">
        <v>44371.0</v>
      </c>
      <c r="B111" s="178" t="str">
        <f>IFERROR(__xludf.DUMMYFUNCTION("FILTER($G$2:$G$445,$H$2:$H$445=D111)"),"Pre-Dental Society of Rutgers University")</f>
        <v>Pre-Dental Society of Rutgers University</v>
      </c>
      <c r="C111" s="178" t="str">
        <f>IFERROR(__xludf.DUMMYFUNCTION("filter($I$1:$I$500, $J$1:$J$500=D111)"),"Pre-Professional")</f>
        <v>Pre-Professional</v>
      </c>
      <c r="D111" s="179">
        <v>415.0</v>
      </c>
      <c r="F111" s="180">
        <v>200.0</v>
      </c>
      <c r="G111" s="233" t="s">
        <v>325</v>
      </c>
      <c r="H111" s="182">
        <v>661.0</v>
      </c>
      <c r="I111" s="228" t="s">
        <v>37</v>
      </c>
      <c r="J111" s="184">
        <v>1934.0</v>
      </c>
      <c r="K111" s="184"/>
      <c r="L111" s="184"/>
      <c r="M111" s="184"/>
    </row>
    <row r="112">
      <c r="A112" s="146">
        <v>44371.0</v>
      </c>
      <c r="B112" s="147" t="str">
        <f>IFERROR(__xludf.DUMMYFUNCTION("FILTER($G$2:$G$445,$H$2:$H$445=D112)"),"Shock Wave")</f>
        <v>Shock Wave</v>
      </c>
      <c r="C112" s="147" t="str">
        <f>IFERROR(__xludf.DUMMYFUNCTION("filter($I$1:$I$500, $J$1:$J$500=D112)"),"Performing Arts")</f>
        <v>Performing Arts</v>
      </c>
      <c r="D112" s="148">
        <v>437.0</v>
      </c>
      <c r="F112" s="149">
        <v>32.84</v>
      </c>
      <c r="G112" s="239" t="s">
        <v>247</v>
      </c>
      <c r="H112" s="151">
        <v>1741.0</v>
      </c>
      <c r="I112" s="238" t="s">
        <v>30</v>
      </c>
      <c r="J112" s="153">
        <v>748.0</v>
      </c>
      <c r="K112" s="153"/>
      <c r="L112" s="154">
        <v>1795.0</v>
      </c>
      <c r="M112" s="156">
        <v>0.0</v>
      </c>
    </row>
    <row r="113">
      <c r="A113" s="146">
        <v>44371.0</v>
      </c>
      <c r="B113" s="147" t="str">
        <f>IFERROR(__xludf.DUMMYFUNCTION("FILTER($G$2:$G$445,$H$2:$H$445=D113)"),"Shock Wave")</f>
        <v>Shock Wave</v>
      </c>
      <c r="C113" s="147" t="str">
        <f>IFERROR(__xludf.DUMMYFUNCTION("filter($I$1:$I$500, $J$1:$J$500=D113)"),"Performing Arts")</f>
        <v>Performing Arts</v>
      </c>
      <c r="D113" s="148">
        <v>437.0</v>
      </c>
      <c r="F113" s="149">
        <v>196.0</v>
      </c>
      <c r="G113" s="161" t="s">
        <v>255</v>
      </c>
      <c r="H113" s="161" t="s">
        <v>99</v>
      </c>
      <c r="I113" s="238" t="s">
        <v>69</v>
      </c>
      <c r="J113" s="153">
        <v>1932.0</v>
      </c>
      <c r="K113" s="153"/>
      <c r="L113" s="154">
        <v>1697.0</v>
      </c>
      <c r="M113" s="156">
        <v>500.0</v>
      </c>
    </row>
    <row r="114">
      <c r="A114" s="177">
        <v>44371.0</v>
      </c>
      <c r="B114" s="178" t="str">
        <f>IFERROR(__xludf.DUMMYFUNCTION("FILTER($G$2:$G$445,$H$2:$H$445=D114)"),"New Jersey Public Heatlh Association-Rutgers Student Chapter (NJPHA-RSC)")</f>
        <v>New Jersey Public Heatlh Association-Rutgers Student Chapter (NJPHA-RSC)</v>
      </c>
      <c r="C114" s="178" t="str">
        <f>IFERROR(__xludf.DUMMYFUNCTION("filter($I$1:$I$500, $J$1:$J$500=D114)"),"Pre-Professional")</f>
        <v>Pre-Professional</v>
      </c>
      <c r="D114" s="179">
        <v>443.0</v>
      </c>
      <c r="F114" s="180">
        <v>210.0</v>
      </c>
      <c r="G114" s="233" t="s">
        <v>326</v>
      </c>
      <c r="H114" s="182">
        <v>136.0</v>
      </c>
      <c r="I114" s="228" t="s">
        <v>37</v>
      </c>
      <c r="J114" s="184">
        <v>746.0</v>
      </c>
      <c r="K114" s="184"/>
      <c r="L114" s="184"/>
      <c r="M114" s="184"/>
    </row>
    <row r="115">
      <c r="A115" s="177">
        <v>44371.0</v>
      </c>
      <c r="B115" s="178" t="str">
        <f>IFERROR(__xludf.DUMMYFUNCTION("FILTER($G$2:$G$445,$H$2:$H$445=D115)"),"New Jersey Public Heatlh Association-Rutgers Student Chapter (NJPHA-RSC)")</f>
        <v>New Jersey Public Heatlh Association-Rutgers Student Chapter (NJPHA-RSC)</v>
      </c>
      <c r="C115" s="178" t="str">
        <f>IFERROR(__xludf.DUMMYFUNCTION("filter($I$1:$I$500, $J$1:$J$500=D115)"),"Pre-Professional")</f>
        <v>Pre-Professional</v>
      </c>
      <c r="D115" s="179">
        <v>443.0</v>
      </c>
      <c r="F115" s="180">
        <v>168.0</v>
      </c>
      <c r="G115" s="233" t="s">
        <v>323</v>
      </c>
      <c r="H115" s="182">
        <v>1766.0</v>
      </c>
      <c r="I115" s="228" t="s">
        <v>15</v>
      </c>
      <c r="J115" s="184">
        <v>1926.0</v>
      </c>
      <c r="K115" s="184"/>
      <c r="L115" s="184"/>
      <c r="M115" s="184"/>
    </row>
    <row r="116">
      <c r="A116" s="59">
        <v>44371.0</v>
      </c>
      <c r="B116" s="60" t="str">
        <f>IFERROR(__xludf.DUMMYFUNCTION("FILTER($G$2:$G$445,$H$2:$H$445=D116)"),"Asian Student Council")</f>
        <v>Asian Student Council</v>
      </c>
      <c r="C116" s="60" t="str">
        <f>IFERROR(__xludf.DUMMYFUNCTION("filter($I$1:$I$500, $J$1:$J$500=D116)"),"Cultural")</f>
        <v>Cultural</v>
      </c>
      <c r="D116" s="61">
        <v>452.0</v>
      </c>
      <c r="F116" s="76">
        <v>2870.0</v>
      </c>
      <c r="G116" s="70" t="s">
        <v>162</v>
      </c>
      <c r="H116" s="64">
        <v>1054.0</v>
      </c>
      <c r="I116" s="224" t="s">
        <v>15</v>
      </c>
      <c r="J116" s="66">
        <v>22.0</v>
      </c>
      <c r="K116" s="66"/>
      <c r="L116" s="67">
        <v>726.0</v>
      </c>
      <c r="M116" s="68">
        <v>200.0</v>
      </c>
    </row>
    <row r="117">
      <c r="A117" s="59">
        <v>44371.0</v>
      </c>
      <c r="B117" s="60" t="str">
        <f>IFERROR(__xludf.DUMMYFUNCTION("FILTER($G$2:$G$445,$H$2:$H$445=D117)"),"Asian Student Council")</f>
        <v>Asian Student Council</v>
      </c>
      <c r="C117" s="60" t="str">
        <f>IFERROR(__xludf.DUMMYFUNCTION("filter($I$1:$I$500, $J$1:$J$500=D117)"),"Cultural")</f>
        <v>Cultural</v>
      </c>
      <c r="D117" s="61">
        <v>452.0</v>
      </c>
      <c r="F117" s="62">
        <v>830.0</v>
      </c>
      <c r="G117" s="224" t="s">
        <v>145</v>
      </c>
      <c r="H117" s="64">
        <v>702.0</v>
      </c>
      <c r="I117" s="222" t="s">
        <v>69</v>
      </c>
      <c r="J117" s="66">
        <v>1910.0</v>
      </c>
      <c r="K117" s="66"/>
      <c r="L117" s="67">
        <v>1579.0</v>
      </c>
      <c r="M117" s="68">
        <v>0.0</v>
      </c>
    </row>
    <row r="118">
      <c r="A118" s="59">
        <v>44371.0</v>
      </c>
      <c r="B118" s="60" t="str">
        <f>IFERROR(__xludf.DUMMYFUNCTION("FILTER($G$2:$G$445,$H$2:$H$445=D118)"),"United Black Council")</f>
        <v>United Black Council</v>
      </c>
      <c r="C118" s="60" t="str">
        <f>IFERROR(__xludf.DUMMYFUNCTION("filter($I$1:$I$500, $J$1:$J$500=D118)"),"Cultural")</f>
        <v>Cultural</v>
      </c>
      <c r="D118" s="61">
        <v>468.0</v>
      </c>
      <c r="F118" s="76">
        <v>6500.0</v>
      </c>
      <c r="G118" s="70" t="s">
        <v>165</v>
      </c>
      <c r="H118" s="64">
        <v>1655.0</v>
      </c>
      <c r="I118" s="224" t="s">
        <v>166</v>
      </c>
      <c r="J118" s="66">
        <v>21.0</v>
      </c>
      <c r="K118" s="66"/>
      <c r="L118" s="67">
        <v>1294.0</v>
      </c>
      <c r="M118" s="68">
        <v>0.0</v>
      </c>
    </row>
    <row r="119">
      <c r="A119" s="59">
        <v>44371.0</v>
      </c>
      <c r="B119" s="60" t="str">
        <f>IFERROR(__xludf.DUMMYFUNCTION("FILTER($G$2:$G$445,$H$2:$H$445=D119)"),"United Black Council")</f>
        <v>United Black Council</v>
      </c>
      <c r="C119" s="60" t="str">
        <f>IFERROR(__xludf.DUMMYFUNCTION("filter($I$1:$I$500, $J$1:$J$500=D119)"),"Cultural")</f>
        <v>Cultural</v>
      </c>
      <c r="D119" s="61">
        <v>468.0</v>
      </c>
      <c r="F119" s="62">
        <v>602.62</v>
      </c>
      <c r="G119" s="224" t="s">
        <v>136</v>
      </c>
      <c r="H119" s="64">
        <v>1487.0</v>
      </c>
      <c r="I119" s="222" t="s">
        <v>27</v>
      </c>
      <c r="J119" s="66">
        <v>1908.0</v>
      </c>
      <c r="K119" s="66"/>
      <c r="L119" s="67">
        <v>344.0</v>
      </c>
      <c r="M119" s="68">
        <v>400.0</v>
      </c>
    </row>
    <row r="120">
      <c r="A120" s="146">
        <v>44371.0</v>
      </c>
      <c r="B120" s="147" t="str">
        <f>IFERROR(__xludf.DUMMYFUNCTION("FILTER($G$2:$G$445,$H$2:$H$445=D120)"),"Rutgers University Voorhees Choir ")</f>
        <v>Rutgers University Voorhees Choir </v>
      </c>
      <c r="C120" s="147" t="str">
        <f>IFERROR(__xludf.DUMMYFUNCTION("filter($I$1:$I$500, $J$1:$J$500=D120)"),"Performing Arts")</f>
        <v>Performing Arts</v>
      </c>
      <c r="D120" s="148">
        <v>481.0</v>
      </c>
      <c r="F120" s="149">
        <v>200.0</v>
      </c>
      <c r="G120" s="239" t="s">
        <v>257</v>
      </c>
      <c r="H120" s="151">
        <v>90.0</v>
      </c>
      <c r="I120" s="238" t="s">
        <v>69</v>
      </c>
      <c r="J120" s="153">
        <v>1907.0</v>
      </c>
      <c r="K120" s="153"/>
      <c r="L120" s="154">
        <v>588.0</v>
      </c>
      <c r="M120" s="156">
        <v>0.0</v>
      </c>
    </row>
    <row r="121">
      <c r="A121" s="25">
        <v>44371.0</v>
      </c>
      <c r="B121" s="26" t="str">
        <f>IFERROR(__xludf.DUMMYFUNCTION("FILTER($G$2:$G$445,$H$2:$H$445=D121)"),"Psychological Society")</f>
        <v>Psychological Society</v>
      </c>
      <c r="C121" s="26" t="str">
        <f>IFERROR(__xludf.DUMMYFUNCTION("filter($I$1:$I$500, $J$1:$J$500=D121)"),"Academic")</f>
        <v>Academic</v>
      </c>
      <c r="D121" s="27">
        <v>492.0</v>
      </c>
      <c r="F121" s="41">
        <v>2550.0</v>
      </c>
      <c r="G121" s="240" t="s">
        <v>62</v>
      </c>
      <c r="H121" s="30">
        <v>1412.0</v>
      </c>
      <c r="I121" s="246" t="s">
        <v>43</v>
      </c>
      <c r="J121" s="32">
        <v>745.0</v>
      </c>
      <c r="K121" s="32"/>
      <c r="L121" s="33">
        <v>745.0</v>
      </c>
      <c r="M121" s="34">
        <v>30.0</v>
      </c>
    </row>
    <row r="122">
      <c r="A122" s="25">
        <v>44371.0</v>
      </c>
      <c r="B122" s="26" t="str">
        <f>IFERROR(__xludf.DUMMYFUNCTION("FILTER($G$2:$G$445,$H$2:$H$445=D122)"),"Psychological Society")</f>
        <v>Psychological Society</v>
      </c>
      <c r="C122" s="26" t="str">
        <f>IFERROR(__xludf.DUMMYFUNCTION("filter($I$1:$I$500, $J$1:$J$500=D122)"),"Academic")</f>
        <v>Academic</v>
      </c>
      <c r="D122" s="27">
        <v>492.0</v>
      </c>
      <c r="F122" s="28">
        <v>791.0</v>
      </c>
      <c r="G122" s="245" t="s">
        <v>56</v>
      </c>
      <c r="H122" s="30">
        <v>1929.0</v>
      </c>
      <c r="I122" s="246" t="s">
        <v>30</v>
      </c>
      <c r="J122" s="32">
        <v>1906.0</v>
      </c>
      <c r="K122" s="32"/>
      <c r="L122" s="33">
        <v>1023.0</v>
      </c>
      <c r="M122" s="33">
        <v>3900.0</v>
      </c>
    </row>
    <row r="123">
      <c r="A123" s="59">
        <v>44371.0</v>
      </c>
      <c r="B123" s="60" t="str">
        <f>IFERROR(__xludf.DUMMYFUNCTION("FILTER($G$2:$G$445,$H$2:$H$445=D123)"),"Taiwanese American Student Association")</f>
        <v>Taiwanese American Student Association</v>
      </c>
      <c r="C123" s="60" t="str">
        <f>IFERROR(__xludf.DUMMYFUNCTION("filter($I$1:$I$500, $J$1:$J$500=D123)"),"Cultural")</f>
        <v>Cultural</v>
      </c>
      <c r="D123" s="61">
        <v>494.0</v>
      </c>
      <c r="F123" s="62">
        <v>541.78</v>
      </c>
      <c r="G123" s="70" t="s">
        <v>132</v>
      </c>
      <c r="H123" s="64">
        <v>1513.0</v>
      </c>
      <c r="I123" s="224" t="s">
        <v>37</v>
      </c>
      <c r="J123" s="66">
        <v>48.0</v>
      </c>
      <c r="K123" s="66"/>
      <c r="L123" s="67">
        <v>66.0</v>
      </c>
      <c r="M123" s="68">
        <v>510.0</v>
      </c>
    </row>
    <row r="124">
      <c r="A124" s="59">
        <v>44371.0</v>
      </c>
      <c r="B124" s="60" t="str">
        <f>IFERROR(__xludf.DUMMYFUNCTION("FILTER($G$2:$G$445,$H$2:$H$445=D124)"),"Taiwanese American Student Association")</f>
        <v>Taiwanese American Student Association</v>
      </c>
      <c r="C124" s="60" t="str">
        <f>IFERROR(__xludf.DUMMYFUNCTION("filter($I$1:$I$500, $J$1:$J$500=D124)"),"Cultural")</f>
        <v>Cultural</v>
      </c>
      <c r="D124" s="61">
        <v>494.0</v>
      </c>
      <c r="F124" s="62">
        <v>900.0</v>
      </c>
      <c r="G124" s="224" t="s">
        <v>147</v>
      </c>
      <c r="H124" s="64">
        <v>1786.0</v>
      </c>
      <c r="I124" s="222" t="s">
        <v>22</v>
      </c>
      <c r="J124" s="66">
        <v>741.0</v>
      </c>
      <c r="K124" s="66"/>
      <c r="L124" s="67">
        <v>218.0</v>
      </c>
      <c r="M124" s="68">
        <v>750.0</v>
      </c>
    </row>
    <row r="125">
      <c r="A125" s="59">
        <v>44371.0</v>
      </c>
      <c r="B125" s="60" t="str">
        <f>IFERROR(__xludf.DUMMYFUNCTION("FILTER($G$2:$G$445,$H$2:$H$445=D125)"),"Taiwanese American Student Association")</f>
        <v>Taiwanese American Student Association</v>
      </c>
      <c r="C125" s="60" t="str">
        <f>IFERROR(__xludf.DUMMYFUNCTION("filter($I$1:$I$500, $J$1:$J$500=D125)"),"Cultural")</f>
        <v>Cultural</v>
      </c>
      <c r="D125" s="61">
        <v>494.0</v>
      </c>
      <c r="F125" s="62">
        <v>685.25</v>
      </c>
      <c r="G125" s="70" t="s">
        <v>138</v>
      </c>
      <c r="H125" s="64">
        <v>1818.0</v>
      </c>
      <c r="I125" s="222" t="s">
        <v>69</v>
      </c>
      <c r="J125" s="66">
        <v>1905.0</v>
      </c>
      <c r="K125" s="66"/>
      <c r="L125" s="67">
        <v>6.0</v>
      </c>
      <c r="M125" s="68">
        <v>350.0</v>
      </c>
    </row>
    <row r="126">
      <c r="A126" s="59">
        <v>44371.0</v>
      </c>
      <c r="B126" s="60" t="str">
        <f>IFERROR(__xludf.DUMMYFUNCTION("FILTER($G$2:$G$445,$H$2:$H$445=D126)"),"Sikh Student Association")</f>
        <v>Sikh Student Association</v>
      </c>
      <c r="C126" s="60" t="str">
        <f>IFERROR(__xludf.DUMMYFUNCTION("filter($I$1:$I$500, $J$1:$J$500=D126)"),"Cultural")</f>
        <v>Cultural</v>
      </c>
      <c r="D126" s="61">
        <v>495.0</v>
      </c>
      <c r="F126" s="62">
        <v>75.0</v>
      </c>
      <c r="G126" s="224" t="s">
        <v>100</v>
      </c>
      <c r="H126" s="64">
        <v>170.0</v>
      </c>
      <c r="I126" s="222" t="s">
        <v>17</v>
      </c>
      <c r="J126" s="66">
        <v>1899.0</v>
      </c>
      <c r="K126" s="66"/>
      <c r="L126" s="67">
        <v>759.0</v>
      </c>
      <c r="M126" s="68">
        <v>0.0</v>
      </c>
    </row>
    <row r="127">
      <c r="A127" s="59">
        <v>44371.0</v>
      </c>
      <c r="B127" s="60" t="str">
        <f>IFERROR(__xludf.DUMMYFUNCTION("FILTER($G$2:$G$445,$H$2:$H$445=D127)"),"Persian Cultural Club")</f>
        <v>Persian Cultural Club</v>
      </c>
      <c r="C127" s="60" t="str">
        <f>IFERROR(__xludf.DUMMYFUNCTION("filter($I$1:$I$500, $J$1:$J$500=D127)"),"Cultural")</f>
        <v>Cultural</v>
      </c>
      <c r="D127" s="61">
        <v>504.0</v>
      </c>
      <c r="F127" s="62">
        <v>400.0</v>
      </c>
      <c r="G127" s="224" t="s">
        <v>121</v>
      </c>
      <c r="H127" s="64">
        <v>1717.0</v>
      </c>
      <c r="I127" s="222" t="s">
        <v>22</v>
      </c>
      <c r="J127" s="66">
        <v>737.0</v>
      </c>
      <c r="K127" s="66"/>
      <c r="L127" s="67">
        <v>292.0</v>
      </c>
      <c r="M127" s="68">
        <v>300.0</v>
      </c>
    </row>
    <row r="128">
      <c r="A128" s="59">
        <v>44371.0</v>
      </c>
      <c r="B128" s="60" t="str">
        <f>IFERROR(__xludf.DUMMYFUNCTION("FILTER($G$2:$G$445,$H$2:$H$445=D128)"),"Persian Cultural Club")</f>
        <v>Persian Cultural Club</v>
      </c>
      <c r="C128" s="60" t="str">
        <f>IFERROR(__xludf.DUMMYFUNCTION("filter($I$1:$I$500, $J$1:$J$500=D128)"),"Cultural")</f>
        <v>Cultural</v>
      </c>
      <c r="D128" s="61">
        <v>504.0</v>
      </c>
      <c r="F128" s="62">
        <v>600.0</v>
      </c>
      <c r="G128" s="70" t="s">
        <v>135</v>
      </c>
      <c r="H128" s="64">
        <v>1672.0</v>
      </c>
      <c r="I128" s="222" t="s">
        <v>27</v>
      </c>
      <c r="J128" s="66">
        <v>1896.0</v>
      </c>
      <c r="K128" s="66"/>
      <c r="L128" s="67">
        <v>1574.0</v>
      </c>
      <c r="M128" s="68">
        <v>0.0</v>
      </c>
    </row>
    <row r="129">
      <c r="A129" s="25">
        <v>44371.0</v>
      </c>
      <c r="B129" s="26" t="str">
        <f>IFERROR(__xludf.DUMMYFUNCTION("FILTER($G$2:$G$445,$H$2:$H$445=D129)"),"Chemistry Society")</f>
        <v>Chemistry Society</v>
      </c>
      <c r="C129" s="26" t="str">
        <f>IFERROR(__xludf.DUMMYFUNCTION("filter($I$1:$I$500, $J$1:$J$500=D129)"),"Academic")</f>
        <v>Academic</v>
      </c>
      <c r="D129" s="27">
        <v>512.0</v>
      </c>
      <c r="F129" s="28">
        <v>54.0</v>
      </c>
      <c r="G129" s="245" t="s">
        <v>21</v>
      </c>
      <c r="H129" s="30">
        <v>48.0</v>
      </c>
      <c r="I129" s="246" t="s">
        <v>22</v>
      </c>
      <c r="J129" s="32">
        <v>733.0</v>
      </c>
      <c r="K129" s="32"/>
      <c r="L129" s="33">
        <v>26.0</v>
      </c>
      <c r="M129" s="34">
        <v>50.0</v>
      </c>
    </row>
    <row r="130">
      <c r="A130" s="146">
        <v>44371.0</v>
      </c>
      <c r="B130" s="147" t="str">
        <f>IFERROR(__xludf.DUMMYFUNCTION("FILTER($G$2:$G$445,$H$2:$H$445=D130)"),"First Light")</f>
        <v>First Light</v>
      </c>
      <c r="C130" s="147" t="str">
        <f>IFERROR(__xludf.DUMMYFUNCTION("filter($I$1:$I$500, $J$1:$J$500=D130)"),"Performing Arts")</f>
        <v>Performing Arts</v>
      </c>
      <c r="D130" s="148">
        <v>538.0</v>
      </c>
      <c r="F130" s="163">
        <v>1250.0</v>
      </c>
      <c r="G130" s="239" t="s">
        <v>278</v>
      </c>
      <c r="H130" s="151">
        <v>1373.0</v>
      </c>
      <c r="I130" s="238" t="s">
        <v>22</v>
      </c>
      <c r="J130" s="153">
        <v>726.0</v>
      </c>
      <c r="K130" s="153"/>
      <c r="L130" s="154">
        <v>386.0</v>
      </c>
      <c r="M130" s="154">
        <v>877.0</v>
      </c>
    </row>
    <row r="131">
      <c r="A131" s="146">
        <v>44371.0</v>
      </c>
      <c r="B131" s="147" t="str">
        <f>IFERROR(__xludf.DUMMYFUNCTION("FILTER($G$2:$G$445,$H$2:$H$445=D131)"),"First Light")</f>
        <v>First Light</v>
      </c>
      <c r="C131" s="147" t="str">
        <f>IFERROR(__xludf.DUMMYFUNCTION("filter($I$1:$I$500, $J$1:$J$500=D131)"),"Performing Arts")</f>
        <v>Performing Arts</v>
      </c>
      <c r="D131" s="148">
        <v>538.0</v>
      </c>
      <c r="F131" s="149">
        <v>286.21</v>
      </c>
      <c r="G131" s="239" t="s">
        <v>260</v>
      </c>
      <c r="H131" s="151">
        <v>1775.0</v>
      </c>
      <c r="I131" s="238" t="s">
        <v>37</v>
      </c>
      <c r="J131" s="153">
        <v>1891.0</v>
      </c>
      <c r="K131" s="153"/>
      <c r="L131" s="154">
        <v>1355.0</v>
      </c>
      <c r="M131" s="156">
        <v>0.0</v>
      </c>
    </row>
    <row r="132">
      <c r="A132" s="43">
        <v>44371.0</v>
      </c>
      <c r="B132" s="44" t="str">
        <f>IFERROR(__xludf.DUMMYFUNCTION("FILTER($G$2:$G$445,$H$2:$H$445=D132)"),"The G.O.Y.A. Project ")</f>
        <v>The G.O.Y.A. Project </v>
      </c>
      <c r="C132" s="44" t="str">
        <f>IFERROR(__xludf.DUMMYFUNCTION("filter($I$1:$I$500, $J$1:$J$500=D132)"),"Community Service")</f>
        <v>Community Service</v>
      </c>
      <c r="D132" s="45">
        <v>545.0</v>
      </c>
      <c r="F132" s="46">
        <v>225.0</v>
      </c>
      <c r="G132" s="230" t="s">
        <v>77</v>
      </c>
      <c r="H132" s="48">
        <v>1467.0</v>
      </c>
      <c r="I132" s="231" t="s">
        <v>15</v>
      </c>
      <c r="J132" s="50">
        <v>725.0</v>
      </c>
      <c r="K132" s="50"/>
      <c r="L132" s="51">
        <v>401.0</v>
      </c>
      <c r="M132" s="52">
        <v>25.0</v>
      </c>
    </row>
    <row r="133">
      <c r="A133" s="119">
        <v>44371.0</v>
      </c>
      <c r="B133" s="120" t="str">
        <f>IFERROR(__xludf.DUMMYFUNCTION("FILTER($G$2:$G$445,$H$2:$H$445=D133)"),"Photography Club")</f>
        <v>Photography Club</v>
      </c>
      <c r="C133" s="120" t="str">
        <f>IFERROR(__xludf.DUMMYFUNCTION("filter($I$1:$I$500, $J$1:$J$500=D133)"),"Media")</f>
        <v>Media</v>
      </c>
      <c r="D133" s="121">
        <v>549.0</v>
      </c>
      <c r="F133" s="122">
        <v>300.0</v>
      </c>
      <c r="G133" s="223" t="s">
        <v>237</v>
      </c>
      <c r="H133" s="124">
        <v>218.0</v>
      </c>
      <c r="I133" s="235" t="s">
        <v>15</v>
      </c>
      <c r="J133" s="126">
        <v>722.0</v>
      </c>
      <c r="K133" s="126"/>
      <c r="L133" s="127">
        <v>1324.0</v>
      </c>
      <c r="M133" s="129">
        <v>150.0</v>
      </c>
    </row>
    <row r="134">
      <c r="A134" s="119">
        <v>44371.0</v>
      </c>
      <c r="B134" s="120" t="str">
        <f>IFERROR(__xludf.DUMMYFUNCTION("FILTER($G$2:$G$445,$H$2:$H$445=D134)"),"Photography Club")</f>
        <v>Photography Club</v>
      </c>
      <c r="C134" s="120" t="str">
        <f>IFERROR(__xludf.DUMMYFUNCTION("filter($I$1:$I$500, $J$1:$J$500=D134)"),"Media")</f>
        <v>Media</v>
      </c>
      <c r="D134" s="121">
        <v>549.0</v>
      </c>
      <c r="F134" s="134">
        <v>1493.0</v>
      </c>
      <c r="G134" s="236" t="s">
        <v>240</v>
      </c>
      <c r="H134" s="124">
        <v>347.0</v>
      </c>
      <c r="I134" s="235" t="s">
        <v>19</v>
      </c>
      <c r="J134" s="126">
        <v>1883.0</v>
      </c>
      <c r="K134" s="126"/>
      <c r="L134" s="127">
        <v>1237.0</v>
      </c>
      <c r="M134" s="129">
        <v>0.0</v>
      </c>
    </row>
    <row r="135">
      <c r="A135" s="77">
        <v>44371.0</v>
      </c>
      <c r="B135" s="78" t="str">
        <f>IFERROR(__xludf.DUMMYFUNCTION("FILTER($G$2:$G$445,$H$2:$H$445=D135)"),"Muslim Student Association")</f>
        <v>Muslim Student Association</v>
      </c>
      <c r="C135" s="78" t="str">
        <f>IFERROR(__xludf.DUMMYFUNCTION("filter($I$1:$I$500, $J$1:$J$500=D135)"),"Faith-based")</f>
        <v>Faith-based</v>
      </c>
      <c r="D135" s="79">
        <v>568.0</v>
      </c>
      <c r="F135" s="92">
        <v>1580.71</v>
      </c>
      <c r="G135" s="237" t="s">
        <v>202</v>
      </c>
      <c r="H135" s="82">
        <v>1958.0</v>
      </c>
      <c r="I135" s="237" t="s">
        <v>34</v>
      </c>
      <c r="J135" s="84">
        <v>42.0</v>
      </c>
      <c r="K135" s="84"/>
      <c r="L135" s="85">
        <v>287.0</v>
      </c>
      <c r="M135" s="86">
        <v>168.0</v>
      </c>
    </row>
    <row r="136">
      <c r="A136" s="77">
        <v>44371.0</v>
      </c>
      <c r="B136" s="78" t="str">
        <f>IFERROR(__xludf.DUMMYFUNCTION("FILTER($G$2:$G$445,$H$2:$H$445=D136)"),"Muslim Student Association")</f>
        <v>Muslim Student Association</v>
      </c>
      <c r="C136" s="78" t="str">
        <f>IFERROR(__xludf.DUMMYFUNCTION("filter($I$1:$I$500, $J$1:$J$500=D136)"),"Faith-based")</f>
        <v>Faith-based</v>
      </c>
      <c r="D136" s="79">
        <v>568.0</v>
      </c>
      <c r="F136" s="80">
        <v>50.0</v>
      </c>
      <c r="G136" s="237" t="s">
        <v>176</v>
      </c>
      <c r="H136" s="82">
        <v>292.0</v>
      </c>
      <c r="I136" s="234" t="s">
        <v>25</v>
      </c>
      <c r="J136" s="84">
        <v>712.0</v>
      </c>
      <c r="K136" s="84"/>
      <c r="L136" s="85">
        <v>549.0</v>
      </c>
      <c r="M136" s="86">
        <v>300.0</v>
      </c>
    </row>
    <row r="137">
      <c r="A137" s="77">
        <v>44371.0</v>
      </c>
      <c r="B137" s="78" t="str">
        <f>IFERROR(__xludf.DUMMYFUNCTION("FILTER($G$2:$G$445,$H$2:$H$445=D137)"),"Muslim Student Association")</f>
        <v>Muslim Student Association</v>
      </c>
      <c r="C137" s="78" t="str">
        <f>IFERROR(__xludf.DUMMYFUNCTION("filter($I$1:$I$500, $J$1:$J$500=D137)"),"Faith-based")</f>
        <v>Faith-based</v>
      </c>
      <c r="D137" s="79">
        <v>568.0</v>
      </c>
      <c r="F137" s="92">
        <v>2237.0</v>
      </c>
      <c r="G137" s="93" t="s">
        <v>205</v>
      </c>
      <c r="H137" s="82">
        <v>1491.0</v>
      </c>
      <c r="I137" s="234" t="s">
        <v>43</v>
      </c>
      <c r="J137" s="84">
        <v>1882.0</v>
      </c>
      <c r="K137" s="84"/>
      <c r="L137" s="85">
        <v>1646.0</v>
      </c>
      <c r="M137" s="86">
        <v>0.0</v>
      </c>
    </row>
    <row r="138">
      <c r="A138" s="77">
        <v>44371.0</v>
      </c>
      <c r="B138" s="78" t="str">
        <f>IFERROR(__xludf.DUMMYFUNCTION("FILTER($G$2:$G$445,$H$2:$H$445=D138)"),"Korean Catholic Circle")</f>
        <v>Korean Catholic Circle</v>
      </c>
      <c r="C138" s="78" t="str">
        <f>IFERROR(__xludf.DUMMYFUNCTION("filter($I$1:$I$500, $J$1:$J$500=D138)"),"Faith-based")</f>
        <v>Faith-based</v>
      </c>
      <c r="D138" s="79">
        <v>575.0</v>
      </c>
      <c r="F138" s="80">
        <v>505.0</v>
      </c>
      <c r="G138" s="237" t="s">
        <v>191</v>
      </c>
      <c r="H138" s="82">
        <v>1822.0</v>
      </c>
      <c r="I138" s="234" t="s">
        <v>27</v>
      </c>
      <c r="J138" s="84">
        <v>1881.0</v>
      </c>
      <c r="K138" s="84"/>
      <c r="L138" s="85">
        <v>1220.0</v>
      </c>
      <c r="M138" s="86">
        <v>210.0</v>
      </c>
    </row>
    <row r="139">
      <c r="A139" s="192">
        <v>44371.0</v>
      </c>
      <c r="B139" s="193" t="str">
        <f>IFERROR(__xludf.DUMMYFUNCTION("FILTER($G$2:$G$445,$H$2:$H$445=D139)"),"Students for Justice in Palestine")</f>
        <v>Students for Justice in Palestine</v>
      </c>
      <c r="C139" s="193" t="str">
        <f>IFERROR(__xludf.DUMMYFUNCTION("filter($I$1:$I$500, $J$1:$J$500=D139)"),"Social Action/Political")</f>
        <v>Social Action/Political</v>
      </c>
      <c r="D139" s="194">
        <v>586.0</v>
      </c>
      <c r="F139" s="195">
        <v>159.57</v>
      </c>
      <c r="G139" s="203" t="s">
        <v>365</v>
      </c>
      <c r="H139" s="197">
        <v>822.0</v>
      </c>
      <c r="I139" s="225" t="s">
        <v>15</v>
      </c>
      <c r="J139" s="199">
        <v>710.0</v>
      </c>
      <c r="K139" s="199"/>
      <c r="L139" s="199"/>
      <c r="M139" s="199"/>
    </row>
    <row r="140">
      <c r="A140" s="146">
        <v>44371.0</v>
      </c>
      <c r="B140" s="147" t="str">
        <f>IFERROR(__xludf.DUMMYFUNCTION("FILTER($G$2:$G$445,$H$2:$H$445=D140)"),"RU Bhangra")</f>
        <v>RU Bhangra</v>
      </c>
      <c r="C140" s="147" t="str">
        <f>IFERROR(__xludf.DUMMYFUNCTION("filter($I$1:$I$500, $J$1:$J$500=D140)"),"Performing Arts")</f>
        <v>Performing Arts</v>
      </c>
      <c r="D140" s="148">
        <v>587.0</v>
      </c>
      <c r="F140" s="163">
        <v>2500.0</v>
      </c>
      <c r="G140" s="161" t="s">
        <v>283</v>
      </c>
      <c r="H140" s="151">
        <v>1411.0</v>
      </c>
      <c r="I140" s="238" t="s">
        <v>22</v>
      </c>
      <c r="J140" s="153">
        <v>707.0</v>
      </c>
      <c r="K140" s="153"/>
      <c r="L140" s="154">
        <v>733.0</v>
      </c>
      <c r="M140" s="156">
        <v>1120.0</v>
      </c>
    </row>
    <row r="141">
      <c r="A141" s="59">
        <v>44371.0</v>
      </c>
      <c r="B141" s="60" t="str">
        <f>IFERROR(__xludf.DUMMYFUNCTION("FILTER($G$2:$G$445,$H$2:$H$445=D141)"),"Japanese Visual Culture Association")</f>
        <v>Japanese Visual Culture Association</v>
      </c>
      <c r="C141" s="60" t="str">
        <f>IFERROR(__xludf.DUMMYFUNCTION("filter($I$1:$I$500, $J$1:$J$500=D141)"),"Cultural")</f>
        <v>Cultural</v>
      </c>
      <c r="D141" s="61">
        <v>614.0</v>
      </c>
      <c r="F141" s="62">
        <v>290.0</v>
      </c>
      <c r="G141" s="224" t="s">
        <v>114</v>
      </c>
      <c r="H141" s="64">
        <v>293.0</v>
      </c>
      <c r="I141" s="222" t="s">
        <v>27</v>
      </c>
      <c r="J141" s="66">
        <v>1880.0</v>
      </c>
      <c r="K141" s="66"/>
      <c r="L141" s="67">
        <v>164.0</v>
      </c>
      <c r="M141" s="68">
        <v>750.0</v>
      </c>
    </row>
    <row r="142">
      <c r="A142" s="25">
        <v>44371.0</v>
      </c>
      <c r="B142" s="26" t="str">
        <f>IFERROR(__xludf.DUMMYFUNCTION("FILTER($G$2:$G$445,$H$2:$H$445=D142)"),"Society of Physics Students")</f>
        <v>Society of Physics Students</v>
      </c>
      <c r="C142" s="26" t="str">
        <f>IFERROR(__xludf.DUMMYFUNCTION("filter($I$1:$I$500, $J$1:$J$500=D142)"),"Academic")</f>
        <v>Academic</v>
      </c>
      <c r="D142" s="27">
        <v>615.0</v>
      </c>
      <c r="F142" s="28">
        <v>51.76</v>
      </c>
      <c r="G142" s="240" t="s">
        <v>20</v>
      </c>
      <c r="H142" s="30">
        <v>1950.0</v>
      </c>
      <c r="I142" s="246" t="s">
        <v>19</v>
      </c>
      <c r="J142" s="32">
        <v>1879.0</v>
      </c>
      <c r="K142" s="32"/>
      <c r="L142" s="33">
        <v>1541.0</v>
      </c>
      <c r="M142" s="34">
        <v>0.0</v>
      </c>
    </row>
    <row r="143">
      <c r="A143" s="77">
        <v>44371.0</v>
      </c>
      <c r="B143" s="78" t="str">
        <f>IFERROR(__xludf.DUMMYFUNCTION("FILTER($G$2:$G$445,$H$2:$H$445=D143)"),"Chinese Christian Fellowship")</f>
        <v>Chinese Christian Fellowship</v>
      </c>
      <c r="C143" s="78" t="str">
        <f>IFERROR(__xludf.DUMMYFUNCTION("filter($I$1:$I$500, $J$1:$J$500=D143)"),"Faith-based")</f>
        <v>Faith-based</v>
      </c>
      <c r="D143" s="79">
        <v>620.0</v>
      </c>
      <c r="F143" s="80">
        <v>380.0</v>
      </c>
      <c r="G143" s="93" t="s">
        <v>190</v>
      </c>
      <c r="H143" s="82">
        <v>1055.0</v>
      </c>
      <c r="I143" s="234" t="s">
        <v>13</v>
      </c>
      <c r="J143" s="84">
        <v>702.0</v>
      </c>
      <c r="K143" s="84"/>
      <c r="L143" s="85">
        <v>1835.0</v>
      </c>
      <c r="M143" s="86">
        <v>430.0</v>
      </c>
    </row>
    <row r="144">
      <c r="A144" s="77">
        <v>44371.0</v>
      </c>
      <c r="B144" s="78" t="str">
        <f>IFERROR(__xludf.DUMMYFUNCTION("FILTER($G$2:$G$445,$H$2:$H$445=D144)"),"Chinese Christian Fellowship")</f>
        <v>Chinese Christian Fellowship</v>
      </c>
      <c r="C144" s="78" t="str">
        <f>IFERROR(__xludf.DUMMYFUNCTION("filter($I$1:$I$500, $J$1:$J$500=D144)"),"Faith-based")</f>
        <v>Faith-based</v>
      </c>
      <c r="D144" s="79">
        <v>620.0</v>
      </c>
      <c r="F144" s="80">
        <v>41.87</v>
      </c>
      <c r="G144" s="237" t="s">
        <v>174</v>
      </c>
      <c r="H144" s="82">
        <v>1948.0</v>
      </c>
      <c r="I144" s="234" t="s">
        <v>30</v>
      </c>
      <c r="J144" s="84">
        <v>1878.0</v>
      </c>
      <c r="K144" s="84"/>
      <c r="L144" s="85">
        <v>244.0</v>
      </c>
      <c r="M144" s="86">
        <v>270.0</v>
      </c>
    </row>
    <row r="145">
      <c r="A145" s="107">
        <v>44371.0</v>
      </c>
      <c r="B145" s="108" t="str">
        <f>IFERROR(__xludf.DUMMYFUNCTION("FILTER($G$2:$G$445,$H$2:$H$445=D145)"),"Rutgers Juggling Club ")</f>
        <v>Rutgers Juggling Club </v>
      </c>
      <c r="C145" s="108" t="str">
        <f>IFERROR(__xludf.DUMMYFUNCTION("filter($I$1:$I$500, $J$1:$J$500=D145)"),"Leisure")</f>
        <v>Leisure</v>
      </c>
      <c r="D145" s="109">
        <v>621.0</v>
      </c>
      <c r="F145" s="110">
        <v>129.0</v>
      </c>
      <c r="G145" s="241" t="s">
        <v>225</v>
      </c>
      <c r="H145" s="112">
        <v>1896.0</v>
      </c>
      <c r="I145" s="242" t="s">
        <v>30</v>
      </c>
      <c r="J145" s="114">
        <v>1877.0</v>
      </c>
      <c r="K145" s="114"/>
      <c r="L145" s="115">
        <v>1948.0</v>
      </c>
      <c r="M145" s="115">
        <v>1440.0</v>
      </c>
    </row>
    <row r="146">
      <c r="A146" s="164">
        <v>44371.0</v>
      </c>
      <c r="B146" s="165" t="str">
        <f>IFERROR(__xludf.DUMMYFUNCTION("FILTER($G$2:$G$445,$H$2:$H$445=D146)"),"UNICEF")</f>
        <v>UNICEF</v>
      </c>
      <c r="C146" s="165" t="str">
        <f>IFERROR(__xludf.DUMMYFUNCTION("filter($I$1:$I$500, $J$1:$J$500=D146)"),"Philanthropic")</f>
        <v>Philanthropic</v>
      </c>
      <c r="D146" s="166">
        <v>628.0</v>
      </c>
      <c r="F146" s="167">
        <v>300.0</v>
      </c>
      <c r="G146" s="248" t="s">
        <v>301</v>
      </c>
      <c r="H146" s="169">
        <v>1347.0</v>
      </c>
      <c r="I146" s="244" t="s">
        <v>25</v>
      </c>
      <c r="J146" s="171">
        <v>697.0</v>
      </c>
      <c r="K146" s="171"/>
      <c r="L146" s="172">
        <v>1886.0</v>
      </c>
      <c r="M146" s="173">
        <v>300.0</v>
      </c>
    </row>
    <row r="147">
      <c r="A147" s="164">
        <v>44371.0</v>
      </c>
      <c r="B147" s="165" t="str">
        <f>IFERROR(__xludf.DUMMYFUNCTION("FILTER($G$2:$G$445,$H$2:$H$445=D147)"),"UNICEF")</f>
        <v>UNICEF</v>
      </c>
      <c r="C147" s="165" t="str">
        <f>IFERROR(__xludf.DUMMYFUNCTION("filter($I$1:$I$500, $J$1:$J$500=D147)"),"Philanthropic")</f>
        <v>Philanthropic</v>
      </c>
      <c r="D147" s="166">
        <v>628.0</v>
      </c>
      <c r="F147" s="167">
        <v>449.0</v>
      </c>
      <c r="G147" s="248" t="s">
        <v>306</v>
      </c>
      <c r="H147" s="169">
        <v>1880.0</v>
      </c>
      <c r="I147" s="244" t="s">
        <v>43</v>
      </c>
      <c r="J147" s="171">
        <v>1876.0</v>
      </c>
      <c r="K147" s="171"/>
      <c r="L147" s="171"/>
      <c r="M147" s="171"/>
    </row>
    <row r="148">
      <c r="A148" s="164">
        <v>44371.0</v>
      </c>
      <c r="B148" s="165" t="str">
        <f>IFERROR(__xludf.DUMMYFUNCTION("FILTER($G$2:$G$445,$H$2:$H$445=D148)"),"Oxfam")</f>
        <v>Oxfam</v>
      </c>
      <c r="C148" s="165" t="str">
        <f>IFERROR(__xludf.DUMMYFUNCTION("filter($I$1:$I$500, $J$1:$J$500=D148)"),"Philanthropic")</f>
        <v>Philanthropic</v>
      </c>
      <c r="D148" s="166">
        <v>630.0</v>
      </c>
      <c r="F148" s="167">
        <v>50.0</v>
      </c>
      <c r="G148" s="248" t="s">
        <v>290</v>
      </c>
      <c r="H148" s="169">
        <v>1873.0</v>
      </c>
      <c r="I148" s="244" t="s">
        <v>17</v>
      </c>
      <c r="J148" s="171">
        <v>691.0</v>
      </c>
      <c r="K148" s="171"/>
      <c r="L148" s="172">
        <v>357.0</v>
      </c>
      <c r="M148" s="173">
        <v>0.0</v>
      </c>
    </row>
    <row r="149">
      <c r="A149" s="146">
        <v>44371.0</v>
      </c>
      <c r="B149" s="147" t="str">
        <f>IFERROR(__xludf.DUMMYFUNCTION("FILTER($G$2:$G$445,$H$2:$H$445=D149)"),"Raas and Garba Association")</f>
        <v>Raas and Garba Association</v>
      </c>
      <c r="C149" s="147" t="str">
        <f>IFERROR(__xludf.DUMMYFUNCTION("filter($I$1:$I$500, $J$1:$J$500=D149)"),"Performing Arts")</f>
        <v>Performing Arts</v>
      </c>
      <c r="D149" s="148">
        <v>639.0</v>
      </c>
      <c r="F149" s="149">
        <v>421.0</v>
      </c>
      <c r="G149" s="161" t="s">
        <v>265</v>
      </c>
      <c r="H149" s="151">
        <v>1879.0</v>
      </c>
      <c r="I149" s="238" t="s">
        <v>13</v>
      </c>
      <c r="J149" s="153">
        <v>1875.0</v>
      </c>
      <c r="K149" s="153"/>
      <c r="L149" s="154">
        <v>545.0</v>
      </c>
      <c r="M149" s="156">
        <v>225.0</v>
      </c>
    </row>
    <row r="150">
      <c r="A150" s="146">
        <v>44371.0</v>
      </c>
      <c r="B150" s="147" t="str">
        <f>IFERROR(__xludf.DUMMYFUNCTION("FILTER($G$2:$G$445,$H$2:$H$445=D150)"),"University Choir")</f>
        <v>University Choir</v>
      </c>
      <c r="C150" s="147" t="str">
        <f>IFERROR(__xludf.DUMMYFUNCTION("filter($I$1:$I$500, $J$1:$J$500=D150)"),"Performing Arts")</f>
        <v>Performing Arts</v>
      </c>
      <c r="D150" s="148">
        <v>653.0</v>
      </c>
      <c r="F150" s="149">
        <v>945.0</v>
      </c>
      <c r="G150" s="239" t="s">
        <v>276</v>
      </c>
      <c r="H150" s="151">
        <v>132.0</v>
      </c>
      <c r="I150" s="238" t="s">
        <v>25</v>
      </c>
      <c r="J150" s="153">
        <v>677.0</v>
      </c>
      <c r="K150" s="153"/>
      <c r="L150" s="154">
        <v>271.0</v>
      </c>
      <c r="M150" s="156">
        <v>800.0</v>
      </c>
    </row>
    <row r="151">
      <c r="A151" s="146">
        <v>44371.0</v>
      </c>
      <c r="B151" s="147" t="str">
        <f>IFERROR(__xludf.DUMMYFUNCTION("FILTER($G$2:$G$445,$H$2:$H$445=D151)"),"University Choir")</f>
        <v>University Choir</v>
      </c>
      <c r="C151" s="147" t="str">
        <f>IFERROR(__xludf.DUMMYFUNCTION("filter($I$1:$I$500, $J$1:$J$500=D151)"),"Performing Arts")</f>
        <v>Performing Arts</v>
      </c>
      <c r="D151" s="148">
        <v>653.0</v>
      </c>
      <c r="F151" s="149">
        <v>253.0</v>
      </c>
      <c r="G151" s="161" t="s">
        <v>259</v>
      </c>
      <c r="H151" s="151">
        <v>1795.0</v>
      </c>
      <c r="I151" s="238" t="s">
        <v>17</v>
      </c>
      <c r="J151" s="153">
        <v>1874.0</v>
      </c>
      <c r="K151" s="153"/>
      <c r="L151" s="154">
        <v>1078.0</v>
      </c>
      <c r="M151" s="156">
        <v>0.0</v>
      </c>
    </row>
    <row r="152">
      <c r="A152" s="177">
        <v>44371.0</v>
      </c>
      <c r="B152" s="178" t="str">
        <f>IFERROR(__xludf.DUMMYFUNCTION("FILTER($G$2:$G$445,$H$2:$H$445=D152)"),"Mock Trial Association")</f>
        <v>Mock Trial Association</v>
      </c>
      <c r="C152" s="178" t="str">
        <f>IFERROR(__xludf.DUMMYFUNCTION("filter($I$1:$I$500, $J$1:$J$500=D152)"),"Pre-Professional")</f>
        <v>Pre-Professional</v>
      </c>
      <c r="D152" s="179">
        <v>661.0</v>
      </c>
      <c r="F152" s="180">
        <v>730.0</v>
      </c>
      <c r="G152" s="233" t="s">
        <v>339</v>
      </c>
      <c r="H152" s="182">
        <v>1973.0</v>
      </c>
      <c r="I152" s="228" t="s">
        <v>27</v>
      </c>
      <c r="J152" s="184">
        <v>675.0</v>
      </c>
      <c r="K152" s="184"/>
      <c r="L152" s="184"/>
      <c r="M152" s="184"/>
    </row>
    <row r="153">
      <c r="A153" s="177">
        <v>44371.0</v>
      </c>
      <c r="B153" s="178" t="str">
        <f>IFERROR(__xludf.DUMMYFUNCTION("FILTER($G$2:$G$445,$H$2:$H$445=D153)"),"Mock Trial Association")</f>
        <v>Mock Trial Association</v>
      </c>
      <c r="C153" s="178" t="str">
        <f>IFERROR(__xludf.DUMMYFUNCTION("filter($I$1:$I$500, $J$1:$J$500=D153)"),"Pre-Professional")</f>
        <v>Pre-Professional</v>
      </c>
      <c r="D153" s="179">
        <v>661.0</v>
      </c>
      <c r="F153" s="180">
        <v>437.0</v>
      </c>
      <c r="G153" s="227" t="s">
        <v>334</v>
      </c>
      <c r="H153" s="182">
        <v>1943.0</v>
      </c>
      <c r="I153" s="228" t="s">
        <v>37</v>
      </c>
      <c r="J153" s="184">
        <v>1873.0</v>
      </c>
      <c r="K153" s="184"/>
      <c r="L153" s="184"/>
      <c r="M153" s="184"/>
    </row>
    <row r="154">
      <c r="A154" s="59">
        <v>44371.0</v>
      </c>
      <c r="B154" s="60" t="str">
        <f>IFERROR(__xludf.DUMMYFUNCTION("FILTER($G$2:$G$445,$H$2:$H$445=D154)"),"The Black Men's Collective")</f>
        <v>The Black Men's Collective</v>
      </c>
      <c r="C154" s="60" t="str">
        <f>IFERROR(__xludf.DUMMYFUNCTION("filter($I$1:$I$500, $J$1:$J$500=D154)"),"Cultural")</f>
        <v>Cultural</v>
      </c>
      <c r="D154" s="61">
        <v>666.0</v>
      </c>
      <c r="F154" s="62">
        <v>70.0</v>
      </c>
      <c r="G154" s="70" t="s">
        <v>98</v>
      </c>
      <c r="H154" s="70" t="s">
        <v>99</v>
      </c>
      <c r="I154" s="222" t="s">
        <v>15</v>
      </c>
      <c r="J154" s="66">
        <v>666.0</v>
      </c>
      <c r="K154" s="66"/>
      <c r="L154" s="67">
        <v>1347.0</v>
      </c>
      <c r="M154" s="68">
        <v>450.0</v>
      </c>
    </row>
    <row r="155">
      <c r="A155" s="59">
        <v>44371.0</v>
      </c>
      <c r="B155" s="60" t="str">
        <f>IFERROR(__xludf.DUMMYFUNCTION("FILTER($G$2:$G$445,$H$2:$H$445=D155)"),"The Black Men's Collective")</f>
        <v>The Black Men's Collective</v>
      </c>
      <c r="C155" s="60" t="str">
        <f>IFERROR(__xludf.DUMMYFUNCTION("filter($I$1:$I$500, $J$1:$J$500=D155)"),"Cultural")</f>
        <v>Cultural</v>
      </c>
      <c r="D155" s="61">
        <v>666.0</v>
      </c>
      <c r="F155" s="62">
        <v>25.0</v>
      </c>
      <c r="G155" s="70" t="s">
        <v>94</v>
      </c>
      <c r="H155" s="64">
        <v>1674.0</v>
      </c>
      <c r="I155" s="222" t="s">
        <v>15</v>
      </c>
      <c r="J155" s="66">
        <v>1871.0</v>
      </c>
      <c r="K155" s="66"/>
      <c r="L155" s="67">
        <v>1940.0</v>
      </c>
      <c r="M155" s="68">
        <v>20.0</v>
      </c>
    </row>
    <row r="156">
      <c r="A156" s="25">
        <v>44371.0</v>
      </c>
      <c r="B156" s="26" t="str">
        <f>IFERROR(__xludf.DUMMYFUNCTION("FILTER($G$2:$G$445,$H$2:$H$445=D156)"),"Astronomical Society")</f>
        <v>Astronomical Society</v>
      </c>
      <c r="C156" s="26" t="str">
        <f>IFERROR(__xludf.DUMMYFUNCTION("filter($I$1:$I$500, $J$1:$J$500=D156)"),"Academic")</f>
        <v>Academic</v>
      </c>
      <c r="D156" s="27">
        <v>675.0</v>
      </c>
      <c r="F156" s="28">
        <v>614.0</v>
      </c>
      <c r="G156" s="245" t="s">
        <v>53</v>
      </c>
      <c r="H156" s="30">
        <v>1878.0</v>
      </c>
      <c r="I156" s="246" t="s">
        <v>30</v>
      </c>
      <c r="J156" s="32">
        <v>1866.0</v>
      </c>
      <c r="K156" s="32"/>
      <c r="L156" s="33">
        <v>1934.0</v>
      </c>
      <c r="M156" s="34">
        <v>2340.0</v>
      </c>
    </row>
    <row r="157">
      <c r="A157" s="146">
        <v>44371.0</v>
      </c>
      <c r="B157" s="147" t="str">
        <f>IFERROR(__xludf.DUMMYFUNCTION("FILTER($G$2:$G$445,$H$2:$H$445=D157)"),"Liberated Gospel Choir")</f>
        <v>Liberated Gospel Choir</v>
      </c>
      <c r="C157" s="147" t="str">
        <f>IFERROR(__xludf.DUMMYFUNCTION("filter($I$1:$I$500, $J$1:$J$500=D157)"),"Performing Arts")</f>
        <v>Performing Arts</v>
      </c>
      <c r="D157" s="148">
        <v>677.0</v>
      </c>
      <c r="F157" s="163">
        <v>2739.0</v>
      </c>
      <c r="G157" s="161" t="s">
        <v>284</v>
      </c>
      <c r="H157" s="151">
        <v>131.0</v>
      </c>
      <c r="I157" s="238" t="s">
        <v>37</v>
      </c>
      <c r="J157" s="153">
        <v>663.0</v>
      </c>
      <c r="K157" s="153"/>
      <c r="L157" s="154">
        <v>615.0</v>
      </c>
      <c r="M157" s="156">
        <v>0.0</v>
      </c>
    </row>
    <row r="158">
      <c r="A158" s="146">
        <v>44371.0</v>
      </c>
      <c r="B158" s="147" t="str">
        <f>IFERROR(__xludf.DUMMYFUNCTION("FILTER($G$2:$G$445,$H$2:$H$445=D158)"),"Liberated Gospel Choir")</f>
        <v>Liberated Gospel Choir</v>
      </c>
      <c r="C158" s="147" t="str">
        <f>IFERROR(__xludf.DUMMYFUNCTION("filter($I$1:$I$500, $J$1:$J$500=D158)"),"Performing Arts")</f>
        <v>Performing Arts</v>
      </c>
      <c r="D158" s="148">
        <v>677.0</v>
      </c>
      <c r="F158" s="149">
        <v>565.5</v>
      </c>
      <c r="G158" s="161" t="s">
        <v>270</v>
      </c>
      <c r="H158" s="162" t="s">
        <v>271</v>
      </c>
      <c r="I158" s="238" t="s">
        <v>37</v>
      </c>
      <c r="J158" s="153">
        <v>1857.0</v>
      </c>
      <c r="K158" s="153"/>
      <c r="L158" s="154">
        <v>1957.0</v>
      </c>
      <c r="M158" s="156">
        <v>0.0</v>
      </c>
    </row>
    <row r="159">
      <c r="A159" s="43">
        <v>44371.0</v>
      </c>
      <c r="B159" s="44" t="str">
        <f>IFERROR(__xludf.DUMMYFUNCTION("FILTER($G$2:$G$445,$H$2:$H$445=D159)"),"Bloustein Public Service Association")</f>
        <v>Bloustein Public Service Association</v>
      </c>
      <c r="C159" s="44" t="str">
        <f>IFERROR(__xludf.DUMMYFUNCTION("filter($I$1:$I$500, $J$1:$J$500=D159)"),"Community Service")</f>
        <v>Community Service</v>
      </c>
      <c r="D159" s="45">
        <v>691.0</v>
      </c>
      <c r="F159" s="46">
        <v>286.0</v>
      </c>
      <c r="G159" s="230" t="s">
        <v>81</v>
      </c>
      <c r="H159" s="48">
        <v>1876.0</v>
      </c>
      <c r="I159" s="231" t="s">
        <v>22</v>
      </c>
      <c r="J159" s="50">
        <v>1849.0</v>
      </c>
      <c r="K159" s="50"/>
      <c r="L159" s="51">
        <v>157.0</v>
      </c>
      <c r="M159" s="52">
        <v>0.0</v>
      </c>
    </row>
    <row r="160">
      <c r="A160" s="77">
        <v>44371.0</v>
      </c>
      <c r="B160" s="78" t="str">
        <f>IFERROR(__xludf.DUMMYFUNCTION("FILTER($G$2:$G$445,$H$2:$H$445=D160)"),"Rutgers University Jains")</f>
        <v>Rutgers University Jains</v>
      </c>
      <c r="C160" s="78" t="str">
        <f>IFERROR(__xludf.DUMMYFUNCTION("filter($I$1:$I$500, $J$1:$J$500=D160)"),"Faith-based")</f>
        <v>Faith-based</v>
      </c>
      <c r="D160" s="79">
        <v>702.0</v>
      </c>
      <c r="F160" s="80">
        <v>300.0</v>
      </c>
      <c r="G160" s="93" t="s">
        <v>184</v>
      </c>
      <c r="H160" s="82">
        <v>1320.0</v>
      </c>
      <c r="I160" s="234" t="s">
        <v>37</v>
      </c>
      <c r="J160" s="84">
        <v>661.0</v>
      </c>
      <c r="K160" s="84"/>
      <c r="L160" s="85">
        <v>504.0</v>
      </c>
      <c r="M160" s="86">
        <v>400.0</v>
      </c>
    </row>
    <row r="161">
      <c r="A161" s="192">
        <v>44371.0</v>
      </c>
      <c r="B161" s="193" t="str">
        <f>IFERROR(__xludf.DUMMYFUNCTION("FILTER($G$2:$G$445,$H$2:$H$445=D161)"),"Rutgers University Student Assembly")</f>
        <v>Rutgers University Student Assembly</v>
      </c>
      <c r="C161" s="193" t="str">
        <f>IFERROR(__xludf.DUMMYFUNCTION("filter($I$1:$I$500, $J$1:$J$500=D161)"),"Social Action/Political")</f>
        <v>Social Action/Political</v>
      </c>
      <c r="D161" s="194">
        <v>707.0</v>
      </c>
      <c r="F161" s="205">
        <v>185307.69</v>
      </c>
      <c r="G161" s="226" t="s">
        <v>393</v>
      </c>
      <c r="H161" s="197">
        <v>754.0</v>
      </c>
      <c r="I161" s="225" t="s">
        <v>22</v>
      </c>
      <c r="J161" s="199">
        <v>660.0</v>
      </c>
      <c r="K161" s="199"/>
      <c r="L161" s="199"/>
      <c r="M161" s="199"/>
    </row>
    <row r="162">
      <c r="A162" s="59">
        <v>44371.0</v>
      </c>
      <c r="B162" s="60" t="str">
        <f>IFERROR(__xludf.DUMMYFUNCTION("FILTER($G$2:$G$445,$H$2:$H$445=D162)"),"Fusion: The Rutgers Union of Mixed People Student Organization of Rutgers")</f>
        <v>Fusion: The Rutgers Union of Mixed People Student Organization of Rutgers</v>
      </c>
      <c r="C162" s="60" t="str">
        <f>IFERROR(__xludf.DUMMYFUNCTION("filter($I$1:$I$500, $J$1:$J$500=D162)"),"Cultural")</f>
        <v>Cultural</v>
      </c>
      <c r="D162" s="61">
        <v>710.0</v>
      </c>
      <c r="F162" s="62">
        <v>2.01</v>
      </c>
      <c r="G162" s="70" t="s">
        <v>93</v>
      </c>
      <c r="H162" s="64">
        <v>1387.0</v>
      </c>
      <c r="I162" s="222" t="s">
        <v>25</v>
      </c>
      <c r="J162" s="66">
        <v>653.0</v>
      </c>
      <c r="K162" s="66"/>
      <c r="L162" s="67">
        <v>1873.0</v>
      </c>
      <c r="M162" s="68">
        <v>100.0</v>
      </c>
    </row>
    <row r="163">
      <c r="A163" s="59">
        <v>44371.0</v>
      </c>
      <c r="B163" s="60" t="str">
        <f>IFERROR(__xludf.DUMMYFUNCTION("FILTER($G$2:$G$445,$H$2:$H$445=D163)"),"Fusion: The Rutgers Union of Mixed People Student Organization of Rutgers")</f>
        <v>Fusion: The Rutgers Union of Mixed People Student Organization of Rutgers</v>
      </c>
      <c r="C163" s="60" t="str">
        <f>IFERROR(__xludf.DUMMYFUNCTION("filter($I$1:$I$500, $J$1:$J$500=D163)"),"Cultural")</f>
        <v>Cultural</v>
      </c>
      <c r="D163" s="61">
        <v>710.0</v>
      </c>
      <c r="F163" s="62">
        <v>171.0</v>
      </c>
      <c r="G163" s="224" t="s">
        <v>104</v>
      </c>
      <c r="H163" s="64">
        <v>1646.0</v>
      </c>
      <c r="I163" s="222" t="s">
        <v>27</v>
      </c>
      <c r="J163" s="66">
        <v>1845.0</v>
      </c>
      <c r="K163" s="66"/>
      <c r="L163" s="67">
        <v>163.0</v>
      </c>
      <c r="M163" s="68">
        <v>729.57</v>
      </c>
    </row>
    <row r="164">
      <c r="A164" s="146">
        <v>44371.0</v>
      </c>
      <c r="B164" s="147" t="str">
        <f>IFERROR(__xludf.DUMMYFUNCTION("FILTER($G$2:$G$445,$H$2:$H$445=D164)"),"Belly Dance Troupe")</f>
        <v>Belly Dance Troupe</v>
      </c>
      <c r="C164" s="147" t="str">
        <f>IFERROR(__xludf.DUMMYFUNCTION("filter($I$1:$I$500, $J$1:$J$500=D164)"),"Performing Arts")</f>
        <v>Performing Arts</v>
      </c>
      <c r="D164" s="148">
        <v>712.0</v>
      </c>
      <c r="F164" s="149">
        <v>47.32</v>
      </c>
      <c r="G164" s="161" t="s">
        <v>248</v>
      </c>
      <c r="H164" s="151">
        <v>1468.0</v>
      </c>
      <c r="I164" s="238" t="s">
        <v>27</v>
      </c>
      <c r="J164" s="153">
        <v>649.0</v>
      </c>
      <c r="K164" s="153"/>
      <c r="L164" s="154">
        <v>1974.0</v>
      </c>
      <c r="M164" s="156">
        <v>900.0</v>
      </c>
    </row>
    <row r="165">
      <c r="A165" s="59">
        <v>44371.0</v>
      </c>
      <c r="B165" s="60" t="str">
        <f>IFERROR(__xludf.DUMMYFUNCTION("FILTER($G$2:$G$445,$H$2:$H$445=D165)"),"Desi Intercultural Youth Association")</f>
        <v>Desi Intercultural Youth Association</v>
      </c>
      <c r="C165" s="60" t="str">
        <f>IFERROR(__xludf.DUMMYFUNCTION("filter($I$1:$I$500, $J$1:$J$500=D165)"),"Cultural")</f>
        <v>Cultural</v>
      </c>
      <c r="D165" s="61">
        <v>722.0</v>
      </c>
      <c r="F165" s="76">
        <v>3700.0</v>
      </c>
      <c r="G165" s="224" t="s">
        <v>163</v>
      </c>
      <c r="H165" s="64">
        <v>710.0</v>
      </c>
      <c r="I165" s="222" t="s">
        <v>25</v>
      </c>
      <c r="J165" s="66">
        <v>639.0</v>
      </c>
      <c r="K165" s="66"/>
      <c r="L165" s="67">
        <v>132.0</v>
      </c>
      <c r="M165" s="67">
        <v>1970.0</v>
      </c>
    </row>
    <row r="166">
      <c r="A166" s="59">
        <v>44371.0</v>
      </c>
      <c r="B166" s="60" t="str">
        <f>IFERROR(__xludf.DUMMYFUNCTION("FILTER($G$2:$G$445,$H$2:$H$445=D166)"),"Desi Intercultural Youth Association")</f>
        <v>Desi Intercultural Youth Association</v>
      </c>
      <c r="C166" s="60" t="str">
        <f>IFERROR(__xludf.DUMMYFUNCTION("filter($I$1:$I$500, $J$1:$J$500=D166)"),"Cultural")</f>
        <v>Cultural</v>
      </c>
      <c r="D166" s="61">
        <v>722.0</v>
      </c>
      <c r="F166" s="62">
        <v>211.95</v>
      </c>
      <c r="G166" s="70" t="s">
        <v>108</v>
      </c>
      <c r="H166" s="64">
        <v>493.0</v>
      </c>
      <c r="I166" s="222" t="s">
        <v>37</v>
      </c>
      <c r="J166" s="66">
        <v>1839.0</v>
      </c>
      <c r="K166" s="66"/>
      <c r="L166" s="67">
        <v>222.0</v>
      </c>
      <c r="M166" s="67">
        <v>100.0</v>
      </c>
    </row>
    <row r="167">
      <c r="A167" s="192">
        <v>44371.0</v>
      </c>
      <c r="B167" s="193" t="str">
        <f>IFERROR(__xludf.DUMMYFUNCTION("FILTER($G$2:$G$445,$H$2:$H$445=D167)"),"Douglass Governing Council")</f>
        <v>Douglass Governing Council</v>
      </c>
      <c r="C167" s="193" t="str">
        <f>IFERROR(__xludf.DUMMYFUNCTION("filter($I$1:$I$500, $J$1:$J$500=D167)"),"Social Action/Political")</f>
        <v>Social Action/Political</v>
      </c>
      <c r="D167" s="194">
        <v>726.0</v>
      </c>
      <c r="F167" s="205">
        <v>4555.41</v>
      </c>
      <c r="G167" s="203" t="s">
        <v>391</v>
      </c>
      <c r="H167" s="197">
        <v>405.0</v>
      </c>
      <c r="I167" s="226" t="s">
        <v>15</v>
      </c>
      <c r="J167" s="199">
        <v>19.0</v>
      </c>
      <c r="K167" s="199"/>
      <c r="L167" s="199"/>
      <c r="M167" s="199"/>
    </row>
    <row r="168">
      <c r="A168" s="192">
        <v>44371.0</v>
      </c>
      <c r="B168" s="193" t="str">
        <f>IFERROR(__xludf.DUMMYFUNCTION("FILTER($G$2:$G$445,$H$2:$H$445=D168)"),"Douglass Governing Council")</f>
        <v>Douglass Governing Council</v>
      </c>
      <c r="C168" s="193" t="str">
        <f>IFERROR(__xludf.DUMMYFUNCTION("filter($I$1:$I$500, $J$1:$J$500=D168)"),"Social Action/Political")</f>
        <v>Social Action/Political</v>
      </c>
      <c r="D168" s="194">
        <v>726.0</v>
      </c>
      <c r="F168" s="195">
        <v>200.0</v>
      </c>
      <c r="G168" s="203" t="s">
        <v>367</v>
      </c>
      <c r="H168" s="197">
        <v>1013.0</v>
      </c>
      <c r="I168" s="225" t="s">
        <v>30</v>
      </c>
      <c r="J168" s="199">
        <v>630.0</v>
      </c>
      <c r="K168" s="199"/>
      <c r="L168" s="199"/>
      <c r="M168" s="199"/>
    </row>
    <row r="169">
      <c r="A169" s="192">
        <v>44371.0</v>
      </c>
      <c r="B169" s="193" t="str">
        <f>IFERROR(__xludf.DUMMYFUNCTION("FILTER($G$2:$G$445,$H$2:$H$445=D169)"),"Douglass Governing Council")</f>
        <v>Douglass Governing Council</v>
      </c>
      <c r="C169" s="193" t="str">
        <f>IFERROR(__xludf.DUMMYFUNCTION("filter($I$1:$I$500, $J$1:$J$500=D169)"),"Social Action/Political")</f>
        <v>Social Action/Political</v>
      </c>
      <c r="D169" s="194">
        <v>726.0</v>
      </c>
      <c r="F169" s="195">
        <v>415.0</v>
      </c>
      <c r="G169" s="203" t="s">
        <v>375</v>
      </c>
      <c r="H169" s="197">
        <v>1748.0</v>
      </c>
      <c r="I169" s="225" t="s">
        <v>27</v>
      </c>
      <c r="J169" s="199">
        <v>1837.0</v>
      </c>
      <c r="K169" s="199"/>
      <c r="L169" s="199"/>
      <c r="M169" s="199"/>
    </row>
    <row r="170">
      <c r="A170" s="192">
        <v>44371.0</v>
      </c>
      <c r="B170" s="193" t="str">
        <f>IFERROR(__xludf.DUMMYFUNCTION("FILTER($G$2:$G$445,$H$2:$H$445=D170)"),"Sophia Club")</f>
        <v>Sophia Club</v>
      </c>
      <c r="C170" s="193" t="str">
        <f>IFERROR(__xludf.DUMMYFUNCTION("filter($I$1:$I$500, $J$1:$J$500=D170)"),"Social Action/Political")</f>
        <v>Social Action/Political</v>
      </c>
      <c r="D170" s="194">
        <v>733.0</v>
      </c>
      <c r="F170" s="195">
        <v>583.24</v>
      </c>
      <c r="G170" s="203" t="s">
        <v>378</v>
      </c>
      <c r="H170" s="197">
        <v>1783.0</v>
      </c>
      <c r="I170" s="225" t="s">
        <v>30</v>
      </c>
      <c r="J170" s="199">
        <v>628.0</v>
      </c>
      <c r="K170" s="199"/>
      <c r="L170" s="199"/>
      <c r="M170" s="199"/>
    </row>
    <row r="171">
      <c r="A171" s="192">
        <v>44371.0</v>
      </c>
      <c r="B171" s="193" t="str">
        <f>IFERROR(__xludf.DUMMYFUNCTION("FILTER($G$2:$G$445,$H$2:$H$445=D171)"),"Sophia Club")</f>
        <v>Sophia Club</v>
      </c>
      <c r="C171" s="193" t="str">
        <f>IFERROR(__xludf.DUMMYFUNCTION("filter($I$1:$I$500, $J$1:$J$500=D171)"),"Social Action/Political")</f>
        <v>Social Action/Political</v>
      </c>
      <c r="D171" s="194">
        <v>733.0</v>
      </c>
      <c r="F171" s="195">
        <v>200.0</v>
      </c>
      <c r="G171" s="226" t="s">
        <v>370</v>
      </c>
      <c r="H171" s="197">
        <v>1905.0</v>
      </c>
      <c r="I171" s="225" t="s">
        <v>17</v>
      </c>
      <c r="J171" s="199">
        <v>1835.0</v>
      </c>
      <c r="K171" s="199"/>
      <c r="L171" s="199"/>
      <c r="M171" s="199"/>
    </row>
    <row r="172">
      <c r="A172" s="192">
        <v>44371.0</v>
      </c>
      <c r="B172" s="193" t="str">
        <f>IFERROR(__xludf.DUMMYFUNCTION("FILTER($G$2:$G$445,$H$2:$H$445=D172)"),"Women's Center Coalition")</f>
        <v>Women's Center Coalition</v>
      </c>
      <c r="C172" s="193" t="str">
        <f>IFERROR(__xludf.DUMMYFUNCTION("filter($I$1:$I$500, $J$1:$J$500=D172)"),"Social Action/Political")</f>
        <v>Social Action/Political</v>
      </c>
      <c r="D172" s="194">
        <v>737.0</v>
      </c>
      <c r="F172" s="195">
        <v>250.0</v>
      </c>
      <c r="G172" s="203" t="s">
        <v>372</v>
      </c>
      <c r="H172" s="203" t="s">
        <v>99</v>
      </c>
      <c r="I172" s="225" t="s">
        <v>22</v>
      </c>
      <c r="J172" s="199">
        <v>624.0</v>
      </c>
      <c r="K172" s="199"/>
      <c r="L172" s="199"/>
      <c r="M172" s="199"/>
    </row>
    <row r="173">
      <c r="A173" s="192">
        <v>44371.0</v>
      </c>
      <c r="B173" s="193" t="str">
        <f>IFERROR(__xludf.DUMMYFUNCTION("FILTER($G$2:$G$445,$H$2:$H$445=D173)"),"Women's Political Caucus")</f>
        <v>Women's Political Caucus</v>
      </c>
      <c r="C173" s="193" t="str">
        <f>IFERROR(__xludf.DUMMYFUNCTION("filter($I$1:$I$500, $J$1:$J$500=D173)"),"Social Action/Political")</f>
        <v>Social Action/Political</v>
      </c>
      <c r="D173" s="194">
        <v>741.0</v>
      </c>
      <c r="F173" s="195">
        <v>100.0</v>
      </c>
      <c r="G173" s="203" t="s">
        <v>361</v>
      </c>
      <c r="H173" s="197">
        <v>1857.0</v>
      </c>
      <c r="I173" s="225" t="s">
        <v>25</v>
      </c>
      <c r="J173" s="199">
        <v>1834.0</v>
      </c>
      <c r="K173" s="199"/>
      <c r="L173" s="199"/>
      <c r="M173" s="199"/>
    </row>
    <row r="174">
      <c r="A174" s="94">
        <v>44371.0</v>
      </c>
      <c r="B174" s="95" t="str">
        <f>IFERROR(__xludf.DUMMYFUNCTION("FILTER($G$2:$G$445,$H$2:$H$445=D174)"),"Anime Japanese Environmental Society")</f>
        <v>Anime Japanese Environmental Society</v>
      </c>
      <c r="C174" s="95" t="str">
        <f>IFERROR(__xludf.DUMMYFUNCTION("filter($I$1:$I$500, $J$1:$J$500=D174)"),"Geek")</f>
        <v>Geek</v>
      </c>
      <c r="D174" s="96">
        <v>745.0</v>
      </c>
      <c r="F174" s="97">
        <v>30.0</v>
      </c>
      <c r="G174" s="105" t="s">
        <v>210</v>
      </c>
      <c r="H174" s="99">
        <v>538.0</v>
      </c>
      <c r="I174" s="249" t="s">
        <v>19</v>
      </c>
      <c r="J174" s="101">
        <v>621.0</v>
      </c>
      <c r="K174" s="101"/>
      <c r="L174" s="102">
        <v>1758.0</v>
      </c>
      <c r="M174" s="103">
        <v>50.0</v>
      </c>
    </row>
    <row r="175">
      <c r="A175" s="177">
        <v>44371.0</v>
      </c>
      <c r="B175" s="178" t="str">
        <f>IFERROR(__xludf.DUMMYFUNCTION("FILTER($G$2:$G$445,$H$2:$H$445=D175)"),"Art History Student Association")</f>
        <v>Art History Student Association</v>
      </c>
      <c r="C175" s="178" t="str">
        <f>IFERROR(__xludf.DUMMYFUNCTION("filter($I$1:$I$500, $J$1:$J$500=D175)"),"Pre-Professional")</f>
        <v>Pre-Professional</v>
      </c>
      <c r="D175" s="179">
        <v>746.0</v>
      </c>
      <c r="F175" s="180">
        <v>50.0</v>
      </c>
      <c r="G175" s="233" t="s">
        <v>316</v>
      </c>
      <c r="H175" s="182">
        <v>1702.0</v>
      </c>
      <c r="I175" s="228" t="s">
        <v>27</v>
      </c>
      <c r="J175" s="184">
        <v>1832.0</v>
      </c>
      <c r="K175" s="184"/>
      <c r="L175" s="184"/>
      <c r="M175" s="184"/>
    </row>
    <row r="176">
      <c r="A176" s="164">
        <v>44371.0</v>
      </c>
      <c r="B176" s="165" t="str">
        <f>IFERROR(__xludf.DUMMYFUNCTION("FILTER($G$2:$G$445,$H$2:$H$445=D176)"),"American Cancer Society on RU Campus")</f>
        <v>American Cancer Society on RU Campus</v>
      </c>
      <c r="C176" s="165" t="str">
        <f>IFERROR(__xludf.DUMMYFUNCTION("filter($I$1:$I$500, $J$1:$J$500=D176)"),"Philanthropic")</f>
        <v>Philanthropic</v>
      </c>
      <c r="D176" s="166">
        <v>748.0</v>
      </c>
      <c r="F176" s="167">
        <v>100.0</v>
      </c>
      <c r="G176" s="243" t="s">
        <v>292</v>
      </c>
      <c r="H176" s="169">
        <v>1779.0</v>
      </c>
      <c r="I176" s="244" t="s">
        <v>13</v>
      </c>
      <c r="J176" s="171">
        <v>620.0</v>
      </c>
      <c r="K176" s="171"/>
      <c r="L176" s="172">
        <v>1193.0</v>
      </c>
      <c r="M176" s="173">
        <v>550.0</v>
      </c>
    </row>
    <row r="177">
      <c r="A177" s="164">
        <v>44371.0</v>
      </c>
      <c r="B177" s="165" t="str">
        <f>IFERROR(__xludf.DUMMYFUNCTION("FILTER($G$2:$G$445,$H$2:$H$445=D177)"),"American Cancer Society on RU Campus")</f>
        <v>American Cancer Society on RU Campus</v>
      </c>
      <c r="C177" s="165" t="str">
        <f>IFERROR(__xludf.DUMMYFUNCTION("filter($I$1:$I$500, $J$1:$J$500=D177)"),"Philanthropic")</f>
        <v>Philanthropic</v>
      </c>
      <c r="D177" s="166">
        <v>748.0</v>
      </c>
      <c r="F177" s="167">
        <v>168.0</v>
      </c>
      <c r="G177" s="243" t="s">
        <v>297</v>
      </c>
      <c r="H177" s="169">
        <v>1835.0</v>
      </c>
      <c r="I177" s="244" t="s">
        <v>17</v>
      </c>
      <c r="J177" s="171">
        <v>1831.0</v>
      </c>
      <c r="K177" s="171"/>
      <c r="L177" s="171"/>
      <c r="M177" s="171"/>
    </row>
    <row r="178">
      <c r="A178" s="59">
        <v>44371.0</v>
      </c>
      <c r="B178" s="60" t="str">
        <f>IFERROR(__xludf.DUMMYFUNCTION("FILTER($G$2:$G$445,$H$2:$H$445=D178)"),"LASO (Latin American Student Organization)")</f>
        <v>LASO (Latin American Student Organization)</v>
      </c>
      <c r="C178" s="60" t="str">
        <f>IFERROR(__xludf.DUMMYFUNCTION("filter($I$1:$I$500, $J$1:$J$500=D178)"),"Cultural")</f>
        <v>Cultural</v>
      </c>
      <c r="D178" s="61">
        <v>759.0</v>
      </c>
      <c r="F178" s="76">
        <v>1185.83</v>
      </c>
      <c r="G178" s="70" t="s">
        <v>152</v>
      </c>
      <c r="H178" s="64">
        <v>1681.0</v>
      </c>
      <c r="I178" s="222" t="s">
        <v>43</v>
      </c>
      <c r="J178" s="66">
        <v>1830.0</v>
      </c>
      <c r="K178" s="66"/>
      <c r="L178" s="67">
        <v>1797.0</v>
      </c>
      <c r="M178" s="68">
        <v>50.0</v>
      </c>
    </row>
    <row r="179">
      <c r="A179" s="146">
        <v>44371.0</v>
      </c>
      <c r="B179" s="147" t="str">
        <f>IFERROR(__xludf.DUMMYFUNCTION("FILTER($G$2:$G$445,$H$2:$H$445=D179)"),"Livingston Theatre Company ")</f>
        <v>Livingston Theatre Company </v>
      </c>
      <c r="C179" s="147" t="str">
        <f>IFERROR(__xludf.DUMMYFUNCTION("filter($I$1:$I$500, $J$1:$J$500=D179)"),"Performing Arts")</f>
        <v>Performing Arts</v>
      </c>
      <c r="D179" s="148">
        <v>761.0</v>
      </c>
      <c r="F179" s="163">
        <v>4609.09</v>
      </c>
      <c r="G179" s="161" t="s">
        <v>287</v>
      </c>
      <c r="H179" s="151">
        <v>1608.0</v>
      </c>
      <c r="I179" s="238" t="s">
        <v>27</v>
      </c>
      <c r="J179" s="153">
        <v>615.0</v>
      </c>
      <c r="K179" s="153"/>
      <c r="L179" s="154">
        <v>1943.0</v>
      </c>
      <c r="M179" s="156">
        <v>0.0</v>
      </c>
    </row>
    <row r="180">
      <c r="A180" s="146">
        <v>44371.0</v>
      </c>
      <c r="B180" s="147" t="str">
        <f>IFERROR(__xludf.DUMMYFUNCTION("FILTER($G$2:$G$445,$H$2:$H$445=D180)"),"Livingston Theatre Company ")</f>
        <v>Livingston Theatre Company </v>
      </c>
      <c r="C180" s="147" t="str">
        <f>IFERROR(__xludf.DUMMYFUNCTION("filter($I$1:$I$500, $J$1:$J$500=D180)"),"Performing Arts")</f>
        <v>Performing Arts</v>
      </c>
      <c r="D180" s="148">
        <v>761.0</v>
      </c>
      <c r="F180" s="149">
        <v>400.0</v>
      </c>
      <c r="G180" s="161" t="s">
        <v>263</v>
      </c>
      <c r="H180" s="151">
        <v>1830.0</v>
      </c>
      <c r="I180" s="238" t="s">
        <v>27</v>
      </c>
      <c r="J180" s="153">
        <v>1829.0</v>
      </c>
      <c r="K180" s="153"/>
      <c r="L180" s="154">
        <v>666.0</v>
      </c>
      <c r="M180" s="156">
        <v>320.0</v>
      </c>
    </row>
    <row r="181">
      <c r="A181" s="59">
        <v>44371.0</v>
      </c>
      <c r="B181" s="60" t="str">
        <f>IFERROR(__xludf.DUMMYFUNCTION("FILTER($G$2:$G$445,$H$2:$H$445=D181)"),"Arab Cultural Club")</f>
        <v>Arab Cultural Club</v>
      </c>
      <c r="C181" s="60" t="str">
        <f>IFERROR(__xludf.DUMMYFUNCTION("filter($I$1:$I$500, $J$1:$J$500=D181)"),"Cultural")</f>
        <v>Cultural</v>
      </c>
      <c r="D181" s="61">
        <v>767.0</v>
      </c>
      <c r="F181" s="62">
        <v>860.0</v>
      </c>
      <c r="G181" s="70" t="s">
        <v>146</v>
      </c>
      <c r="H181" s="64">
        <v>1587.0</v>
      </c>
      <c r="I181" s="222" t="s">
        <v>15</v>
      </c>
      <c r="J181" s="66">
        <v>614.0</v>
      </c>
      <c r="K181" s="66"/>
      <c r="L181" s="67">
        <v>1320.0</v>
      </c>
      <c r="M181" s="68">
        <v>50.0</v>
      </c>
    </row>
    <row r="182">
      <c r="A182" s="59">
        <v>44371.0</v>
      </c>
      <c r="B182" s="60" t="str">
        <f>IFERROR(__xludf.DUMMYFUNCTION("FILTER($G$2:$G$445,$H$2:$H$445=D182)"),"Arab Cultural Club")</f>
        <v>Arab Cultural Club</v>
      </c>
      <c r="C182" s="60" t="str">
        <f>IFERROR(__xludf.DUMMYFUNCTION("filter($I$1:$I$500, $J$1:$J$500=D182)"),"Cultural")</f>
        <v>Cultural</v>
      </c>
      <c r="D182" s="61">
        <v>767.0</v>
      </c>
      <c r="F182" s="76">
        <v>1334.66</v>
      </c>
      <c r="G182" s="70" t="s">
        <v>154</v>
      </c>
      <c r="H182" s="64">
        <v>831.0</v>
      </c>
      <c r="I182" s="222" t="s">
        <v>15</v>
      </c>
      <c r="J182" s="66">
        <v>1828.0</v>
      </c>
      <c r="K182" s="66"/>
      <c r="L182" s="67">
        <v>159.0</v>
      </c>
      <c r="M182" s="67">
        <v>7930.0</v>
      </c>
    </row>
    <row r="183">
      <c r="A183" s="25">
        <v>44371.0</v>
      </c>
      <c r="B183" s="26" t="str">
        <f>IFERROR(__xludf.DUMMYFUNCTION("FILTER($G$2:$G$445,$H$2:$H$445=D183)"),"Toastmasters")</f>
        <v>Toastmasters</v>
      </c>
      <c r="C183" s="26" t="str">
        <f>IFERROR(__xludf.DUMMYFUNCTION("filter($I$1:$I$500, $J$1:$J$500=D183)"),"Academic")</f>
        <v>Academic</v>
      </c>
      <c r="D183" s="27">
        <v>782.0</v>
      </c>
      <c r="F183" s="28">
        <v>185.0</v>
      </c>
      <c r="G183" s="240" t="s">
        <v>35</v>
      </c>
      <c r="H183" s="30">
        <v>1663.0</v>
      </c>
      <c r="I183" s="246" t="s">
        <v>13</v>
      </c>
      <c r="J183" s="32">
        <v>1823.0</v>
      </c>
      <c r="K183" s="32"/>
      <c r="L183" s="33">
        <v>25.0</v>
      </c>
      <c r="M183" s="34">
        <v>500.0</v>
      </c>
    </row>
    <row r="184">
      <c r="A184" s="25">
        <v>44371.0</v>
      </c>
      <c r="B184" s="26" t="str">
        <f>IFERROR(__xludf.DUMMYFUNCTION("FILTER($G$2:$G$445,$H$2:$H$445=D184)"),"Undergraduate Social Work Organization")</f>
        <v>Undergraduate Social Work Organization</v>
      </c>
      <c r="C184" s="26" t="str">
        <f>IFERROR(__xludf.DUMMYFUNCTION("filter($I$1:$I$500, $J$1:$J$500=D184)"),"Academic")</f>
        <v>Academic</v>
      </c>
      <c r="D184" s="27">
        <v>821.0</v>
      </c>
      <c r="F184" s="28">
        <v>170.0</v>
      </c>
      <c r="G184" s="245" t="s">
        <v>33</v>
      </c>
      <c r="H184" s="30">
        <v>1937.0</v>
      </c>
      <c r="I184" s="246" t="s">
        <v>34</v>
      </c>
      <c r="J184" s="32">
        <v>588.0</v>
      </c>
      <c r="K184" s="32"/>
      <c r="L184" s="33">
        <v>1103.0</v>
      </c>
      <c r="M184" s="34">
        <v>0.0</v>
      </c>
    </row>
    <row r="185">
      <c r="A185" s="25">
        <v>44371.0</v>
      </c>
      <c r="B185" s="26" t="str">
        <f>IFERROR(__xludf.DUMMYFUNCTION("FILTER($G$2:$G$445,$H$2:$H$445=D185)"),"Undergraduate Social Work Organization")</f>
        <v>Undergraduate Social Work Organization</v>
      </c>
      <c r="C185" s="26" t="str">
        <f>IFERROR(__xludf.DUMMYFUNCTION("filter($I$1:$I$500, $J$1:$J$500=D185)"),"Academic")</f>
        <v>Academic</v>
      </c>
      <c r="D185" s="27">
        <v>821.0</v>
      </c>
      <c r="F185" s="28">
        <v>168.0</v>
      </c>
      <c r="G185" s="245" t="s">
        <v>32</v>
      </c>
      <c r="H185" s="30">
        <v>0.0</v>
      </c>
      <c r="I185" s="246" t="s">
        <v>27</v>
      </c>
      <c r="J185" s="32">
        <v>1822.0</v>
      </c>
      <c r="K185" s="32"/>
      <c r="L185" s="33">
        <v>1108.0</v>
      </c>
      <c r="M185" s="34">
        <v>0.0</v>
      </c>
    </row>
    <row r="186">
      <c r="A186" s="15">
        <v>44371.0</v>
      </c>
      <c r="B186" s="16" t="str">
        <f>IFERROR(__xludf.DUMMYFUNCTION("FILTER($G$2:$G$445,$H$2:$H$445=D186)"),"90.3 The Core")</f>
        <v>90.3 The Core</v>
      </c>
      <c r="C186" s="16" t="str">
        <f>IFERROR(__xludf.DUMMYFUNCTION("filter($I$1:$I$500, $J$1:$J$500=D186)"),"#N/A")</f>
        <v>#N/A</v>
      </c>
      <c r="D186" s="17">
        <v>824.0</v>
      </c>
      <c r="F186" s="42">
        <v>17275.22</v>
      </c>
      <c r="G186" s="216" t="s">
        <v>422</v>
      </c>
      <c r="H186" s="20">
        <v>1798.0</v>
      </c>
      <c r="I186" s="229" t="s">
        <v>25</v>
      </c>
      <c r="J186" s="22">
        <v>587.0</v>
      </c>
      <c r="K186" s="22"/>
      <c r="L186" s="22"/>
      <c r="M186" s="22"/>
    </row>
    <row r="187">
      <c r="A187" s="77">
        <v>44371.0</v>
      </c>
      <c r="B187" s="78" t="str">
        <f>IFERROR(__xludf.DUMMYFUNCTION("FILTER($G$2:$G$445,$H$2:$H$445=D187)"),"Orthodox Christian Fellowship")</f>
        <v>Orthodox Christian Fellowship</v>
      </c>
      <c r="C187" s="78" t="str">
        <f>IFERROR(__xludf.DUMMYFUNCTION("filter($I$1:$I$500, $J$1:$J$500=D187)"),"Faith-based")</f>
        <v>Faith-based</v>
      </c>
      <c r="D187" s="79">
        <v>831.0</v>
      </c>
      <c r="F187" s="80">
        <v>300.0</v>
      </c>
      <c r="G187" s="93" t="s">
        <v>185</v>
      </c>
      <c r="H187" s="82">
        <v>1753.0</v>
      </c>
      <c r="I187" s="234" t="s">
        <v>19</v>
      </c>
      <c r="J187" s="84">
        <v>1819.0</v>
      </c>
      <c r="K187" s="84"/>
      <c r="L187" s="85">
        <v>128.0</v>
      </c>
      <c r="M187" s="86">
        <v>50.0</v>
      </c>
    </row>
    <row r="188">
      <c r="A188" s="146">
        <v>44371.0</v>
      </c>
      <c r="B188" s="147" t="str">
        <f>IFERROR(__xludf.DUMMYFUNCTION("FILTER($G$2:$G$445,$H$2:$H$445=D188)"),"Carbaret Theatre")</f>
        <v>Carbaret Theatre</v>
      </c>
      <c r="C188" s="147" t="str">
        <f>IFERROR(__xludf.DUMMYFUNCTION("filter($I$1:$I$500, $J$1:$J$500=D188)"),"Performing Arts")</f>
        <v>Performing Arts</v>
      </c>
      <c r="D188" s="148">
        <v>1023.0</v>
      </c>
      <c r="F188" s="163">
        <v>3485.03</v>
      </c>
      <c r="G188" s="239" t="s">
        <v>286</v>
      </c>
      <c r="H188" s="151">
        <v>66.0</v>
      </c>
      <c r="I188" s="238" t="s">
        <v>22</v>
      </c>
      <c r="J188" s="153">
        <v>586.0</v>
      </c>
      <c r="K188" s="153"/>
      <c r="L188" s="154">
        <v>1274.0</v>
      </c>
      <c r="M188" s="156">
        <v>820.0</v>
      </c>
    </row>
    <row r="189">
      <c r="A189" s="25">
        <v>44371.0</v>
      </c>
      <c r="B189" s="26" t="str">
        <f>IFERROR(__xludf.DUMMYFUNCTION("FILTER($G$2:$G$445,$H$2:$H$445=D189)"),"Cell Biology and Neuroscience Society")</f>
        <v>Cell Biology and Neuroscience Society</v>
      </c>
      <c r="C189" s="26" t="str">
        <f>IFERROR(__xludf.DUMMYFUNCTION("filter($I$1:$I$500, $J$1:$J$500=D189)"),"Academic")</f>
        <v>Academic</v>
      </c>
      <c r="D189" s="27">
        <v>1030.0</v>
      </c>
      <c r="F189" s="28">
        <v>326.0</v>
      </c>
      <c r="G189" s="245" t="s">
        <v>44</v>
      </c>
      <c r="H189" s="30">
        <v>1772.0</v>
      </c>
      <c r="I189" s="246" t="s">
        <v>13</v>
      </c>
      <c r="J189" s="32">
        <v>1818.0</v>
      </c>
      <c r="K189" s="32"/>
      <c r="L189" s="33">
        <v>170.0</v>
      </c>
      <c r="M189" s="34">
        <v>225.0</v>
      </c>
    </row>
    <row r="190">
      <c r="A190" s="177">
        <v>44371.0</v>
      </c>
      <c r="B190" s="178" t="str">
        <f>IFERROR(__xludf.DUMMYFUNCTION("FILTER($G$2:$G$445,$H$2:$H$445=D190)"),"Pre-Optometry Professions Society")</f>
        <v>Pre-Optometry Professions Society</v>
      </c>
      <c r="C190" s="178" t="str">
        <f>IFERROR(__xludf.DUMMYFUNCTION("filter($I$1:$I$500, $J$1:$J$500=D190)"),"Pre-Professional")</f>
        <v>Pre-Professional</v>
      </c>
      <c r="D190" s="179">
        <v>1042.0</v>
      </c>
      <c r="F190" s="180">
        <v>60.0</v>
      </c>
      <c r="G190" s="233" t="s">
        <v>317</v>
      </c>
      <c r="H190" s="182">
        <v>1489.0</v>
      </c>
      <c r="I190" s="228" t="s">
        <v>13</v>
      </c>
      <c r="J190" s="184">
        <v>575.0</v>
      </c>
      <c r="K190" s="184"/>
      <c r="L190" s="184"/>
      <c r="M190" s="184"/>
    </row>
    <row r="191">
      <c r="A191" s="177">
        <v>44371.0</v>
      </c>
      <c r="B191" s="178" t="str">
        <f>IFERROR(__xludf.DUMMYFUNCTION("FILTER($G$2:$G$445,$H$2:$H$445=D191)"),"Pre-Optometry Professions Society")</f>
        <v>Pre-Optometry Professions Society</v>
      </c>
      <c r="C191" s="178" t="str">
        <f>IFERROR(__xludf.DUMMYFUNCTION("filter($I$1:$I$500, $J$1:$J$500=D191)"),"Pre-Professional")</f>
        <v>Pre-Professional</v>
      </c>
      <c r="D191" s="179">
        <v>1042.0</v>
      </c>
      <c r="F191" s="191">
        <v>1044.0</v>
      </c>
      <c r="G191" s="227" t="s">
        <v>347</v>
      </c>
      <c r="H191" s="182">
        <v>1697.0</v>
      </c>
      <c r="I191" s="228" t="s">
        <v>13</v>
      </c>
      <c r="J191" s="184">
        <v>1817.0</v>
      </c>
      <c r="K191" s="184"/>
      <c r="L191" s="184"/>
      <c r="M191" s="184"/>
    </row>
    <row r="192">
      <c r="A192" s="25">
        <v>44371.0</v>
      </c>
      <c r="B192" s="26" t="str">
        <f>IFERROR(__xludf.DUMMYFUNCTION("FILTER($G$2:$G$445,$H$2:$H$445=D192)"),"Actuarial Club")</f>
        <v>Actuarial Club</v>
      </c>
      <c r="C192" s="26" t="str">
        <f>IFERROR(__xludf.DUMMYFUNCTION("filter($I$1:$I$500, $J$1:$J$500=D192)"),"Academic")</f>
        <v>Academic</v>
      </c>
      <c r="D192" s="27">
        <v>1054.0</v>
      </c>
      <c r="F192" s="28">
        <v>375.0</v>
      </c>
      <c r="G192" s="245" t="s">
        <v>47</v>
      </c>
      <c r="H192" s="30">
        <v>57.0</v>
      </c>
      <c r="I192" s="246" t="s">
        <v>13</v>
      </c>
      <c r="J192" s="32">
        <v>568.0</v>
      </c>
      <c r="K192" s="32"/>
      <c r="L192" s="33">
        <v>291.0</v>
      </c>
      <c r="M192" s="34">
        <v>3890.0</v>
      </c>
    </row>
    <row r="193">
      <c r="A193" s="25">
        <v>44371.0</v>
      </c>
      <c r="B193" s="26" t="str">
        <f>IFERROR(__xludf.DUMMYFUNCTION("FILTER($G$2:$G$445,$H$2:$H$445=D193)"),"Actuarial Club")</f>
        <v>Actuarial Club</v>
      </c>
      <c r="C193" s="26" t="str">
        <f>IFERROR(__xludf.DUMMYFUNCTION("filter($I$1:$I$500, $J$1:$J$500=D193)"),"Academic")</f>
        <v>Academic</v>
      </c>
      <c r="D193" s="27">
        <v>1054.0</v>
      </c>
      <c r="F193" s="41">
        <v>1042.0</v>
      </c>
      <c r="G193" s="240" t="s">
        <v>59</v>
      </c>
      <c r="H193" s="30">
        <v>1881.0</v>
      </c>
      <c r="I193" s="246" t="s">
        <v>15</v>
      </c>
      <c r="J193" s="32">
        <v>1812.0</v>
      </c>
      <c r="K193" s="32"/>
      <c r="L193" s="33">
        <v>63.0</v>
      </c>
      <c r="M193" s="34">
        <v>0.0</v>
      </c>
    </row>
    <row r="194">
      <c r="A194" s="119">
        <v>44371.0</v>
      </c>
      <c r="B194" s="120" t="str">
        <f>IFERROR(__xludf.DUMMYFUNCTION("FILTER($G$2:$G$445,$H$2:$H$445=D194)"),"The Examiner: Pre-Health Journal")</f>
        <v>The Examiner: Pre-Health Journal</v>
      </c>
      <c r="C194" s="120" t="str">
        <f>IFERROR(__xludf.DUMMYFUNCTION("filter($I$1:$I$500, $J$1:$J$500=D194)"),"Media")</f>
        <v>Media</v>
      </c>
      <c r="D194" s="121">
        <v>1078.0</v>
      </c>
      <c r="F194" s="122">
        <v>548.25</v>
      </c>
      <c r="G194" s="236" t="s">
        <v>238</v>
      </c>
      <c r="H194" s="124">
        <v>1719.0</v>
      </c>
      <c r="I194" s="235" t="s">
        <v>25</v>
      </c>
      <c r="J194" s="126">
        <v>567.0</v>
      </c>
      <c r="K194" s="126"/>
      <c r="L194" s="127">
        <v>1766.0</v>
      </c>
      <c r="M194" s="129">
        <v>30.0</v>
      </c>
    </row>
    <row r="195">
      <c r="A195" s="177">
        <v>44371.0</v>
      </c>
      <c r="B195" s="178" t="str">
        <f>IFERROR(__xludf.DUMMYFUNCTION("FILTER($G$2:$G$445,$H$2:$H$445=D195)"),"Women in the Health Professions")</f>
        <v>Women in the Health Professions</v>
      </c>
      <c r="C195" s="178" t="str">
        <f>IFERROR(__xludf.DUMMYFUNCTION("filter($I$1:$I$500, $J$1:$J$500=D195)"),"Pre-Professional")</f>
        <v>Pre-Professional</v>
      </c>
      <c r="D195" s="179">
        <v>1084.0</v>
      </c>
      <c r="F195" s="180">
        <v>150.0</v>
      </c>
      <c r="G195" s="233" t="s">
        <v>322</v>
      </c>
      <c r="H195" s="182">
        <v>726.0</v>
      </c>
      <c r="I195" s="228" t="s">
        <v>34</v>
      </c>
      <c r="J195" s="184">
        <v>549.0</v>
      </c>
      <c r="K195" s="184"/>
      <c r="L195" s="184"/>
      <c r="M195" s="184"/>
    </row>
    <row r="196">
      <c r="A196" s="25">
        <v>44371.0</v>
      </c>
      <c r="B196" s="26" t="str">
        <f>IFERROR(__xludf.DUMMYFUNCTION("FILTER($G$2:$G$445,$H$2:$H$445=D196)"),"American Sign Language Club")</f>
        <v>American Sign Language Club</v>
      </c>
      <c r="C196" s="26" t="str">
        <f>IFERROR(__xludf.DUMMYFUNCTION("filter($I$1:$I$500, $J$1:$J$500=D196)"),"Academic")</f>
        <v>Academic</v>
      </c>
      <c r="D196" s="27">
        <v>1103.0</v>
      </c>
      <c r="F196" s="28">
        <v>973.0</v>
      </c>
      <c r="G196" s="240" t="s">
        <v>58</v>
      </c>
      <c r="H196" s="30">
        <v>1324.0</v>
      </c>
      <c r="I196" s="246" t="s">
        <v>15</v>
      </c>
      <c r="J196" s="32">
        <v>1801.0</v>
      </c>
      <c r="K196" s="32"/>
      <c r="L196" s="33">
        <v>712.0</v>
      </c>
      <c r="M196" s="33">
        <v>47.32</v>
      </c>
    </row>
    <row r="197">
      <c r="A197" s="192">
        <v>44371.0</v>
      </c>
      <c r="B197" s="193" t="str">
        <f>IFERROR(__xludf.DUMMYFUNCTION("FILTER($G$2:$G$445,$H$2:$H$445=D197)"),"Bioethics Society")</f>
        <v>Bioethics Society</v>
      </c>
      <c r="C197" s="193" t="str">
        <f>IFERROR(__xludf.DUMMYFUNCTION("filter($I$1:$I$500, $J$1:$J$500=D197)"),"Social Action/Political")</f>
        <v>Social Action/Political</v>
      </c>
      <c r="D197" s="194">
        <v>1108.0</v>
      </c>
      <c r="F197" s="195">
        <v>335.45</v>
      </c>
      <c r="G197" s="203" t="s">
        <v>374</v>
      </c>
      <c r="H197" s="197">
        <v>758.0</v>
      </c>
      <c r="I197" s="225" t="s">
        <v>25</v>
      </c>
      <c r="J197" s="199">
        <v>1800.0</v>
      </c>
      <c r="K197" s="199"/>
      <c r="L197" s="199"/>
      <c r="M197" s="199"/>
    </row>
    <row r="198">
      <c r="A198" s="146">
        <v>44371.0</v>
      </c>
      <c r="B198" s="147" t="str">
        <f>IFERROR(__xludf.DUMMYFUNCTION("FILTER($G$2:$G$445,$H$2:$H$445=D198)"),"RU Natya ")</f>
        <v>RU Natya </v>
      </c>
      <c r="C198" s="147" t="str">
        <f>IFERROR(__xludf.DUMMYFUNCTION("filter($I$1:$I$500, $J$1:$J$500=D198)"),"Performing Arts")</f>
        <v>Performing Arts</v>
      </c>
      <c r="D198" s="148">
        <v>1125.0</v>
      </c>
      <c r="F198" s="149">
        <v>20.0</v>
      </c>
      <c r="G198" s="239" t="s">
        <v>245</v>
      </c>
      <c r="H198" s="151">
        <v>1312.0</v>
      </c>
      <c r="I198" s="239" t="s">
        <v>34</v>
      </c>
      <c r="J198" s="153">
        <v>17.0</v>
      </c>
      <c r="K198" s="153"/>
      <c r="L198" s="154">
        <v>1942.0</v>
      </c>
      <c r="M198" s="156">
        <v>0.0</v>
      </c>
    </row>
    <row r="199">
      <c r="A199" s="15">
        <v>44371.0</v>
      </c>
      <c r="B199" s="16" t="str">
        <f>IFERROR(__xludf.DUMMYFUNCTION("FILTER($G$2:$G$445,$H$2:$H$445=D199)"),"Alternative Breaks (Rutgers University)")</f>
        <v>Alternative Breaks (Rutgers University)</v>
      </c>
      <c r="C199" s="16" t="str">
        <f>IFERROR(__xludf.DUMMYFUNCTION("filter($I$1:$I$500, $J$1:$J$500=D199)"),"#N/A")</f>
        <v>#N/A</v>
      </c>
      <c r="D199" s="17">
        <v>1132.0</v>
      </c>
      <c r="F199" s="42">
        <v>20976.35</v>
      </c>
      <c r="G199" s="250" t="s">
        <v>423</v>
      </c>
      <c r="H199" s="20">
        <v>1294.0</v>
      </c>
      <c r="I199" s="229" t="s">
        <v>17</v>
      </c>
      <c r="J199" s="22">
        <v>545.0</v>
      </c>
      <c r="K199" s="22"/>
      <c r="L199" s="22"/>
      <c r="M199" s="22"/>
    </row>
    <row r="200">
      <c r="A200" s="146">
        <v>44371.0</v>
      </c>
      <c r="B200" s="147" t="str">
        <f>IFERROR(__xludf.DUMMYFUNCTION("FILTER($G$2:$G$445,$H$2:$H$445=D200)"),"Swing Dance Club")</f>
        <v>Swing Dance Club</v>
      </c>
      <c r="C200" s="147" t="str">
        <f>IFERROR(__xludf.DUMMYFUNCTION("filter($I$1:$I$500, $J$1:$J$500=D200)"),"Performing Arts")</f>
        <v>Performing Arts</v>
      </c>
      <c r="D200" s="148">
        <v>1141.0</v>
      </c>
      <c r="F200" s="149">
        <v>300.0</v>
      </c>
      <c r="G200" s="161" t="s">
        <v>261</v>
      </c>
      <c r="H200" s="151">
        <v>725.0</v>
      </c>
      <c r="I200" s="238" t="s">
        <v>25</v>
      </c>
      <c r="J200" s="153">
        <v>538.0</v>
      </c>
      <c r="K200" s="153"/>
      <c r="L200" s="154">
        <v>495.0</v>
      </c>
      <c r="M200" s="156">
        <v>0.0</v>
      </c>
    </row>
    <row r="201">
      <c r="A201" s="146">
        <v>44371.0</v>
      </c>
      <c r="B201" s="147" t="str">
        <f>IFERROR(__xludf.DUMMYFUNCTION("FILTER($G$2:$G$445,$H$2:$H$445=D201)"),"Swing Dance Club")</f>
        <v>Swing Dance Club</v>
      </c>
      <c r="C201" s="147" t="str">
        <f>IFERROR(__xludf.DUMMYFUNCTION("filter($I$1:$I$500, $J$1:$J$500=D201)"),"Performing Arts")</f>
        <v>Performing Arts</v>
      </c>
      <c r="D201" s="148">
        <v>1141.0</v>
      </c>
      <c r="F201" s="149">
        <v>617.0</v>
      </c>
      <c r="G201" s="239" t="s">
        <v>273</v>
      </c>
      <c r="H201" s="151">
        <v>1703.0</v>
      </c>
      <c r="I201" s="238" t="s">
        <v>19</v>
      </c>
      <c r="J201" s="153">
        <v>1798.0</v>
      </c>
      <c r="K201" s="153"/>
      <c r="L201" s="154">
        <v>1486.0</v>
      </c>
      <c r="M201" s="156">
        <v>150.0</v>
      </c>
    </row>
    <row r="202">
      <c r="A202" s="177">
        <v>44371.0</v>
      </c>
      <c r="B202" s="178" t="str">
        <f>IFERROR(__xludf.DUMMYFUNCTION("FILTER($G$2:$G$445,$H$2:$H$445=D202)"),"JMED")</f>
        <v>JMED</v>
      </c>
      <c r="C202" s="178" t="str">
        <f>IFERROR(__xludf.DUMMYFUNCTION("filter($I$1:$I$500, $J$1:$J$500=D202)"),"Pre-Professional")</f>
        <v>Pre-Professional</v>
      </c>
      <c r="D202" s="179">
        <v>1143.0</v>
      </c>
      <c r="F202" s="191">
        <v>3920.0</v>
      </c>
      <c r="G202" s="233" t="s">
        <v>357</v>
      </c>
      <c r="H202" s="182">
        <v>1529.0</v>
      </c>
      <c r="I202" s="228" t="s">
        <v>27</v>
      </c>
      <c r="J202" s="184">
        <v>516.0</v>
      </c>
      <c r="K202" s="184"/>
      <c r="L202" s="184"/>
      <c r="M202" s="184"/>
    </row>
    <row r="203">
      <c r="A203" s="177">
        <v>44371.0</v>
      </c>
      <c r="B203" s="178" t="str">
        <f>IFERROR(__xludf.DUMMYFUNCTION("FILTER($G$2:$G$445,$H$2:$H$445=D203)"),"JMED")</f>
        <v>JMED</v>
      </c>
      <c r="C203" s="178" t="str">
        <f>IFERROR(__xludf.DUMMYFUNCTION("filter($I$1:$I$500, $J$1:$J$500=D203)"),"Pre-Professional")</f>
        <v>Pre-Professional</v>
      </c>
      <c r="D203" s="179">
        <v>1143.0</v>
      </c>
      <c r="F203" s="191">
        <v>2614.0</v>
      </c>
      <c r="G203" s="233" t="s">
        <v>355</v>
      </c>
      <c r="H203" s="182">
        <v>621.0</v>
      </c>
      <c r="I203" s="228" t="s">
        <v>13</v>
      </c>
      <c r="J203" s="184">
        <v>1797.0</v>
      </c>
      <c r="K203" s="184"/>
      <c r="L203" s="184"/>
      <c r="M203" s="184"/>
    </row>
    <row r="204">
      <c r="A204" s="77">
        <v>44371.0</v>
      </c>
      <c r="B204" s="78" t="str">
        <f>IFERROR(__xludf.DUMMYFUNCTION("FILTER($G$2:$G$445,$H$2:$H$445=D204)"),"BAPS Campus Fellowship")</f>
        <v>BAPS Campus Fellowship</v>
      </c>
      <c r="C204" s="78" t="str">
        <f>IFERROR(__xludf.DUMMYFUNCTION("filter($I$1:$I$500, $J$1:$J$500=D204)"),"Faith-based")</f>
        <v>Faith-based</v>
      </c>
      <c r="D204" s="79">
        <v>1155.0</v>
      </c>
      <c r="F204" s="80">
        <v>300.0</v>
      </c>
      <c r="G204" s="237" t="s">
        <v>183</v>
      </c>
      <c r="H204" s="82">
        <v>363.0</v>
      </c>
      <c r="I204" s="234" t="s">
        <v>27</v>
      </c>
      <c r="J204" s="84">
        <v>512.0</v>
      </c>
      <c r="K204" s="84"/>
      <c r="L204" s="85">
        <v>1938.0</v>
      </c>
      <c r="M204" s="86">
        <v>362.9</v>
      </c>
    </row>
    <row r="205">
      <c r="A205" s="43">
        <v>44371.0</v>
      </c>
      <c r="B205" s="44" t="str">
        <f>IFERROR(__xludf.DUMMYFUNCTION("FILTER($G$2:$G$445,$H$2:$H$445=D205)"),"Rutgers Future Scholars Dream Team ")</f>
        <v>Rutgers Future Scholars Dream Team </v>
      </c>
      <c r="C205" s="44" t="str">
        <f>IFERROR(__xludf.DUMMYFUNCTION("filter($I$1:$I$500, $J$1:$J$500=D205)"),"Community Service")</f>
        <v>Community Service</v>
      </c>
      <c r="D205" s="45">
        <v>1169.0</v>
      </c>
      <c r="F205" s="58">
        <v>3470.0</v>
      </c>
      <c r="G205" s="232" t="s">
        <v>90</v>
      </c>
      <c r="H205" s="48">
        <v>750.0</v>
      </c>
      <c r="I205" s="231" t="s">
        <v>15</v>
      </c>
      <c r="J205" s="50">
        <v>504.0</v>
      </c>
      <c r="K205" s="50"/>
      <c r="L205" s="51">
        <v>1511.0</v>
      </c>
      <c r="M205" s="52">
        <v>0.0</v>
      </c>
    </row>
    <row r="206">
      <c r="A206" s="164">
        <v>44371.0</v>
      </c>
      <c r="B206" s="165" t="str">
        <f>IFERROR(__xludf.DUMMYFUNCTION("FILTER($G$2:$G$445,$H$2:$H$445=D206)"),"Palestine Children's Relief Fund")</f>
        <v>Palestine Children's Relief Fund</v>
      </c>
      <c r="C206" s="165" t="str">
        <f>IFERROR(__xludf.DUMMYFUNCTION("filter($I$1:$I$500, $J$1:$J$500=D206)"),"Philanthropic")</f>
        <v>Philanthropic</v>
      </c>
      <c r="D206" s="166">
        <v>1184.0</v>
      </c>
      <c r="F206" s="176">
        <v>3775.93</v>
      </c>
      <c r="G206" s="243" t="s">
        <v>314</v>
      </c>
      <c r="H206" s="169">
        <v>722.0</v>
      </c>
      <c r="I206" s="244" t="s">
        <v>19</v>
      </c>
      <c r="J206" s="171">
        <v>496.0</v>
      </c>
      <c r="K206" s="171"/>
      <c r="L206" s="172">
        <v>353.0</v>
      </c>
      <c r="M206" s="173">
        <v>1975.0</v>
      </c>
    </row>
    <row r="207">
      <c r="A207" s="164">
        <v>44371.0</v>
      </c>
      <c r="B207" s="165" t="str">
        <f>IFERROR(__xludf.DUMMYFUNCTION("FILTER($G$2:$G$445,$H$2:$H$445=D207)"),"Palestine Children's Relief Fund")</f>
        <v>Palestine Children's Relief Fund</v>
      </c>
      <c r="C207" s="165" t="str">
        <f>IFERROR(__xludf.DUMMYFUNCTION("filter($I$1:$I$500, $J$1:$J$500=D207)"),"Philanthropic")</f>
        <v>Philanthropic</v>
      </c>
      <c r="D207" s="166">
        <v>1184.0</v>
      </c>
      <c r="F207" s="167">
        <v>999.0</v>
      </c>
      <c r="G207" s="248" t="s">
        <v>310</v>
      </c>
      <c r="H207" s="169">
        <v>301.0</v>
      </c>
      <c r="I207" s="244" t="s">
        <v>27</v>
      </c>
      <c r="J207" s="171">
        <v>1795.0</v>
      </c>
      <c r="K207" s="171"/>
      <c r="L207" s="171"/>
      <c r="M207" s="171"/>
    </row>
    <row r="208">
      <c r="A208" s="25">
        <v>44371.0</v>
      </c>
      <c r="B208" s="26" t="str">
        <f>IFERROR(__xludf.DUMMYFUNCTION("FILTER($G$2:$G$445,$H$2:$H$445=D208)"),"READ, the Rutgers University Book Club")</f>
        <v>READ, the Rutgers University Book Club</v>
      </c>
      <c r="C208" s="26" t="str">
        <f>IFERROR(__xludf.DUMMYFUNCTION("filter($I$1:$I$500, $J$1:$J$500=D208)"),"Academic")</f>
        <v>Academic</v>
      </c>
      <c r="D208" s="27">
        <v>1186.0</v>
      </c>
      <c r="F208" s="28">
        <v>309.0</v>
      </c>
      <c r="G208" s="240" t="s">
        <v>42</v>
      </c>
      <c r="H208" s="30">
        <v>148.0</v>
      </c>
      <c r="I208" s="246" t="s">
        <v>43</v>
      </c>
      <c r="J208" s="32">
        <v>1786.0</v>
      </c>
      <c r="K208" s="32"/>
      <c r="L208" s="33">
        <v>697.0</v>
      </c>
      <c r="M208" s="33">
        <v>0.0</v>
      </c>
    </row>
    <row r="209">
      <c r="A209" s="192">
        <v>44371.0</v>
      </c>
      <c r="B209" s="193" t="str">
        <f>IFERROR(__xludf.DUMMYFUNCTION("FILTER($G$2:$G$445,$H$2:$H$445=D209)"),"Young Americans for Liberty")</f>
        <v>Young Americans for Liberty</v>
      </c>
      <c r="C209" s="193" t="str">
        <f>IFERROR(__xludf.DUMMYFUNCTION("filter($I$1:$I$500, $J$1:$J$500=D209)"),"Social Action/Political")</f>
        <v>Social Action/Political</v>
      </c>
      <c r="D209" s="194">
        <v>1191.0</v>
      </c>
      <c r="F209" s="205">
        <v>1350.0</v>
      </c>
      <c r="G209" s="226" t="s">
        <v>389</v>
      </c>
      <c r="H209" s="197">
        <v>1662.0</v>
      </c>
      <c r="I209" s="225" t="s">
        <v>15</v>
      </c>
      <c r="J209" s="199">
        <v>495.0</v>
      </c>
      <c r="K209" s="199"/>
      <c r="L209" s="199"/>
      <c r="M209" s="199"/>
    </row>
    <row r="210">
      <c r="A210" s="59">
        <v>44371.0</v>
      </c>
      <c r="B210" s="60" t="str">
        <f>IFERROR(__xludf.DUMMYFUNCTION("FILTER($G$2:$G$445,$H$2:$H$445=D210)"),"Wanawake")</f>
        <v>Wanawake</v>
      </c>
      <c r="C210" s="60" t="str">
        <f>IFERROR(__xludf.DUMMYFUNCTION("filter($I$1:$I$500, $J$1:$J$500=D210)"),"Cultural")</f>
        <v>Cultural</v>
      </c>
      <c r="D210" s="61">
        <v>1193.0</v>
      </c>
      <c r="F210" s="62">
        <v>490.0</v>
      </c>
      <c r="G210" s="224" t="s">
        <v>126</v>
      </c>
      <c r="H210" s="64">
        <v>29.0</v>
      </c>
      <c r="I210" s="222" t="s">
        <v>15</v>
      </c>
      <c r="J210" s="66">
        <v>494.0</v>
      </c>
      <c r="K210" s="66"/>
      <c r="L210" s="67">
        <v>1849.0</v>
      </c>
      <c r="M210" s="68">
        <v>0.0</v>
      </c>
    </row>
    <row r="211">
      <c r="A211" s="59">
        <v>44371.0</v>
      </c>
      <c r="B211" s="60" t="str">
        <f>IFERROR(__xludf.DUMMYFUNCTION("FILTER($G$2:$G$445,$H$2:$H$445=D211)"),"Wanawake")</f>
        <v>Wanawake</v>
      </c>
      <c r="C211" s="60" t="str">
        <f>IFERROR(__xludf.DUMMYFUNCTION("filter($I$1:$I$500, $J$1:$J$500=D211)"),"Cultural")</f>
        <v>Cultural</v>
      </c>
      <c r="D211" s="61">
        <v>1193.0</v>
      </c>
      <c r="F211" s="62">
        <v>803.0</v>
      </c>
      <c r="G211" s="70" t="s">
        <v>144</v>
      </c>
      <c r="H211" s="64">
        <v>1891.0</v>
      </c>
      <c r="I211" s="222" t="s">
        <v>27</v>
      </c>
      <c r="J211" s="66">
        <v>1783.0</v>
      </c>
      <c r="K211" s="66"/>
      <c r="L211" s="67">
        <v>1939.0</v>
      </c>
      <c r="M211" s="68">
        <v>0.0</v>
      </c>
    </row>
    <row r="212">
      <c r="A212" s="77">
        <v>44371.0</v>
      </c>
      <c r="B212" s="78" t="str">
        <f>IFERROR(__xludf.DUMMYFUNCTION("FILTER($G$2:$G$445,$H$2:$H$445=D212)"),"Adventist Students for Christ")</f>
        <v>Adventist Students for Christ</v>
      </c>
      <c r="C212" s="78" t="str">
        <f>IFERROR(__xludf.DUMMYFUNCTION("filter($I$1:$I$500, $J$1:$J$500=D212)"),"Faith-based")</f>
        <v>Faith-based</v>
      </c>
      <c r="D212" s="79">
        <v>1203.0</v>
      </c>
      <c r="F212" s="80">
        <v>347.0</v>
      </c>
      <c r="G212" s="237" t="s">
        <v>186</v>
      </c>
      <c r="H212" s="82">
        <v>1941.0</v>
      </c>
      <c r="I212" s="234" t="s">
        <v>13</v>
      </c>
      <c r="J212" s="84">
        <v>1774.0</v>
      </c>
      <c r="K212" s="84"/>
      <c r="L212" s="85">
        <v>1656.0</v>
      </c>
      <c r="M212" s="86">
        <v>0.0</v>
      </c>
    </row>
    <row r="213">
      <c r="A213" s="25">
        <v>44371.0</v>
      </c>
      <c r="B213" s="26" t="str">
        <f>IFERROR(__xludf.DUMMYFUNCTION("FILTER($G$2:$G$445,$H$2:$H$445=D213)"),"Real Estate Club")</f>
        <v>Real Estate Club</v>
      </c>
      <c r="C213" s="26" t="str">
        <f>IFERROR(__xludf.DUMMYFUNCTION("filter($I$1:$I$500, $J$1:$J$500=D213)"),"Academic")</f>
        <v>Academic</v>
      </c>
      <c r="D213" s="27">
        <v>1220.0</v>
      </c>
      <c r="F213" s="28">
        <v>210.0</v>
      </c>
      <c r="G213" s="245" t="s">
        <v>39</v>
      </c>
      <c r="H213" s="30">
        <v>320.0</v>
      </c>
      <c r="I213" s="246" t="s">
        <v>34</v>
      </c>
      <c r="J213" s="32">
        <v>493.0</v>
      </c>
      <c r="K213" s="32"/>
      <c r="L213" s="33">
        <v>748.0</v>
      </c>
      <c r="M213" s="34">
        <v>100.0</v>
      </c>
    </row>
    <row r="214">
      <c r="A214" s="25">
        <v>44371.0</v>
      </c>
      <c r="B214" s="26" t="str">
        <f>IFERROR(__xludf.DUMMYFUNCTION("FILTER($G$2:$G$445,$H$2:$H$445=D214)"),"Real Estate Club")</f>
        <v>Real Estate Club</v>
      </c>
      <c r="C214" s="26" t="str">
        <f>IFERROR(__xludf.DUMMYFUNCTION("filter($I$1:$I$500, $J$1:$J$500=D214)"),"Academic")</f>
        <v>Academic</v>
      </c>
      <c r="D214" s="27">
        <v>1220.0</v>
      </c>
      <c r="F214" s="41">
        <v>1544.84</v>
      </c>
      <c r="G214" s="245" t="s">
        <v>60</v>
      </c>
      <c r="H214" s="30">
        <v>75.0</v>
      </c>
      <c r="I214" s="246" t="s">
        <v>22</v>
      </c>
      <c r="J214" s="32">
        <v>1773.0</v>
      </c>
      <c r="K214" s="32"/>
      <c r="L214" s="33">
        <v>1155.0</v>
      </c>
      <c r="M214" s="34">
        <v>300.0</v>
      </c>
    </row>
    <row r="215">
      <c r="A215" s="164">
        <v>44371.0</v>
      </c>
      <c r="B215" s="165" t="str">
        <f>IFERROR(__xludf.DUMMYFUNCTION("FILTER($G$2:$G$445,$H$2:$H$445=D215)"),"Thaakat Foundation")</f>
        <v>Thaakat Foundation</v>
      </c>
      <c r="C215" s="165" t="str">
        <f>IFERROR(__xludf.DUMMYFUNCTION("filter($I$1:$I$500, $J$1:$J$500=D215)"),"Philanthropic")</f>
        <v>Philanthropic</v>
      </c>
      <c r="D215" s="166">
        <v>1231.0</v>
      </c>
      <c r="F215" s="176">
        <v>1330.0</v>
      </c>
      <c r="G215" s="248" t="s">
        <v>311</v>
      </c>
      <c r="H215" s="169">
        <v>1908.0</v>
      </c>
      <c r="I215" s="244" t="s">
        <v>22</v>
      </c>
      <c r="J215" s="171">
        <v>1772.0</v>
      </c>
      <c r="K215" s="171"/>
      <c r="L215" s="171"/>
      <c r="M215" s="173">
        <v>232598.88</v>
      </c>
    </row>
    <row r="216">
      <c r="A216" s="15">
        <v>44371.0</v>
      </c>
      <c r="B216" s="16" t="str">
        <f>IFERROR(__xludf.DUMMYFUNCTION("FILTER($G$2:$G$445,$H$2:$H$445=D216)"),"RUVETS")</f>
        <v>RUVETS</v>
      </c>
      <c r="C216" s="16" t="str">
        <f>IFERROR(__xludf.DUMMYFUNCTION("filter($I$1:$I$500, $J$1:$J$500=D216)"),"#N/A")</f>
        <v>#N/A</v>
      </c>
      <c r="D216" s="17">
        <v>1237.0</v>
      </c>
      <c r="F216" s="18">
        <v>80.0</v>
      </c>
      <c r="G216" s="250" t="s">
        <v>399</v>
      </c>
      <c r="H216" s="20">
        <v>1169.0</v>
      </c>
      <c r="I216" s="229" t="s">
        <v>27</v>
      </c>
      <c r="J216" s="22">
        <v>1771.0</v>
      </c>
      <c r="K216" s="22"/>
      <c r="L216" s="22"/>
      <c r="M216" s="22"/>
    </row>
    <row r="217">
      <c r="A217" s="25">
        <v>44371.0</v>
      </c>
      <c r="B217" s="26" t="str">
        <f>IFERROR(__xludf.DUMMYFUNCTION("FILTER($G$2:$G$445,$H$2:$H$445=D217)"),"Undergraduate Math Association")</f>
        <v>Undergraduate Math Association</v>
      </c>
      <c r="C217" s="26" t="str">
        <f>IFERROR(__xludf.DUMMYFUNCTION("filter($I$1:$I$500, $J$1:$J$500=D217)"),"Academic")</f>
        <v>Academic</v>
      </c>
      <c r="D217" s="27">
        <v>1256.0</v>
      </c>
      <c r="F217" s="28">
        <v>100.0</v>
      </c>
      <c r="G217" s="245" t="s">
        <v>26</v>
      </c>
      <c r="H217" s="30">
        <v>1611.0</v>
      </c>
      <c r="I217" s="246" t="s">
        <v>27</v>
      </c>
      <c r="J217" s="32">
        <v>492.0</v>
      </c>
      <c r="K217" s="32"/>
      <c r="L217" s="33">
        <v>1877.0</v>
      </c>
      <c r="M217" s="34">
        <v>470.0</v>
      </c>
    </row>
    <row r="218">
      <c r="A218" s="107">
        <v>44371.0</v>
      </c>
      <c r="B218" s="108" t="str">
        <f>IFERROR(__xludf.DUMMYFUNCTION("FILTER($G$2:$G$445,$H$2:$H$445=D218)"),"Culinary Club")</f>
        <v>Culinary Club</v>
      </c>
      <c r="C218" s="108" t="str">
        <f>IFERROR(__xludf.DUMMYFUNCTION("filter($I$1:$I$500, $J$1:$J$500=D218)"),"Leisure")</f>
        <v>Leisure</v>
      </c>
      <c r="D218" s="109">
        <v>1273.0</v>
      </c>
      <c r="F218" s="118">
        <v>1704.98</v>
      </c>
      <c r="G218" s="247" t="s">
        <v>231</v>
      </c>
      <c r="H218" s="112">
        <v>157.0</v>
      </c>
      <c r="I218" s="242" t="s">
        <v>25</v>
      </c>
      <c r="J218" s="114">
        <v>481.0</v>
      </c>
      <c r="K218" s="114"/>
      <c r="L218" s="115">
        <v>1663.0</v>
      </c>
      <c r="M218" s="116">
        <v>0.0</v>
      </c>
    </row>
    <row r="219">
      <c r="A219" s="107">
        <v>44371.0</v>
      </c>
      <c r="B219" s="108" t="str">
        <f>IFERROR(__xludf.DUMMYFUNCTION("FILTER($G$2:$G$445,$H$2:$H$445=D219)"),"Culinary Club")</f>
        <v>Culinary Club</v>
      </c>
      <c r="C219" s="108" t="str">
        <f>IFERROR(__xludf.DUMMYFUNCTION("filter($I$1:$I$500, $J$1:$J$500=D219)"),"Leisure")</f>
        <v>Leisure</v>
      </c>
      <c r="D219" s="109">
        <v>1273.0</v>
      </c>
      <c r="F219" s="118">
        <v>1073.0</v>
      </c>
      <c r="G219" s="247" t="s">
        <v>230</v>
      </c>
      <c r="H219" s="112">
        <v>1716.0</v>
      </c>
      <c r="I219" s="242" t="s">
        <v>22</v>
      </c>
      <c r="J219" s="114">
        <v>1769.0</v>
      </c>
      <c r="K219" s="114"/>
      <c r="L219" s="115">
        <v>493.0</v>
      </c>
      <c r="M219" s="116">
        <v>0.0</v>
      </c>
    </row>
    <row r="220">
      <c r="A220" s="192">
        <v>44371.0</v>
      </c>
      <c r="B220" s="193" t="str">
        <f>IFERROR(__xludf.DUMMYFUNCTION("FILTER($G$2:$G$445,$H$2:$H$445=D220)"),"Sisters with Values")</f>
        <v>Sisters with Values</v>
      </c>
      <c r="C220" s="193" t="str">
        <f>IFERROR(__xludf.DUMMYFUNCTION("filter($I$1:$I$500, $J$1:$J$500=D220)"),"Social Action/Political")</f>
        <v>Social Action/Political</v>
      </c>
      <c r="D220" s="194">
        <v>1274.0</v>
      </c>
      <c r="F220" s="195">
        <v>820.0</v>
      </c>
      <c r="G220" s="226" t="s">
        <v>381</v>
      </c>
      <c r="H220" s="197">
        <v>1273.0</v>
      </c>
      <c r="I220" s="225" t="s">
        <v>15</v>
      </c>
      <c r="J220" s="199">
        <v>468.0</v>
      </c>
      <c r="K220" s="199"/>
      <c r="L220" s="199"/>
      <c r="M220" s="199"/>
    </row>
    <row r="221">
      <c r="A221" s="192">
        <v>44371.0</v>
      </c>
      <c r="B221" s="193" t="str">
        <f>IFERROR(__xludf.DUMMYFUNCTION("FILTER($G$2:$G$445,$H$2:$H$445=D221)"),"Sisters with Values")</f>
        <v>Sisters with Values</v>
      </c>
      <c r="C221" s="193" t="str">
        <f>IFERROR(__xludf.DUMMYFUNCTION("filter($I$1:$I$500, $J$1:$J$500=D221)"),"Social Action/Political")</f>
        <v>Social Action/Political</v>
      </c>
      <c r="D221" s="194">
        <v>1274.0</v>
      </c>
      <c r="F221" s="195">
        <v>200.0</v>
      </c>
      <c r="G221" s="203" t="s">
        <v>369</v>
      </c>
      <c r="H221" s="197">
        <v>1109.0</v>
      </c>
      <c r="I221" s="225" t="s">
        <v>30</v>
      </c>
      <c r="J221" s="199">
        <v>1766.0</v>
      </c>
      <c r="K221" s="199"/>
      <c r="L221" s="199"/>
      <c r="M221" s="199"/>
    </row>
    <row r="222">
      <c r="A222" s="77">
        <v>44371.0</v>
      </c>
      <c r="B222" s="78" t="str">
        <f>IFERROR(__xludf.DUMMYFUNCTION("FILTER($G$2:$G$445,$H$2:$H$445=D222)"),"Chavaya")</f>
        <v>Chavaya</v>
      </c>
      <c r="C222" s="78" t="str">
        <f>IFERROR(__xludf.DUMMYFUNCTION("filter($I$1:$I$500, $J$1:$J$500=D222)"),"Faith-based")</f>
        <v>Faith-based</v>
      </c>
      <c r="D222" s="79">
        <v>1277.0</v>
      </c>
      <c r="F222" s="80">
        <v>300.0</v>
      </c>
      <c r="G222" s="93" t="s">
        <v>182</v>
      </c>
      <c r="H222" s="82">
        <v>96.0</v>
      </c>
      <c r="I222" s="234" t="s">
        <v>15</v>
      </c>
      <c r="J222" s="84">
        <v>452.0</v>
      </c>
      <c r="K222" s="84"/>
      <c r="L222" s="85">
        <v>1490.0</v>
      </c>
      <c r="M222" s="86">
        <v>100.0</v>
      </c>
    </row>
    <row r="223">
      <c r="A223" s="77">
        <v>44371.0</v>
      </c>
      <c r="B223" s="78" t="str">
        <f>IFERROR(__xludf.DUMMYFUNCTION("FILTER($G$2:$G$445,$H$2:$H$445=D223)"),"Chavaya")</f>
        <v>Chavaya</v>
      </c>
      <c r="C223" s="78" t="str">
        <f>IFERROR(__xludf.DUMMYFUNCTION("filter($I$1:$I$500, $J$1:$J$500=D223)"),"Faith-based")</f>
        <v>Faith-based</v>
      </c>
      <c r="D223" s="79">
        <v>1277.0</v>
      </c>
      <c r="F223" s="92">
        <v>2463.0</v>
      </c>
      <c r="G223" s="237" t="s">
        <v>206</v>
      </c>
      <c r="H223" s="93" t="s">
        <v>134</v>
      </c>
      <c r="I223" s="234" t="s">
        <v>13</v>
      </c>
      <c r="J223" s="84">
        <v>1759.0</v>
      </c>
      <c r="K223" s="84"/>
      <c r="L223" s="85">
        <v>1953.0</v>
      </c>
      <c r="M223" s="86">
        <v>0.0</v>
      </c>
    </row>
    <row r="224">
      <c r="A224" s="177">
        <v>44371.0</v>
      </c>
      <c r="B224" s="178" t="str">
        <f>IFERROR(__xludf.DUMMYFUNCTION("FILTER($G$2:$G$445,$H$2:$H$445=D224)"),"National Black Law Students Association")</f>
        <v>National Black Law Students Association</v>
      </c>
      <c r="C224" s="178" t="str">
        <f>IFERROR(__xludf.DUMMYFUNCTION("filter($I$1:$I$500, $J$1:$J$500=D224)"),"Pre-Professional")</f>
        <v>Pre-Professional</v>
      </c>
      <c r="D224" s="179">
        <v>1278.0</v>
      </c>
      <c r="F224" s="180">
        <v>850.0</v>
      </c>
      <c r="G224" s="233" t="s">
        <v>343</v>
      </c>
      <c r="H224" s="182">
        <v>1483.0</v>
      </c>
      <c r="I224" s="228" t="s">
        <v>37</v>
      </c>
      <c r="J224" s="184">
        <v>443.0</v>
      </c>
      <c r="K224" s="184"/>
      <c r="L224" s="184"/>
      <c r="M224" s="184"/>
    </row>
    <row r="225">
      <c r="A225" s="15">
        <v>44371.0</v>
      </c>
      <c r="B225" s="16" t="str">
        <f>IFERROR(__xludf.DUMMYFUNCTION("FILTER($G$2:$G$445,$H$2:$H$445=D225)"),"#N/A")</f>
        <v>#N/A</v>
      </c>
      <c r="C225" s="16" t="str">
        <f>IFERROR(__xludf.DUMMYFUNCTION("filter($I$1:$I$500, $J$1:$J$500=D225)"),"#N/A")</f>
        <v>#N/A</v>
      </c>
      <c r="D225" s="17">
        <v>1282.0</v>
      </c>
      <c r="F225" s="18">
        <v>600.0</v>
      </c>
      <c r="G225" s="216" t="s">
        <v>419</v>
      </c>
      <c r="H225" s="20">
        <v>1508.0</v>
      </c>
      <c r="I225" s="229" t="s">
        <v>25</v>
      </c>
      <c r="J225" s="22">
        <v>437.0</v>
      </c>
      <c r="K225" s="22"/>
      <c r="L225" s="22"/>
      <c r="M225" s="22"/>
    </row>
    <row r="226">
      <c r="A226" s="15">
        <v>44371.0</v>
      </c>
      <c r="B226" s="16" t="str">
        <f>IFERROR(__xludf.DUMMYFUNCTION("FILTER($G$2:$G$445,$H$2:$H$445=D226)"),"#N/A")</f>
        <v>#N/A</v>
      </c>
      <c r="C226" s="16" t="str">
        <f>IFERROR(__xludf.DUMMYFUNCTION("filter($I$1:$I$500, $J$1:$J$500=D226)"),"#N/A")</f>
        <v>#N/A</v>
      </c>
      <c r="D226" s="17">
        <v>1282.0</v>
      </c>
      <c r="F226" s="18">
        <v>100.0</v>
      </c>
      <c r="G226" s="216" t="s">
        <v>402</v>
      </c>
      <c r="H226" s="20">
        <v>1771.0</v>
      </c>
      <c r="I226" s="229" t="s">
        <v>15</v>
      </c>
      <c r="J226" s="22">
        <v>1758.0</v>
      </c>
      <c r="K226" s="22"/>
      <c r="L226" s="22"/>
      <c r="M226" s="22"/>
    </row>
    <row r="227">
      <c r="A227" s="15">
        <v>44371.0</v>
      </c>
      <c r="B227" s="16" t="str">
        <f>IFERROR(__xludf.DUMMYFUNCTION("FILTER($G$2:$G$445,$H$2:$H$445=D227)"),"#N/A")</f>
        <v>#N/A</v>
      </c>
      <c r="C227" s="16" t="str">
        <f>IFERROR(__xludf.DUMMYFUNCTION("filter($I$1:$I$500, $J$1:$J$500=D227)"),"#N/A")</f>
        <v>#N/A</v>
      </c>
      <c r="D227" s="17">
        <v>1288.0</v>
      </c>
      <c r="F227" s="18">
        <v>200.0</v>
      </c>
      <c r="G227" s="216" t="s">
        <v>409</v>
      </c>
      <c r="H227" s="20">
        <v>1757.0</v>
      </c>
      <c r="I227" s="229" t="s">
        <v>27</v>
      </c>
      <c r="J227" s="22">
        <v>1757.0</v>
      </c>
      <c r="K227" s="22"/>
      <c r="L227" s="22"/>
      <c r="M227" s="22"/>
    </row>
    <row r="228">
      <c r="A228" s="59">
        <v>44371.0</v>
      </c>
      <c r="B228" s="60" t="str">
        <f>IFERROR(__xludf.DUMMYFUNCTION("FILTER($G$2:$G$445,$H$2:$H$445=D228)"),"Sif Sangam")</f>
        <v>Sif Sangam</v>
      </c>
      <c r="C228" s="60" t="str">
        <f>IFERROR(__xludf.DUMMYFUNCTION("filter($I$1:$I$500, $J$1:$J$500=D228)"),"Cultural")</f>
        <v>Cultural</v>
      </c>
      <c r="D228" s="61">
        <v>1292.0</v>
      </c>
      <c r="F228" s="62">
        <v>539.0</v>
      </c>
      <c r="G228" s="224" t="s">
        <v>130</v>
      </c>
      <c r="H228" s="64">
        <v>1688.0</v>
      </c>
      <c r="I228" s="222" t="s">
        <v>22</v>
      </c>
      <c r="J228" s="66">
        <v>1754.0</v>
      </c>
      <c r="K228" s="66"/>
      <c r="L228" s="67">
        <v>1542.0</v>
      </c>
      <c r="M228" s="68">
        <v>900.0</v>
      </c>
    </row>
    <row r="229">
      <c r="A229" s="59">
        <v>44371.0</v>
      </c>
      <c r="B229" s="60" t="str">
        <f>IFERROR(__xludf.DUMMYFUNCTION("FILTER($G$2:$G$445,$H$2:$H$445=D229)"),"Douglass D.I.V.A.S")</f>
        <v>Douglass D.I.V.A.S</v>
      </c>
      <c r="C229" s="60" t="str">
        <f>IFERROR(__xludf.DUMMYFUNCTION("filter($I$1:$I$500, $J$1:$J$500=D229)"),"Cultural")</f>
        <v>Cultural</v>
      </c>
      <c r="D229" s="61">
        <v>1294.0</v>
      </c>
      <c r="F229" s="62">
        <v>919.0</v>
      </c>
      <c r="G229" s="70" t="s">
        <v>148</v>
      </c>
      <c r="H229" s="64">
        <v>1319.0</v>
      </c>
      <c r="I229" s="222" t="s">
        <v>17</v>
      </c>
      <c r="J229" s="66">
        <v>1753.0</v>
      </c>
      <c r="K229" s="66"/>
      <c r="L229" s="67">
        <v>1703.0</v>
      </c>
      <c r="M229" s="68">
        <v>400.0</v>
      </c>
    </row>
    <row r="230">
      <c r="A230" s="164">
        <v>44371.0</v>
      </c>
      <c r="B230" s="165" t="str">
        <f>IFERROR(__xludf.DUMMYFUNCTION("FILTER($G$2:$G$445,$H$2:$H$445=D230)"),"United Muslim Relief")</f>
        <v>United Muslim Relief</v>
      </c>
      <c r="C230" s="165" t="str">
        <f>IFERROR(__xludf.DUMMYFUNCTION("filter($I$1:$I$500, $J$1:$J$500=D230)"),"Philanthropic")</f>
        <v>Philanthropic</v>
      </c>
      <c r="D230" s="166">
        <v>1318.0</v>
      </c>
      <c r="F230" s="176">
        <v>1584.03</v>
      </c>
      <c r="G230" s="248" t="s">
        <v>312</v>
      </c>
      <c r="H230" s="169">
        <v>1474.0</v>
      </c>
      <c r="I230" s="244" t="s">
        <v>37</v>
      </c>
      <c r="J230" s="171">
        <v>415.0</v>
      </c>
      <c r="K230" s="171"/>
      <c r="L230" s="172">
        <v>1391.0</v>
      </c>
      <c r="M230" s="173">
        <v>1500.0</v>
      </c>
    </row>
    <row r="231">
      <c r="A231" s="164">
        <v>44371.0</v>
      </c>
      <c r="B231" s="165" t="str">
        <f>IFERROR(__xludf.DUMMYFUNCTION("FILTER($G$2:$G$445,$H$2:$H$445=D231)"),"United Muslim Relief")</f>
        <v>United Muslim Relief</v>
      </c>
      <c r="C231" s="165" t="str">
        <f>IFERROR(__xludf.DUMMYFUNCTION("filter($I$1:$I$500, $J$1:$J$500=D231)"),"Philanthropic")</f>
        <v>Philanthropic</v>
      </c>
      <c r="D231" s="166">
        <v>1318.0</v>
      </c>
      <c r="F231" s="176">
        <v>1849.96</v>
      </c>
      <c r="G231" s="243" t="s">
        <v>313</v>
      </c>
      <c r="H231" s="169">
        <v>1826.0</v>
      </c>
      <c r="I231" s="244" t="s">
        <v>15</v>
      </c>
      <c r="J231" s="171">
        <v>1750.0</v>
      </c>
      <c r="K231" s="171"/>
      <c r="L231" s="171"/>
      <c r="M231" s="171"/>
    </row>
    <row r="232">
      <c r="A232" s="25">
        <v>44371.0</v>
      </c>
      <c r="B232" s="26" t="str">
        <f>IFERROR(__xludf.DUMMYFUNCTION("FILTER($G$2:$G$445,$H$2:$H$445=D232)"),"Geology Club")</f>
        <v>Geology Club</v>
      </c>
      <c r="C232" s="26" t="str">
        <f>IFERROR(__xludf.DUMMYFUNCTION("filter($I$1:$I$500, $J$1:$J$500=D232)"),"Academic")</f>
        <v>Academic</v>
      </c>
      <c r="D232" s="27">
        <v>1320.0</v>
      </c>
      <c r="F232" s="28">
        <v>50.0</v>
      </c>
      <c r="G232" s="240" t="s">
        <v>18</v>
      </c>
      <c r="H232" s="30">
        <v>749.0</v>
      </c>
      <c r="I232" s="246" t="s">
        <v>19</v>
      </c>
      <c r="J232" s="32">
        <v>414.0</v>
      </c>
      <c r="K232" s="32"/>
      <c r="L232" s="33">
        <v>1433.0</v>
      </c>
      <c r="M232" s="34">
        <v>0.0</v>
      </c>
    </row>
    <row r="233">
      <c r="A233" s="25">
        <v>44371.0</v>
      </c>
      <c r="B233" s="26" t="str">
        <f>IFERROR(__xludf.DUMMYFUNCTION("FILTER($G$2:$G$445,$H$2:$H$445=D233)"),"Geology Club")</f>
        <v>Geology Club</v>
      </c>
      <c r="C233" s="26" t="str">
        <f>IFERROR(__xludf.DUMMYFUNCTION("filter($I$1:$I$500, $J$1:$J$500=D233)"),"Academic")</f>
        <v>Academic</v>
      </c>
      <c r="D233" s="27">
        <v>1320.0</v>
      </c>
      <c r="F233" s="28">
        <v>453.0</v>
      </c>
      <c r="G233" s="240" t="s">
        <v>48</v>
      </c>
      <c r="H233" s="30">
        <v>211.0</v>
      </c>
      <c r="I233" s="246" t="s">
        <v>27</v>
      </c>
      <c r="J233" s="32">
        <v>1748.0</v>
      </c>
      <c r="K233" s="32"/>
      <c r="L233" s="33">
        <v>1946.0</v>
      </c>
      <c r="M233" s="34">
        <v>130.0</v>
      </c>
    </row>
    <row r="234">
      <c r="A234" s="177">
        <v>44371.0</v>
      </c>
      <c r="B234" s="178" t="str">
        <f>IFERROR(__xludf.DUMMYFUNCTION("FILTER($G$2:$G$445,$H$2:$H$445=D234)"),"Rutgers University Mobile App Development")</f>
        <v>Rutgers University Mobile App Development</v>
      </c>
      <c r="C234" s="178" t="str">
        <f>IFERROR(__xludf.DUMMYFUNCTION("filter($I$1:$I$500, $J$1:$J$500=D234)"),"Pre-Professional")</f>
        <v>Pre-Professional</v>
      </c>
      <c r="D234" s="179">
        <v>1324.0</v>
      </c>
      <c r="F234" s="180">
        <v>150.0</v>
      </c>
      <c r="G234" s="233" t="s">
        <v>321</v>
      </c>
      <c r="H234" s="182">
        <v>1612.0</v>
      </c>
      <c r="I234" s="228" t="s">
        <v>25</v>
      </c>
      <c r="J234" s="184">
        <v>407.0</v>
      </c>
      <c r="K234" s="184"/>
      <c r="L234" s="184"/>
      <c r="M234" s="184"/>
    </row>
    <row r="235">
      <c r="A235" s="177">
        <v>44371.0</v>
      </c>
      <c r="B235" s="178" t="str">
        <f>IFERROR(__xludf.DUMMYFUNCTION("FILTER($G$2:$G$445,$H$2:$H$445=D235)"),"Rutgers University Mobile App Development")</f>
        <v>Rutgers University Mobile App Development</v>
      </c>
      <c r="C235" s="178" t="str">
        <f>IFERROR(__xludf.DUMMYFUNCTION("filter($I$1:$I$500, $J$1:$J$500=D235)"),"Pre-Professional")</f>
        <v>Pre-Professional</v>
      </c>
      <c r="D235" s="179">
        <v>1324.0</v>
      </c>
      <c r="F235" s="180">
        <v>911.0</v>
      </c>
      <c r="G235" s="233" t="s">
        <v>345</v>
      </c>
      <c r="H235" s="182">
        <v>1479.0</v>
      </c>
      <c r="I235" s="228" t="s">
        <v>19</v>
      </c>
      <c r="J235" s="184">
        <v>1746.0</v>
      </c>
      <c r="K235" s="184"/>
      <c r="L235" s="184"/>
      <c r="M235" s="184"/>
    </row>
    <row r="236">
      <c r="A236" s="146">
        <v>44371.0</v>
      </c>
      <c r="B236" s="147" t="str">
        <f>IFERROR(__xludf.DUMMYFUNCTION("FILTER($G$2:$G$445,$H$2:$H$445=D236)"),"Nuttin  but V.O.C.A.L.S.")</f>
        <v>Nuttin  but V.O.C.A.L.S.</v>
      </c>
      <c r="C236" s="147" t="str">
        <f>IFERROR(__xludf.DUMMYFUNCTION("filter($I$1:$I$500, $J$1:$J$500=D236)"),"Performing Arts")</f>
        <v>Performing Arts</v>
      </c>
      <c r="D236" s="148">
        <v>1334.0</v>
      </c>
      <c r="F236" s="163">
        <v>2400.0</v>
      </c>
      <c r="G236" s="161" t="s">
        <v>282</v>
      </c>
      <c r="H236" s="151">
        <v>1323.0</v>
      </c>
      <c r="I236" s="238" t="s">
        <v>27</v>
      </c>
      <c r="J236" s="153">
        <v>405.0</v>
      </c>
      <c r="K236" s="153"/>
      <c r="L236" s="154">
        <v>1292.0</v>
      </c>
      <c r="M236" s="156">
        <v>600.0</v>
      </c>
    </row>
    <row r="237">
      <c r="A237" s="192">
        <v>44371.0</v>
      </c>
      <c r="B237" s="193" t="str">
        <f>IFERROR(__xludf.DUMMYFUNCTION("FILTER($G$2:$G$445,$H$2:$H$445=D237)"),"GlobeMed")</f>
        <v>GlobeMed</v>
      </c>
      <c r="C237" s="193" t="str">
        <f>IFERROR(__xludf.DUMMYFUNCTION("filter($I$1:$I$500, $J$1:$J$500=D237)"),"Social Action/Political")</f>
        <v>Social Action/Political</v>
      </c>
      <c r="D237" s="194">
        <v>1347.0</v>
      </c>
      <c r="F237" s="195">
        <v>450.0</v>
      </c>
      <c r="G237" s="203" t="s">
        <v>376</v>
      </c>
      <c r="H237" s="197">
        <v>766.0</v>
      </c>
      <c r="I237" s="225" t="s">
        <v>17</v>
      </c>
      <c r="J237" s="199">
        <v>401.0</v>
      </c>
      <c r="K237" s="199"/>
      <c r="L237" s="199"/>
      <c r="M237" s="199"/>
    </row>
    <row r="238">
      <c r="A238" s="192">
        <v>44371.0</v>
      </c>
      <c r="B238" s="193" t="str">
        <f>IFERROR(__xludf.DUMMYFUNCTION("FILTER($G$2:$G$445,$H$2:$H$445=D238)"),"GlobeMed")</f>
        <v>GlobeMed</v>
      </c>
      <c r="C238" s="193" t="str">
        <f>IFERROR(__xludf.DUMMYFUNCTION("filter($I$1:$I$500, $J$1:$J$500=D238)"),"Social Action/Political")</f>
        <v>Social Action/Political</v>
      </c>
      <c r="D238" s="194">
        <v>1347.0</v>
      </c>
      <c r="F238" s="195">
        <v>710.0</v>
      </c>
      <c r="G238" s="226" t="s">
        <v>380</v>
      </c>
      <c r="H238" s="197">
        <v>512.0</v>
      </c>
      <c r="I238" s="225" t="s">
        <v>30</v>
      </c>
      <c r="J238" s="199">
        <v>1745.0</v>
      </c>
      <c r="K238" s="199"/>
      <c r="L238" s="199"/>
      <c r="M238" s="199"/>
    </row>
    <row r="239">
      <c r="A239" s="119">
        <v>44371.0</v>
      </c>
      <c r="B239" s="120" t="str">
        <f>IFERROR(__xludf.DUMMYFUNCTION("FILTER($G$2:$G$445,$H$2:$H$445=D239)"),"The Imaginate")</f>
        <v>The Imaginate</v>
      </c>
      <c r="C239" s="120" t="str">
        <f>IFERROR(__xludf.DUMMYFUNCTION("filter($I$1:$I$500, $J$1:$J$500=D239)"),"Media")</f>
        <v>Media</v>
      </c>
      <c r="D239" s="121">
        <v>1355.0</v>
      </c>
      <c r="F239" s="122">
        <v>10.0</v>
      </c>
      <c r="G239" s="236" t="s">
        <v>232</v>
      </c>
      <c r="H239" s="124">
        <v>1836.0</v>
      </c>
      <c r="I239" s="235" t="s">
        <v>43</v>
      </c>
      <c r="J239" s="126">
        <v>1742.0</v>
      </c>
      <c r="K239" s="126"/>
      <c r="L239" s="127">
        <v>481.0</v>
      </c>
      <c r="M239" s="127">
        <v>0.0</v>
      </c>
    </row>
    <row r="240">
      <c r="A240" s="77">
        <v>44371.0</v>
      </c>
      <c r="B240" s="78" t="str">
        <f>IFERROR(__xludf.DUMMYFUNCTION("FILTER($G$2:$G$445,$H$2:$H$445=D240)"),"Ahlul-Bayt Student Association")</f>
        <v>Ahlul-Bayt Student Association</v>
      </c>
      <c r="C240" s="78" t="str">
        <f>IFERROR(__xludf.DUMMYFUNCTION("filter($I$1:$I$500, $J$1:$J$500=D240)"),"Faith-based")</f>
        <v>Faith-based</v>
      </c>
      <c r="D240" s="79">
        <v>1369.0</v>
      </c>
      <c r="F240" s="80">
        <v>10.0</v>
      </c>
      <c r="G240" s="237" t="s">
        <v>172</v>
      </c>
      <c r="H240" s="82">
        <v>1478.0</v>
      </c>
      <c r="I240" s="234" t="s">
        <v>15</v>
      </c>
      <c r="J240" s="84">
        <v>400.0</v>
      </c>
      <c r="K240" s="84"/>
      <c r="L240" s="85">
        <v>1184.0</v>
      </c>
      <c r="M240" s="86">
        <v>3850.0</v>
      </c>
    </row>
    <row r="241">
      <c r="A241" s="77">
        <v>44371.0</v>
      </c>
      <c r="B241" s="78" t="str">
        <f>IFERROR(__xludf.DUMMYFUNCTION("FILTER($G$2:$G$445,$H$2:$H$445=D241)"),"Ahlul-Bayt Student Association")</f>
        <v>Ahlul-Bayt Student Association</v>
      </c>
      <c r="C241" s="78" t="str">
        <f>IFERROR(__xludf.DUMMYFUNCTION("filter($I$1:$I$500, $J$1:$J$500=D241)"),"Faith-based")</f>
        <v>Faith-based</v>
      </c>
      <c r="D241" s="79">
        <v>1369.0</v>
      </c>
      <c r="F241" s="92">
        <v>1437.0</v>
      </c>
      <c r="G241" s="93" t="s">
        <v>201</v>
      </c>
      <c r="H241" s="82">
        <v>1860.0</v>
      </c>
      <c r="I241" s="234" t="s">
        <v>34</v>
      </c>
      <c r="J241" s="84">
        <v>1741.0</v>
      </c>
      <c r="K241" s="84"/>
      <c r="L241" s="85">
        <v>269.0</v>
      </c>
      <c r="M241" s="85">
        <v>600.0</v>
      </c>
    </row>
    <row r="242">
      <c r="A242" s="177">
        <v>44371.0</v>
      </c>
      <c r="B242" s="178" t="str">
        <f>IFERROR(__xludf.DUMMYFUNCTION("FILTER($G$2:$G$445,$H$2:$H$445=D242)"),"Health Occupation Students of America (HOSA)")</f>
        <v>Health Occupation Students of America (HOSA)</v>
      </c>
      <c r="C242" s="178" t="str">
        <f>IFERROR(__xludf.DUMMYFUNCTION("filter($I$1:$I$500, $J$1:$J$500=D242)"),"Pre-Professional")</f>
        <v>Pre-Professional</v>
      </c>
      <c r="D242" s="179">
        <v>1373.0</v>
      </c>
      <c r="F242" s="180">
        <v>400.0</v>
      </c>
      <c r="G242" s="233" t="s">
        <v>333</v>
      </c>
      <c r="H242" s="182">
        <v>69.0</v>
      </c>
      <c r="I242" s="228" t="s">
        <v>27</v>
      </c>
      <c r="J242" s="184">
        <v>391.0</v>
      </c>
      <c r="K242" s="184"/>
      <c r="L242" s="184"/>
      <c r="M242" s="184"/>
    </row>
    <row r="243">
      <c r="A243" s="177">
        <v>44371.0</v>
      </c>
      <c r="B243" s="178" t="str">
        <f>IFERROR(__xludf.DUMMYFUNCTION("FILTER($G$2:$G$445,$H$2:$H$445=D243)"),"Health Occupation Students of America (HOSA)")</f>
        <v>Health Occupation Students of America (HOSA)</v>
      </c>
      <c r="C243" s="178" t="str">
        <f>IFERROR(__xludf.DUMMYFUNCTION("filter($I$1:$I$500, $J$1:$J$500=D243)"),"Pre-Professional")</f>
        <v>Pre-Professional</v>
      </c>
      <c r="D243" s="179">
        <v>1373.0</v>
      </c>
      <c r="F243" s="180">
        <v>717.0</v>
      </c>
      <c r="G243" s="233" t="s">
        <v>338</v>
      </c>
      <c r="H243" s="182">
        <v>770.0</v>
      </c>
      <c r="I243" s="228" t="s">
        <v>13</v>
      </c>
      <c r="J243" s="184">
        <v>1722.0</v>
      </c>
      <c r="K243" s="184"/>
      <c r="L243" s="184"/>
      <c r="M243" s="184"/>
    </row>
    <row r="244">
      <c r="A244" s="177">
        <v>44371.0</v>
      </c>
      <c r="B244" s="178" t="str">
        <f>IFERROR(__xludf.DUMMYFUNCTION("FILTER($G$2:$G$445,$H$2:$H$445=D244)"),"Future Teachers Association")</f>
        <v>Future Teachers Association</v>
      </c>
      <c r="C244" s="178" t="str">
        <f>IFERROR(__xludf.DUMMYFUNCTION("filter($I$1:$I$500, $J$1:$J$500=D244)"),"Pre-Professional")</f>
        <v>Pre-Professional</v>
      </c>
      <c r="D244" s="179">
        <v>1387.0</v>
      </c>
      <c r="F244" s="180">
        <v>286.0</v>
      </c>
      <c r="G244" s="233" t="s">
        <v>328</v>
      </c>
      <c r="H244" s="182">
        <v>1762.0</v>
      </c>
      <c r="I244" s="228" t="s">
        <v>22</v>
      </c>
      <c r="J244" s="184">
        <v>1719.0</v>
      </c>
      <c r="K244" s="184"/>
      <c r="L244" s="184"/>
      <c r="M244" s="184"/>
    </row>
    <row r="245">
      <c r="A245" s="192">
        <v>44371.0</v>
      </c>
      <c r="B245" s="193" t="str">
        <f>IFERROR(__xludf.DUMMYFUNCTION("FILTER($G$2:$G$445,$H$2:$H$445=D245)"),"Vegetarian Society")</f>
        <v>Vegetarian Society</v>
      </c>
      <c r="C245" s="193" t="str">
        <f>IFERROR(__xludf.DUMMYFUNCTION("filter($I$1:$I$500, $J$1:$J$500=D245)"),"Social Action/Political")</f>
        <v>Social Action/Political</v>
      </c>
      <c r="D245" s="194">
        <v>1391.0</v>
      </c>
      <c r="F245" s="205">
        <v>1000.0</v>
      </c>
      <c r="G245" s="226" t="s">
        <v>386</v>
      </c>
      <c r="H245" s="197">
        <v>338.0</v>
      </c>
      <c r="I245" s="225" t="s">
        <v>25</v>
      </c>
      <c r="J245" s="199">
        <v>386.0</v>
      </c>
      <c r="K245" s="199"/>
      <c r="L245" s="199"/>
      <c r="M245" s="199"/>
    </row>
    <row r="246">
      <c r="A246" s="59">
        <v>44371.0</v>
      </c>
      <c r="B246" s="60" t="str">
        <f>IFERROR(__xludf.DUMMYFUNCTION("FILTER($G$2:$G$445,$H$2:$H$445=D246)"),"Association of Punjabi Students")</f>
        <v>Association of Punjabi Students</v>
      </c>
      <c r="C246" s="60" t="str">
        <f>IFERROR(__xludf.DUMMYFUNCTION("filter($I$1:$I$500, $J$1:$J$500=D246)"),"Cultural")</f>
        <v>Cultural</v>
      </c>
      <c r="D246" s="61">
        <v>1410.0</v>
      </c>
      <c r="F246" s="62">
        <v>936.96</v>
      </c>
      <c r="G246" s="224" t="s">
        <v>149</v>
      </c>
      <c r="H246" s="64">
        <v>587.0</v>
      </c>
      <c r="I246" s="222" t="s">
        <v>17</v>
      </c>
      <c r="J246" s="66">
        <v>1717.0</v>
      </c>
      <c r="K246" s="66"/>
      <c r="L246" s="67">
        <v>1143.0</v>
      </c>
      <c r="M246" s="68">
        <v>3920.0</v>
      </c>
    </row>
    <row r="247">
      <c r="A247" s="59">
        <v>44371.0</v>
      </c>
      <c r="B247" s="60" t="str">
        <f>IFERROR(__xludf.DUMMYFUNCTION("FILTER($G$2:$G$445,$H$2:$H$445=D247)"),"Mishelanu (Hebrew Club)")</f>
        <v>Mishelanu (Hebrew Club)</v>
      </c>
      <c r="C247" s="60" t="str">
        <f>IFERROR(__xludf.DUMMYFUNCTION("filter($I$1:$I$500, $J$1:$J$500=D247)"),"Cultural")</f>
        <v>Cultural</v>
      </c>
      <c r="D247" s="61">
        <v>1412.0</v>
      </c>
      <c r="F247" s="62">
        <v>300.0</v>
      </c>
      <c r="G247" s="224" t="s">
        <v>115</v>
      </c>
      <c r="H247" s="64">
        <v>401.0</v>
      </c>
      <c r="I247" s="222" t="s">
        <v>25</v>
      </c>
      <c r="J247" s="66">
        <v>363.0</v>
      </c>
      <c r="K247" s="66"/>
      <c r="L247" s="67">
        <v>754.0</v>
      </c>
      <c r="M247" s="68">
        <v>2470.0</v>
      </c>
    </row>
    <row r="248">
      <c r="A248" s="59">
        <v>44371.0</v>
      </c>
      <c r="B248" s="60" t="str">
        <f>IFERROR(__xludf.DUMMYFUNCTION("FILTER($G$2:$G$445,$H$2:$H$445=D248)"),"Mishelanu (Hebrew Club)")</f>
        <v>Mishelanu (Hebrew Club)</v>
      </c>
      <c r="C248" s="60" t="str">
        <f>IFERROR(__xludf.DUMMYFUNCTION("filter($I$1:$I$500, $J$1:$J$500=D248)"),"Cultural")</f>
        <v>Cultural</v>
      </c>
      <c r="D248" s="61">
        <v>1412.0</v>
      </c>
      <c r="F248" s="62">
        <v>567.0</v>
      </c>
      <c r="G248" s="70" t="s">
        <v>133</v>
      </c>
      <c r="H248" s="70" t="s">
        <v>134</v>
      </c>
      <c r="I248" s="222" t="s">
        <v>43</v>
      </c>
      <c r="J248" s="66">
        <v>1716.0</v>
      </c>
      <c r="K248" s="66"/>
      <c r="L248" s="67">
        <v>301.0</v>
      </c>
      <c r="M248" s="68">
        <v>1520.0</v>
      </c>
    </row>
    <row r="249">
      <c r="A249" s="192">
        <v>44371.0</v>
      </c>
      <c r="B249" s="193" t="str">
        <f>IFERROR(__xludf.DUMMYFUNCTION("FILTER($G$2:$G$445,$H$2:$H$445=D249)"),"Women Organizing Against Harassment")</f>
        <v>Women Organizing Against Harassment</v>
      </c>
      <c r="C249" s="193" t="str">
        <f>IFERROR(__xludf.DUMMYFUNCTION("filter($I$1:$I$500, $J$1:$J$500=D249)"),"Social Action/Political")</f>
        <v>Social Action/Political</v>
      </c>
      <c r="D249" s="194">
        <v>1416.0</v>
      </c>
      <c r="F249" s="195">
        <v>140.0</v>
      </c>
      <c r="G249" s="226" t="s">
        <v>364</v>
      </c>
      <c r="H249" s="197">
        <v>1511.0</v>
      </c>
      <c r="I249" s="225" t="s">
        <v>13</v>
      </c>
      <c r="J249" s="199">
        <v>362.0</v>
      </c>
      <c r="K249" s="199"/>
      <c r="L249" s="199"/>
      <c r="M249" s="199"/>
    </row>
    <row r="250">
      <c r="A250" s="192">
        <v>44371.0</v>
      </c>
      <c r="B250" s="193" t="str">
        <f>IFERROR(__xludf.DUMMYFUNCTION("FILTER($G$2:$G$445,$H$2:$H$445=D250)"),"Women Organizing Against Harassment")</f>
        <v>Women Organizing Against Harassment</v>
      </c>
      <c r="C250" s="193" t="str">
        <f>IFERROR(__xludf.DUMMYFUNCTION("filter($I$1:$I$500, $J$1:$J$500=D250)"),"Social Action/Political")</f>
        <v>Social Action/Political</v>
      </c>
      <c r="D250" s="194">
        <v>1416.0</v>
      </c>
      <c r="F250" s="195">
        <v>112.0</v>
      </c>
      <c r="G250" s="226" t="s">
        <v>363</v>
      </c>
      <c r="H250" s="197">
        <v>98.0</v>
      </c>
      <c r="I250" s="225" t="s">
        <v>15</v>
      </c>
      <c r="J250" s="199">
        <v>1703.0</v>
      </c>
      <c r="K250" s="199"/>
      <c r="L250" s="199"/>
      <c r="M250" s="199"/>
    </row>
    <row r="251">
      <c r="A251" s="192">
        <v>44371.0</v>
      </c>
      <c r="B251" s="193" t="str">
        <f>IFERROR(__xludf.DUMMYFUNCTION("FILTER($G$2:$G$445,$H$2:$H$445=D251)"),"Transmissions")</f>
        <v>Transmissions</v>
      </c>
      <c r="C251" s="193" t="str">
        <f>IFERROR(__xludf.DUMMYFUNCTION("filter($I$1:$I$500, $J$1:$J$500=D251)"),"Social Action/Political")</f>
        <v>Social Action/Political</v>
      </c>
      <c r="D251" s="194">
        <v>1425.0</v>
      </c>
      <c r="F251" s="195">
        <v>200.0</v>
      </c>
      <c r="G251" s="226" t="s">
        <v>368</v>
      </c>
      <c r="H251" s="197">
        <v>1746.0</v>
      </c>
      <c r="I251" s="225" t="s">
        <v>37</v>
      </c>
      <c r="J251" s="199">
        <v>1697.0</v>
      </c>
      <c r="K251" s="199"/>
      <c r="L251" s="199"/>
      <c r="M251" s="199"/>
    </row>
    <row r="252">
      <c r="A252" s="59">
        <v>44371.0</v>
      </c>
      <c r="B252" s="60" t="str">
        <f>IFERROR(__xludf.DUMMYFUNCTION("FILTER($G$2:$G$445,$H$2:$H$445=D252)"),"Out Of State Student Organization")</f>
        <v>Out Of State Student Organization</v>
      </c>
      <c r="C252" s="60" t="str">
        <f>IFERROR(__xludf.DUMMYFUNCTION("filter($I$1:$I$500, $J$1:$J$500=D252)"),"Cultural")</f>
        <v>Cultural</v>
      </c>
      <c r="D252" s="61">
        <v>1432.0</v>
      </c>
      <c r="F252" s="62">
        <v>354.0</v>
      </c>
      <c r="G252" s="70" t="s">
        <v>119</v>
      </c>
      <c r="H252" s="64">
        <v>1838.0</v>
      </c>
      <c r="I252" s="222" t="s">
        <v>37</v>
      </c>
      <c r="J252" s="66">
        <v>1694.0</v>
      </c>
      <c r="K252" s="66"/>
      <c r="L252" s="67">
        <v>1875.0</v>
      </c>
      <c r="M252" s="68">
        <v>4.0</v>
      </c>
    </row>
    <row r="253">
      <c r="A253" s="146">
        <v>44371.0</v>
      </c>
      <c r="B253" s="147" t="str">
        <f>IFERROR(__xludf.DUMMYFUNCTION("FILTER($G$2:$G$445,$H$2:$H$445=D253)"),"Nehriyan Bhangra")</f>
        <v>Nehriyan Bhangra</v>
      </c>
      <c r="C253" s="147" t="str">
        <f>IFERROR(__xludf.DUMMYFUNCTION("filter($I$1:$I$500, $J$1:$J$500=D253)"),"Performing Arts")</f>
        <v>Performing Arts</v>
      </c>
      <c r="D253" s="148">
        <v>1439.0</v>
      </c>
      <c r="F253" s="149">
        <v>253.0</v>
      </c>
      <c r="G253" s="161" t="s">
        <v>258</v>
      </c>
      <c r="H253" s="151">
        <v>1802.0</v>
      </c>
      <c r="I253" s="238" t="s">
        <v>17</v>
      </c>
      <c r="J253" s="153">
        <v>1692.0</v>
      </c>
      <c r="K253" s="153"/>
      <c r="L253" s="154">
        <v>17.0</v>
      </c>
      <c r="M253" s="156">
        <v>0.0</v>
      </c>
    </row>
    <row r="254">
      <c r="A254" s="146">
        <v>44371.0</v>
      </c>
      <c r="B254" s="147" t="str">
        <f>IFERROR(__xludf.DUMMYFUNCTION("FILTER($G$2:$G$445,$H$2:$H$445=D254)"),"Haru Kpop Dance Cover Club ")</f>
        <v>Haru Kpop Dance Cover Club </v>
      </c>
      <c r="C254" s="147" t="str">
        <f>IFERROR(__xludf.DUMMYFUNCTION("filter($I$1:$I$500, $J$1:$J$500=D254)"),"Performing Arts")</f>
        <v>Performing Arts</v>
      </c>
      <c r="D254" s="148">
        <v>1467.0</v>
      </c>
      <c r="F254" s="149">
        <v>15.0</v>
      </c>
      <c r="G254" s="161" t="s">
        <v>244</v>
      </c>
      <c r="H254" s="151">
        <v>1952.0</v>
      </c>
      <c r="I254" s="238" t="s">
        <v>15</v>
      </c>
      <c r="J254" s="153">
        <v>357.0</v>
      </c>
      <c r="K254" s="153"/>
      <c r="L254" s="154">
        <v>437.0</v>
      </c>
      <c r="M254" s="154">
        <v>50.0</v>
      </c>
    </row>
    <row r="255">
      <c r="A255" s="177">
        <v>44371.0</v>
      </c>
      <c r="B255" s="178" t="str">
        <f>IFERROR(__xludf.DUMMYFUNCTION("FILTER($G$2:$G$445,$H$2:$H$445=D255)"),"Future Healthcare Administrators")</f>
        <v>Future Healthcare Administrators</v>
      </c>
      <c r="C255" s="178" t="str">
        <f>IFERROR(__xludf.DUMMYFUNCTION("filter($I$1:$I$500, $J$1:$J$500=D255)"),"Pre-Professional")</f>
        <v>Pre-Professional</v>
      </c>
      <c r="D255" s="179">
        <v>1468.0</v>
      </c>
      <c r="F255" s="180">
        <v>800.0</v>
      </c>
      <c r="G255" s="233" t="s">
        <v>340</v>
      </c>
      <c r="H255" s="182">
        <v>62.0</v>
      </c>
      <c r="I255" s="228" t="s">
        <v>15</v>
      </c>
      <c r="J255" s="184">
        <v>353.0</v>
      </c>
      <c r="K255" s="184"/>
      <c r="L255" s="184"/>
      <c r="M255" s="184"/>
    </row>
    <row r="256">
      <c r="A256" s="177">
        <v>44371.0</v>
      </c>
      <c r="B256" s="178" t="str">
        <f>IFERROR(__xludf.DUMMYFUNCTION("FILTER($G$2:$G$445,$H$2:$H$445=D256)"),"Future Healthcare Administrators")</f>
        <v>Future Healthcare Administrators</v>
      </c>
      <c r="C256" s="178" t="str">
        <f>IFERROR(__xludf.DUMMYFUNCTION("filter($I$1:$I$500, $J$1:$J$500=D256)"),"Pre-Professional")</f>
        <v>Pre-Professional</v>
      </c>
      <c r="D256" s="179">
        <v>1468.0</v>
      </c>
      <c r="F256" s="191">
        <v>1182.0</v>
      </c>
      <c r="G256" s="227" t="s">
        <v>349</v>
      </c>
      <c r="H256" s="182">
        <v>19.0</v>
      </c>
      <c r="I256" s="228" t="s">
        <v>43</v>
      </c>
      <c r="J256" s="184">
        <v>1688.0</v>
      </c>
      <c r="K256" s="184"/>
      <c r="L256" s="184"/>
      <c r="M256" s="184"/>
    </row>
    <row r="257">
      <c r="A257" s="43">
        <v>44371.0</v>
      </c>
      <c r="B257" s="44" t="str">
        <f>IFERROR(__xludf.DUMMYFUNCTION("FILTER($G$2:$G$445,$H$2:$H$445=D257)"),"Craft to Cure")</f>
        <v>Craft to Cure</v>
      </c>
      <c r="C257" s="44" t="str">
        <f>IFERROR(__xludf.DUMMYFUNCTION("filter($I$1:$I$500, $J$1:$J$500=D257)"),"Community Service")</f>
        <v>Community Service</v>
      </c>
      <c r="D257" s="45">
        <v>1474.0</v>
      </c>
      <c r="F257" s="46">
        <v>51.93</v>
      </c>
      <c r="G257" s="230" t="s">
        <v>66</v>
      </c>
      <c r="H257" s="48">
        <v>178.0</v>
      </c>
      <c r="I257" s="231" t="s">
        <v>27</v>
      </c>
      <c r="J257" s="50">
        <v>352.0</v>
      </c>
      <c r="K257" s="50"/>
      <c r="L257" s="51">
        <v>178.0</v>
      </c>
      <c r="M257" s="51">
        <v>2780.0</v>
      </c>
    </row>
    <row r="258">
      <c r="A258" s="43">
        <v>44371.0</v>
      </c>
      <c r="B258" s="44" t="str">
        <f>IFERROR(__xludf.DUMMYFUNCTION("FILTER($G$2:$G$445,$H$2:$H$445=D258)"),"Craft to Cure")</f>
        <v>Craft to Cure</v>
      </c>
      <c r="C258" s="44" t="str">
        <f>IFERROR(__xludf.DUMMYFUNCTION("filter($I$1:$I$500, $J$1:$J$500=D258)"),"Community Service")</f>
        <v>Community Service</v>
      </c>
      <c r="D258" s="45">
        <v>1474.0</v>
      </c>
      <c r="F258" s="46">
        <v>178.7</v>
      </c>
      <c r="G258" s="230" t="s">
        <v>73</v>
      </c>
      <c r="H258" s="48">
        <v>1845.0</v>
      </c>
      <c r="I258" s="231" t="s">
        <v>27</v>
      </c>
      <c r="J258" s="50">
        <v>1674.0</v>
      </c>
      <c r="K258" s="50"/>
      <c r="L258" s="51">
        <v>1273.0</v>
      </c>
      <c r="M258" s="52">
        <v>3000.0</v>
      </c>
    </row>
    <row r="259">
      <c r="A259" s="192">
        <v>44371.0</v>
      </c>
      <c r="B259" s="193" t="str">
        <f>IFERROR(__xludf.DUMMYFUNCTION("FILTER($G$2:$G$445,$H$2:$H$445=D259)"),"She's the First")</f>
        <v>She's the First</v>
      </c>
      <c r="C259" s="193" t="str">
        <f>IFERROR(__xludf.DUMMYFUNCTION("filter($I$1:$I$500, $J$1:$J$500=D259)"),"Social Action/Political")</f>
        <v>Social Action/Political</v>
      </c>
      <c r="D259" s="194">
        <v>1475.0</v>
      </c>
      <c r="F259" s="195">
        <v>300.0</v>
      </c>
      <c r="G259" s="203" t="s">
        <v>373</v>
      </c>
      <c r="H259" s="197">
        <v>620.0</v>
      </c>
      <c r="I259" s="225" t="s">
        <v>15</v>
      </c>
      <c r="J259" s="199">
        <v>348.0</v>
      </c>
      <c r="K259" s="199"/>
      <c r="L259" s="199"/>
      <c r="M259" s="199"/>
    </row>
    <row r="260">
      <c r="A260" s="192">
        <v>44371.0</v>
      </c>
      <c r="B260" s="193" t="str">
        <f>IFERROR(__xludf.DUMMYFUNCTION("FILTER($G$2:$G$445,$H$2:$H$445=D260)"),"She's the First")</f>
        <v>She's the First</v>
      </c>
      <c r="C260" s="193" t="str">
        <f>IFERROR(__xludf.DUMMYFUNCTION("filter($I$1:$I$500, $J$1:$J$500=D260)"),"Social Action/Political")</f>
        <v>Social Action/Political</v>
      </c>
      <c r="D260" s="194">
        <v>1475.0</v>
      </c>
      <c r="F260" s="205">
        <v>1101.0</v>
      </c>
      <c r="G260" s="203" t="s">
        <v>388</v>
      </c>
      <c r="H260" s="197">
        <v>1393.0</v>
      </c>
      <c r="I260" s="225" t="s">
        <v>25</v>
      </c>
      <c r="J260" s="199">
        <v>1672.0</v>
      </c>
      <c r="K260" s="199"/>
      <c r="L260" s="199"/>
      <c r="M260" s="199"/>
    </row>
    <row r="261">
      <c r="A261" s="177">
        <v>44371.0</v>
      </c>
      <c r="B261" s="178" t="str">
        <f>IFERROR(__xludf.DUMMYFUNCTION("FILTER($G$2:$G$445,$H$2:$H$445=D261)"),"Collegiate 100")</f>
        <v>Collegiate 100</v>
      </c>
      <c r="C261" s="178" t="str">
        <f>IFERROR(__xludf.DUMMYFUNCTION("filter($I$1:$I$500, $J$1:$J$500=D261)"),"Pre-Professional")</f>
        <v>Pre-Professional</v>
      </c>
      <c r="D261" s="179">
        <v>1478.0</v>
      </c>
      <c r="F261" s="180">
        <v>400.0</v>
      </c>
      <c r="G261" s="233" t="s">
        <v>332</v>
      </c>
      <c r="H261" s="182">
        <v>688.0</v>
      </c>
      <c r="I261" s="228" t="s">
        <v>15</v>
      </c>
      <c r="J261" s="184">
        <v>347.0</v>
      </c>
      <c r="K261" s="184"/>
      <c r="L261" s="184"/>
      <c r="M261" s="184"/>
    </row>
    <row r="262">
      <c r="A262" s="177">
        <v>44371.0</v>
      </c>
      <c r="B262" s="178" t="str">
        <f>IFERROR(__xludf.DUMMYFUNCTION("FILTER($G$2:$G$445,$H$2:$H$445=D262)"),"Collegiate 100")</f>
        <v>Collegiate 100</v>
      </c>
      <c r="C262" s="178" t="str">
        <f>IFERROR(__xludf.DUMMYFUNCTION("filter($I$1:$I$500, $J$1:$J$500=D262)"),"Pre-Professional")</f>
        <v>Pre-Professional</v>
      </c>
      <c r="D262" s="179">
        <v>1478.0</v>
      </c>
      <c r="F262" s="180">
        <v>113.0</v>
      </c>
      <c r="G262" s="227" t="s">
        <v>320</v>
      </c>
      <c r="H262" s="182">
        <v>1877.0</v>
      </c>
      <c r="I262" s="228" t="s">
        <v>19</v>
      </c>
      <c r="J262" s="184">
        <v>1665.0</v>
      </c>
      <c r="K262" s="184"/>
      <c r="L262" s="184"/>
      <c r="M262" s="184"/>
    </row>
    <row r="263">
      <c r="A263" s="177">
        <v>44371.0</v>
      </c>
      <c r="B263" s="178" t="str">
        <f>IFERROR(__xludf.DUMMYFUNCTION("FILTER($G$2:$G$445,$H$2:$H$445=D263)"),"Criminal Justice Organization")</f>
        <v>Criminal Justice Organization</v>
      </c>
      <c r="C263" s="178" t="str">
        <f>IFERROR(__xludf.DUMMYFUNCTION("filter($I$1:$I$500, $J$1:$J$500=D263)"),"Pre-Professional")</f>
        <v>Pre-Professional</v>
      </c>
      <c r="D263" s="179">
        <v>1483.0</v>
      </c>
      <c r="F263" s="180">
        <v>253.0</v>
      </c>
      <c r="G263" s="233" t="s">
        <v>327</v>
      </c>
      <c r="H263" s="182">
        <v>649.0</v>
      </c>
      <c r="I263" s="228" t="s">
        <v>22</v>
      </c>
      <c r="J263" s="184">
        <v>1663.0</v>
      </c>
      <c r="K263" s="184"/>
      <c r="L263" s="184"/>
      <c r="M263" s="184"/>
    </row>
    <row r="264">
      <c r="A264" s="164">
        <v>44371.0</v>
      </c>
      <c r="B264" s="165" t="str">
        <f>IFERROR(__xludf.DUMMYFUNCTION("FILTER($G$2:$G$445,$H$2:$H$445=D264)"),"The Ashley Lauren Foundation")</f>
        <v>The Ashley Lauren Foundation</v>
      </c>
      <c r="C264" s="165" t="str">
        <f>IFERROR(__xludf.DUMMYFUNCTION("filter($I$1:$I$500, $J$1:$J$500=D264)"),"Philanthropic")</f>
        <v>Philanthropic</v>
      </c>
      <c r="D264" s="166">
        <v>1486.0</v>
      </c>
      <c r="F264" s="167">
        <v>331.0</v>
      </c>
      <c r="G264" s="243" t="s">
        <v>302</v>
      </c>
      <c r="H264" s="169">
        <v>333.0</v>
      </c>
      <c r="I264" s="244" t="s">
        <v>17</v>
      </c>
      <c r="J264" s="171">
        <v>1662.0</v>
      </c>
      <c r="K264" s="171"/>
      <c r="L264" s="171"/>
      <c r="M264" s="171"/>
    </row>
    <row r="265">
      <c r="A265" s="164">
        <v>44371.0</v>
      </c>
      <c r="B265" s="165" t="str">
        <f>IFERROR(__xludf.DUMMYFUNCTION("FILTER($G$2:$G$445,$H$2:$H$445=D265)"),"Pencils of Promise")</f>
        <v>Pencils of Promise</v>
      </c>
      <c r="C265" s="165" t="str">
        <f>IFERROR(__xludf.DUMMYFUNCTION("filter($I$1:$I$500, $J$1:$J$500=D265)"),"Philanthropic")</f>
        <v>Philanthropic</v>
      </c>
      <c r="D265" s="166">
        <v>1490.0</v>
      </c>
      <c r="F265" s="167">
        <v>100.0</v>
      </c>
      <c r="G265" s="248" t="s">
        <v>291</v>
      </c>
      <c r="H265" s="169">
        <v>1510.0</v>
      </c>
      <c r="I265" s="244" t="s">
        <v>15</v>
      </c>
      <c r="J265" s="171">
        <v>346.0</v>
      </c>
      <c r="K265" s="171"/>
      <c r="L265" s="172">
        <v>653.0</v>
      </c>
      <c r="M265" s="172">
        <v>1020.0</v>
      </c>
    </row>
    <row r="266">
      <c r="A266" s="164">
        <v>44371.0</v>
      </c>
      <c r="B266" s="165" t="str">
        <f>IFERROR(__xludf.DUMMYFUNCTION("FILTER($G$2:$G$445,$H$2:$H$445=D266)"),"Pencils of Promise")</f>
        <v>Pencils of Promise</v>
      </c>
      <c r="C266" s="165" t="str">
        <f>IFERROR(__xludf.DUMMYFUNCTION("filter($I$1:$I$500, $J$1:$J$500=D266)"),"Philanthropic")</f>
        <v>Philanthropic</v>
      </c>
      <c r="D266" s="166">
        <v>1490.0</v>
      </c>
      <c r="F266" s="167">
        <v>154.0</v>
      </c>
      <c r="G266" s="248" t="s">
        <v>296</v>
      </c>
      <c r="H266" s="169">
        <v>1292.0</v>
      </c>
      <c r="I266" s="244" t="s">
        <v>22</v>
      </c>
      <c r="J266" s="171">
        <v>1656.0</v>
      </c>
      <c r="K266" s="171"/>
      <c r="L266" s="172">
        <v>1653.0</v>
      </c>
      <c r="M266" s="173">
        <v>0.0</v>
      </c>
    </row>
    <row r="267">
      <c r="A267" s="94">
        <v>44371.0</v>
      </c>
      <c r="B267" s="95" t="str">
        <f>IFERROR(__xludf.DUMMYFUNCTION("FILTER($G$2:$G$445,$H$2:$H$445=D267)"),"Muggle Mayhem")</f>
        <v>Muggle Mayhem</v>
      </c>
      <c r="C267" s="95" t="str">
        <f>IFERROR(__xludf.DUMMYFUNCTION("filter($I$1:$I$500, $J$1:$J$500=D267)"),"Geek")</f>
        <v>Geek</v>
      </c>
      <c r="D267" s="96">
        <v>1492.0</v>
      </c>
      <c r="F267" s="97">
        <v>42.0</v>
      </c>
      <c r="G267" s="105" t="s">
        <v>212</v>
      </c>
      <c r="H267" s="99">
        <v>1769.0</v>
      </c>
      <c r="I267" s="249" t="s">
        <v>27</v>
      </c>
      <c r="J267" s="101">
        <v>1655.0</v>
      </c>
      <c r="K267" s="101"/>
      <c r="L267" s="102">
        <v>1753.0</v>
      </c>
      <c r="M267" s="103">
        <v>920.0</v>
      </c>
    </row>
    <row r="268">
      <c r="A268" s="77">
        <v>44371.0</v>
      </c>
      <c r="B268" s="78" t="str">
        <f>IFERROR(__xludf.DUMMYFUNCTION("FILTER($G$2:$G$445,$H$2:$H$445=D268)"),"Christians on Campus")</f>
        <v>Christians on Campus</v>
      </c>
      <c r="C268" s="78" t="str">
        <f>IFERROR(__xludf.DUMMYFUNCTION("filter($I$1:$I$500, $J$1:$J$500=D268)"),"Faith-based")</f>
        <v>Faith-based</v>
      </c>
      <c r="D268" s="79">
        <v>1511.0</v>
      </c>
      <c r="F268" s="80">
        <v>236.0</v>
      </c>
      <c r="G268" s="237" t="s">
        <v>181</v>
      </c>
      <c r="H268" s="82">
        <v>768.0</v>
      </c>
      <c r="I268" s="234" t="s">
        <v>43</v>
      </c>
      <c r="J268" s="84">
        <v>1653.0</v>
      </c>
      <c r="K268" s="84"/>
      <c r="L268" s="85">
        <v>1495.0</v>
      </c>
      <c r="M268" s="86">
        <v>0.0</v>
      </c>
    </row>
    <row r="269">
      <c r="A269" s="94">
        <v>44371.0</v>
      </c>
      <c r="B269" s="95" t="str">
        <f>IFERROR(__xludf.DUMMYFUNCTION("FILTER($G$2:$G$445,$H$2:$H$445=D269)"),"DotA Club")</f>
        <v>DotA Club</v>
      </c>
      <c r="C269" s="95" t="str">
        <f>IFERROR(__xludf.DUMMYFUNCTION("filter($I$1:$I$500, $J$1:$J$500=D269)"),"Geek")</f>
        <v>Geek</v>
      </c>
      <c r="D269" s="96">
        <v>1529.0</v>
      </c>
      <c r="F269" s="97">
        <v>528.0</v>
      </c>
      <c r="G269" s="251" t="s">
        <v>219</v>
      </c>
      <c r="H269" s="105" t="s">
        <v>134</v>
      </c>
      <c r="I269" s="249" t="s">
        <v>19</v>
      </c>
      <c r="J269" s="101">
        <v>1652.0</v>
      </c>
      <c r="K269" s="101"/>
      <c r="L269" s="102">
        <v>1568.0</v>
      </c>
      <c r="M269" s="103">
        <v>3300.0</v>
      </c>
    </row>
    <row r="270">
      <c r="A270" s="43">
        <v>44371.0</v>
      </c>
      <c r="B270" s="44" t="str">
        <f>IFERROR(__xludf.DUMMYFUNCTION("FILTER($G$2:$G$445,$H$2:$H$445=D270)"),"Youth Empowerment Club")</f>
        <v>Youth Empowerment Club</v>
      </c>
      <c r="C270" s="44" t="str">
        <f>IFERROR(__xludf.DUMMYFUNCTION("filter($I$1:$I$500, $J$1:$J$500=D270)"),"Community Service")</f>
        <v>Community Service</v>
      </c>
      <c r="D270" s="45">
        <v>1530.0</v>
      </c>
      <c r="F270" s="46">
        <v>352.0</v>
      </c>
      <c r="G270" s="230" t="s">
        <v>85</v>
      </c>
      <c r="H270" s="48">
        <v>1849.0</v>
      </c>
      <c r="I270" s="231" t="s">
        <v>25</v>
      </c>
      <c r="J270" s="50">
        <v>1651.0</v>
      </c>
      <c r="K270" s="50"/>
      <c r="L270" s="51">
        <v>96.0</v>
      </c>
      <c r="M270" s="52">
        <v>133.0</v>
      </c>
    </row>
    <row r="271">
      <c r="A271" s="25">
        <v>44371.0</v>
      </c>
      <c r="B271" s="26" t="str">
        <f>IFERROR(__xludf.DUMMYFUNCTION("FILTER($G$2:$G$445,$H$2:$H$445=D271)"),"TEDxRutgers")</f>
        <v>TEDxRutgers</v>
      </c>
      <c r="C271" s="26" t="str">
        <f>IFERROR(__xludf.DUMMYFUNCTION("filter($I$1:$I$500, $J$1:$J$500=D271)"),"Academic")</f>
        <v>Academic</v>
      </c>
      <c r="D271" s="27">
        <v>1538.0</v>
      </c>
      <c r="F271" s="28">
        <v>5.01</v>
      </c>
      <c r="G271" s="240" t="s">
        <v>14</v>
      </c>
      <c r="H271" s="30">
        <v>624.0</v>
      </c>
      <c r="I271" s="246" t="s">
        <v>15</v>
      </c>
      <c r="J271" s="32">
        <v>1615.0</v>
      </c>
      <c r="K271" s="32"/>
      <c r="L271" s="33">
        <v>675.0</v>
      </c>
      <c r="M271" s="34">
        <v>0.0</v>
      </c>
    </row>
    <row r="272">
      <c r="A272" s="177">
        <v>44371.0</v>
      </c>
      <c r="B272" s="178" t="str">
        <f>IFERROR(__xludf.DUMMYFUNCTION("FILTER($G$2:$G$445,$H$2:$H$445=D272)"),"Building Research, Advocacy, and Innovation in Neuroscience (BRAIN)")</f>
        <v>Building Research, Advocacy, and Innovation in Neuroscience (BRAIN)</v>
      </c>
      <c r="C272" s="178" t="str">
        <f>IFERROR(__xludf.DUMMYFUNCTION("filter($I$1:$I$500, $J$1:$J$500=D272)"),"Pre-Professional")</f>
        <v>Pre-Professional</v>
      </c>
      <c r="D272" s="179">
        <v>1541.0</v>
      </c>
      <c r="F272" s="180">
        <v>890.0</v>
      </c>
      <c r="G272" s="233" t="s">
        <v>344</v>
      </c>
      <c r="H272" s="182">
        <v>1665.0</v>
      </c>
      <c r="I272" s="228" t="s">
        <v>30</v>
      </c>
      <c r="J272" s="184">
        <v>1608.0</v>
      </c>
      <c r="K272" s="184"/>
      <c r="L272" s="184"/>
      <c r="M272" s="184"/>
    </row>
    <row r="273">
      <c r="A273" s="25">
        <v>44371.0</v>
      </c>
      <c r="B273" s="26" t="str">
        <f>IFERROR(__xludf.DUMMYFUNCTION("FILTER($G$2:$G$445,$H$2:$H$445=D273)"),"Kidney Disease Screening and Awareness Program")</f>
        <v>Kidney Disease Screening and Awareness Program</v>
      </c>
      <c r="C273" s="26" t="str">
        <f>IFERROR(__xludf.DUMMYFUNCTION("filter($I$1:$I$500, $J$1:$J$500=D273)"),"Academic")</f>
        <v>Academic</v>
      </c>
      <c r="D273" s="27">
        <v>1542.0</v>
      </c>
      <c r="F273" s="28">
        <v>900.0</v>
      </c>
      <c r="G273" s="240" t="s">
        <v>57</v>
      </c>
      <c r="H273" s="30">
        <v>414.0</v>
      </c>
      <c r="I273" s="246" t="s">
        <v>15</v>
      </c>
      <c r="J273" s="32">
        <v>344.0</v>
      </c>
      <c r="K273" s="32"/>
      <c r="L273" s="33">
        <v>1312.0</v>
      </c>
      <c r="M273" s="34">
        <v>0.0</v>
      </c>
    </row>
    <row r="274">
      <c r="A274" s="25">
        <v>44371.0</v>
      </c>
      <c r="B274" s="26" t="str">
        <f>IFERROR(__xludf.DUMMYFUNCTION("FILTER($G$2:$G$445,$H$2:$H$445=D274)"),"Kidney Disease Screening and Awareness Program")</f>
        <v>Kidney Disease Screening and Awareness Program</v>
      </c>
      <c r="C274" s="26" t="str">
        <f>IFERROR(__xludf.DUMMYFUNCTION("filter($I$1:$I$500, $J$1:$J$500=D274)"),"Academic")</f>
        <v>Academic</v>
      </c>
      <c r="D274" s="27">
        <v>1542.0</v>
      </c>
      <c r="F274" s="28">
        <v>93.0</v>
      </c>
      <c r="G274" s="245" t="s">
        <v>23</v>
      </c>
      <c r="H274" s="30">
        <v>1749.0</v>
      </c>
      <c r="I274" s="246" t="s">
        <v>17</v>
      </c>
      <c r="J274" s="32">
        <v>1602.0</v>
      </c>
      <c r="K274" s="32"/>
      <c r="L274" s="33">
        <v>1410.0</v>
      </c>
      <c r="M274" s="34">
        <v>299.7</v>
      </c>
    </row>
    <row r="275">
      <c r="A275" s="94">
        <v>44371.0</v>
      </c>
      <c r="B275" s="95" t="str">
        <f>IFERROR(__xludf.DUMMYFUNCTION("FILTER($G$2:$G$445,$H$2:$H$445=D275)"),"Scarlet Smash")</f>
        <v>Scarlet Smash</v>
      </c>
      <c r="C275" s="95" t="str">
        <f>IFERROR(__xludf.DUMMYFUNCTION("filter($I$1:$I$500, $J$1:$J$500=D275)"),"Geek")</f>
        <v>Geek</v>
      </c>
      <c r="D275" s="96">
        <v>1543.0</v>
      </c>
      <c r="F275" s="97">
        <v>16.0</v>
      </c>
      <c r="G275" s="251" t="s">
        <v>209</v>
      </c>
      <c r="H275" s="99">
        <v>1277.0</v>
      </c>
      <c r="I275" s="249" t="s">
        <v>37</v>
      </c>
      <c r="J275" s="101">
        <v>338.0</v>
      </c>
      <c r="K275" s="101"/>
      <c r="L275" s="102">
        <v>1415.0</v>
      </c>
      <c r="M275" s="103">
        <v>0.0</v>
      </c>
    </row>
    <row r="276">
      <c r="A276" s="94">
        <v>44371.0</v>
      </c>
      <c r="B276" s="95" t="str">
        <f>IFERROR(__xludf.DUMMYFUNCTION("FILTER($G$2:$G$445,$H$2:$H$445=D276)"),"Scarlet Smash")</f>
        <v>Scarlet Smash</v>
      </c>
      <c r="C276" s="95" t="str">
        <f>IFERROR(__xludf.DUMMYFUNCTION("filter($I$1:$I$500, $J$1:$J$500=D276)"),"Geek")</f>
        <v>Geek</v>
      </c>
      <c r="D276" s="96">
        <v>1543.0</v>
      </c>
      <c r="F276" s="97">
        <v>758.0</v>
      </c>
      <c r="G276" s="105" t="s">
        <v>221</v>
      </c>
      <c r="H276" s="99">
        <v>1190.0</v>
      </c>
      <c r="I276" s="249" t="s">
        <v>22</v>
      </c>
      <c r="J276" s="101">
        <v>1594.0</v>
      </c>
      <c r="K276" s="101"/>
      <c r="L276" s="102">
        <v>1941.0</v>
      </c>
      <c r="M276" s="103">
        <v>0.0</v>
      </c>
    </row>
    <row r="277">
      <c r="A277" s="77">
        <v>44371.0</v>
      </c>
      <c r="B277" s="78" t="str">
        <f>IFERROR(__xludf.DUMMYFUNCTION("FILTER($G$2:$G$445,$H$2:$H$445=D277)"),"Rutgers Jumu'ah")</f>
        <v>Rutgers Jumu'ah</v>
      </c>
      <c r="C277" s="78" t="str">
        <f>IFERROR(__xludf.DUMMYFUNCTION("filter($I$1:$I$500, $J$1:$J$500=D277)"),"Faith-based")</f>
        <v>Faith-based</v>
      </c>
      <c r="D277" s="79">
        <v>1568.0</v>
      </c>
      <c r="F277" s="92">
        <v>1800.0</v>
      </c>
      <c r="G277" s="237" t="s">
        <v>203</v>
      </c>
      <c r="H277" s="82">
        <v>1831.0</v>
      </c>
      <c r="I277" s="234" t="s">
        <v>13</v>
      </c>
      <c r="J277" s="84">
        <v>328.0</v>
      </c>
      <c r="K277" s="84"/>
      <c r="L277" s="85">
        <v>264.0</v>
      </c>
      <c r="M277" s="86">
        <v>0.0</v>
      </c>
    </row>
    <row r="278">
      <c r="A278" s="77">
        <v>44371.0</v>
      </c>
      <c r="B278" s="78" t="str">
        <f>IFERROR(__xludf.DUMMYFUNCTION("FILTER($G$2:$G$445,$H$2:$H$445=D278)"),"Rutgers Jumu'ah")</f>
        <v>Rutgers Jumu'ah</v>
      </c>
      <c r="C278" s="78" t="str">
        <f>IFERROR(__xludf.DUMMYFUNCTION("filter($I$1:$I$500, $J$1:$J$500=D278)"),"Faith-based")</f>
        <v>Faith-based</v>
      </c>
      <c r="D278" s="79">
        <v>1568.0</v>
      </c>
      <c r="F278" s="80">
        <v>738.0</v>
      </c>
      <c r="G278" s="93" t="s">
        <v>195</v>
      </c>
      <c r="H278" s="82">
        <v>1205.0</v>
      </c>
      <c r="I278" s="234" t="s">
        <v>30</v>
      </c>
      <c r="J278" s="84">
        <v>1593.0</v>
      </c>
      <c r="K278" s="84"/>
      <c r="L278" s="85">
        <v>1748.0</v>
      </c>
      <c r="M278" s="86">
        <v>590.0</v>
      </c>
    </row>
    <row r="279">
      <c r="A279" s="25">
        <v>44371.0</v>
      </c>
      <c r="B279" s="26" t="str">
        <f>IFERROR(__xludf.DUMMYFUNCTION("FILTER($G$2:$G$445,$H$2:$H$445=D279)"),"KSEA-Rutgers")</f>
        <v>KSEA-Rutgers</v>
      </c>
      <c r="C279" s="26" t="str">
        <f>IFERROR(__xludf.DUMMYFUNCTION("filter($I$1:$I$500, $J$1:$J$500=D279)"),"Academic")</f>
        <v>Academic</v>
      </c>
      <c r="D279" s="27">
        <v>1574.0</v>
      </c>
      <c r="F279" s="28">
        <v>337.0</v>
      </c>
      <c r="G279" s="240" t="s">
        <v>46</v>
      </c>
      <c r="H279" s="30">
        <v>1514.0</v>
      </c>
      <c r="I279" s="246" t="s">
        <v>15</v>
      </c>
      <c r="J279" s="32">
        <v>1592.0</v>
      </c>
      <c r="K279" s="32"/>
      <c r="L279" s="33">
        <v>295.0</v>
      </c>
      <c r="M279" s="34">
        <v>10700.0</v>
      </c>
    </row>
    <row r="280">
      <c r="A280" s="177">
        <v>44371.0</v>
      </c>
      <c r="B280" s="178" t="str">
        <f>IFERROR(__xludf.DUMMYFUNCTION("FILTER($G$2:$G$445,$H$2:$H$445=D280)"),"Women in Information Technology")</f>
        <v>Women in Information Technology</v>
      </c>
      <c r="C280" s="178" t="str">
        <f>IFERROR(__xludf.DUMMYFUNCTION("filter($I$1:$I$500, $J$1:$J$500=D280)"),"Pre-Professional")</f>
        <v>Pre-Professional</v>
      </c>
      <c r="D280" s="179">
        <v>1578.0</v>
      </c>
      <c r="F280" s="180">
        <v>38.12</v>
      </c>
      <c r="G280" s="233" t="s">
        <v>315</v>
      </c>
      <c r="H280" s="182">
        <v>1978.0</v>
      </c>
      <c r="I280" s="228" t="s">
        <v>25</v>
      </c>
      <c r="J280" s="184">
        <v>320.0</v>
      </c>
      <c r="K280" s="184"/>
      <c r="L280" s="184"/>
      <c r="M280" s="184"/>
    </row>
    <row r="281">
      <c r="A281" s="177">
        <v>44371.0</v>
      </c>
      <c r="B281" s="178" t="str">
        <f>IFERROR(__xludf.DUMMYFUNCTION("FILTER($G$2:$G$445,$H$2:$H$445=D281)"),"Women in Information Technology")</f>
        <v>Women in Information Technology</v>
      </c>
      <c r="C281" s="178" t="str">
        <f>IFERROR(__xludf.DUMMYFUNCTION("filter($I$1:$I$500, $J$1:$J$500=D281)"),"Pre-Professional")</f>
        <v>Pre-Professional</v>
      </c>
      <c r="D281" s="179">
        <v>1578.0</v>
      </c>
      <c r="F281" s="191">
        <v>1074.65</v>
      </c>
      <c r="G281" s="227" t="s">
        <v>348</v>
      </c>
      <c r="H281" s="182">
        <v>1593.0</v>
      </c>
      <c r="I281" s="228" t="s">
        <v>19</v>
      </c>
      <c r="J281" s="184">
        <v>1591.0</v>
      </c>
      <c r="K281" s="184"/>
      <c r="L281" s="184"/>
      <c r="M281" s="184"/>
    </row>
    <row r="282">
      <c r="A282" s="94">
        <v>44371.0</v>
      </c>
      <c r="B282" s="95" t="str">
        <f>IFERROR(__xludf.DUMMYFUNCTION("FILTER($G$2:$G$445,$H$2:$H$445=D282)"),"League of Legends")</f>
        <v>League of Legends</v>
      </c>
      <c r="C282" s="95" t="str">
        <f>IFERROR(__xludf.DUMMYFUNCTION("filter($I$1:$I$500, $J$1:$J$500=D282)"),"Geek")</f>
        <v>Geek</v>
      </c>
      <c r="D282" s="96">
        <v>1579.0</v>
      </c>
      <c r="F282" s="106">
        <v>1083.0</v>
      </c>
      <c r="G282" s="105" t="s">
        <v>223</v>
      </c>
      <c r="H282" s="99">
        <v>1399.0</v>
      </c>
      <c r="I282" s="249" t="s">
        <v>27</v>
      </c>
      <c r="J282" s="101">
        <v>1582.0</v>
      </c>
      <c r="K282" s="101"/>
      <c r="L282" s="102">
        <v>137.0</v>
      </c>
      <c r="M282" s="103">
        <v>14670.0</v>
      </c>
    </row>
    <row r="283">
      <c r="A283" s="59">
        <v>44371.0</v>
      </c>
      <c r="B283" s="60" t="str">
        <f>IFERROR(__xludf.DUMMYFUNCTION("FILTER($G$2:$G$445,$H$2:$H$445=D283)"),"Native American Culture Association")</f>
        <v>Native American Culture Association</v>
      </c>
      <c r="C283" s="60" t="str">
        <f>IFERROR(__xludf.DUMMYFUNCTION("filter($I$1:$I$500, $J$1:$J$500=D283)"),"Cultural")</f>
        <v>Cultural</v>
      </c>
      <c r="D283" s="61">
        <v>1592.0</v>
      </c>
      <c r="F283" s="62">
        <v>500.0</v>
      </c>
      <c r="G283" s="70" t="s">
        <v>127</v>
      </c>
      <c r="H283" s="64">
        <v>328.0</v>
      </c>
      <c r="I283" s="222" t="s">
        <v>13</v>
      </c>
      <c r="J283" s="66">
        <v>301.0</v>
      </c>
      <c r="K283" s="66"/>
      <c r="L283" s="67">
        <v>1387.0</v>
      </c>
      <c r="M283" s="68">
        <v>0.0</v>
      </c>
    </row>
    <row r="284">
      <c r="A284" s="164">
        <v>44371.0</v>
      </c>
      <c r="B284" s="165" t="str">
        <f>IFERROR(__xludf.DUMMYFUNCTION("FILTER($G$2:$G$445,$H$2:$H$445=D284)"),"Ronald McDonald House Charities Club (RMHC)")</f>
        <v>Ronald McDonald House Charities Club (RMHC)</v>
      </c>
      <c r="C284" s="165" t="str">
        <f>IFERROR(__xludf.DUMMYFUNCTION("filter($I$1:$I$500, $J$1:$J$500=D284)"),"Philanthropic")</f>
        <v>Philanthropic</v>
      </c>
      <c r="D284" s="166">
        <v>1593.0</v>
      </c>
      <c r="F284" s="167">
        <v>496.1</v>
      </c>
      <c r="G284" s="248" t="s">
        <v>308</v>
      </c>
      <c r="H284" s="169">
        <v>1871.0</v>
      </c>
      <c r="I284" s="248" t="s">
        <v>22</v>
      </c>
      <c r="J284" s="171">
        <v>296.0</v>
      </c>
      <c r="K284" s="171"/>
      <c r="L284" s="172">
        <v>1318.0</v>
      </c>
      <c r="M284" s="173">
        <v>4190.0</v>
      </c>
    </row>
    <row r="285">
      <c r="A285" s="164">
        <v>44371.0</v>
      </c>
      <c r="B285" s="165" t="str">
        <f>IFERROR(__xludf.DUMMYFUNCTION("FILTER($G$2:$G$445,$H$2:$H$445=D285)"),"Ronald McDonald House Charities Club (RMHC)")</f>
        <v>Ronald McDonald House Charities Club (RMHC)</v>
      </c>
      <c r="C285" s="165" t="str">
        <f>IFERROR(__xludf.DUMMYFUNCTION("filter($I$1:$I$500, $J$1:$J$500=D285)"),"Philanthropic")</f>
        <v>Philanthropic</v>
      </c>
      <c r="D285" s="166">
        <v>1593.0</v>
      </c>
      <c r="F285" s="167">
        <v>205.0</v>
      </c>
      <c r="G285" s="248" t="s">
        <v>299</v>
      </c>
      <c r="H285" s="169">
        <v>1882.0</v>
      </c>
      <c r="I285" s="244" t="s">
        <v>43</v>
      </c>
      <c r="J285" s="171">
        <v>1579.0</v>
      </c>
      <c r="K285" s="171"/>
      <c r="L285" s="172">
        <v>1191.0</v>
      </c>
      <c r="M285" s="173">
        <v>1350.0</v>
      </c>
    </row>
    <row r="286">
      <c r="A286" s="192">
        <v>44371.0</v>
      </c>
      <c r="B286" s="193" t="str">
        <f>IFERROR(__xludf.DUMMYFUNCTION("FILTER($G$2:$G$445,$H$2:$H$445=D286)"),"House the Hub")</f>
        <v>House the Hub</v>
      </c>
      <c r="C286" s="193" t="str">
        <f>IFERROR(__xludf.DUMMYFUNCTION("filter($I$1:$I$500, $J$1:$J$500=D286)"),"Social Action/Political")</f>
        <v>Social Action/Political</v>
      </c>
      <c r="D286" s="194">
        <v>1594.0</v>
      </c>
      <c r="F286" s="205">
        <v>1000.0</v>
      </c>
      <c r="G286" s="203" t="s">
        <v>385</v>
      </c>
      <c r="H286" s="197">
        <v>1030.0</v>
      </c>
      <c r="I286" s="225" t="s">
        <v>15</v>
      </c>
      <c r="J286" s="199">
        <v>295.0</v>
      </c>
      <c r="K286" s="199"/>
      <c r="L286" s="199"/>
      <c r="M286" s="199"/>
    </row>
    <row r="287">
      <c r="A287" s="192">
        <v>44371.0</v>
      </c>
      <c r="B287" s="193" t="str">
        <f>IFERROR(__xludf.DUMMYFUNCTION("FILTER($G$2:$G$445,$H$2:$H$445=D287)"),"House the Hub")</f>
        <v>House the Hub</v>
      </c>
      <c r="C287" s="193" t="str">
        <f>IFERROR(__xludf.DUMMYFUNCTION("filter($I$1:$I$500, $J$1:$J$500=D287)"),"Social Action/Political")</f>
        <v>Social Action/Political</v>
      </c>
      <c r="D287" s="194">
        <v>1594.0</v>
      </c>
      <c r="F287" s="195">
        <v>20.0</v>
      </c>
      <c r="G287" s="226" t="s">
        <v>358</v>
      </c>
      <c r="H287" s="197">
        <v>1437.0</v>
      </c>
      <c r="I287" s="225" t="s">
        <v>37</v>
      </c>
      <c r="J287" s="199">
        <v>1578.0</v>
      </c>
      <c r="K287" s="199"/>
      <c r="L287" s="199"/>
      <c r="M287" s="199"/>
    </row>
    <row r="288">
      <c r="A288" s="94">
        <v>44371.0</v>
      </c>
      <c r="B288" s="95" t="str">
        <f>IFERROR(__xludf.DUMMYFUNCTION("FILTER($G$2:$G$445,$H$2:$H$445=D288)"),"Yu-Gi-Oh Club")</f>
        <v>Yu-Gi-Oh Club</v>
      </c>
      <c r="C288" s="95" t="str">
        <f>IFERROR(__xludf.DUMMYFUNCTION("filter($I$1:$I$500, $J$1:$J$500=D288)"),"Geek")</f>
        <v>Geek</v>
      </c>
      <c r="D288" s="96">
        <v>1653.0</v>
      </c>
      <c r="F288" s="106">
        <v>1300.0</v>
      </c>
      <c r="G288" s="105" t="s">
        <v>224</v>
      </c>
      <c r="H288" s="99">
        <v>1220.0</v>
      </c>
      <c r="I288" s="249" t="s">
        <v>25</v>
      </c>
      <c r="J288" s="101">
        <v>1575.0</v>
      </c>
      <c r="K288" s="101"/>
      <c r="L288" s="102">
        <v>1908.0</v>
      </c>
      <c r="M288" s="103">
        <v>224.91</v>
      </c>
    </row>
    <row r="289">
      <c r="A289" s="25">
        <v>44371.0</v>
      </c>
      <c r="B289" s="26" t="str">
        <f>IFERROR(__xludf.DUMMYFUNCTION("FILTER($G$2:$G$445,$H$2:$H$445=D289)"),"Active Minds at Rutgers")</f>
        <v>Active Minds at Rutgers</v>
      </c>
      <c r="C289" s="26" t="str">
        <f>IFERROR(__xludf.DUMMYFUNCTION("filter($I$1:$I$500, $J$1:$J$500=D289)"),"Academic")</f>
        <v>Academic</v>
      </c>
      <c r="D289" s="27">
        <v>1655.0</v>
      </c>
      <c r="F289" s="41">
        <v>1982.48</v>
      </c>
      <c r="G289" s="240" t="s">
        <v>61</v>
      </c>
      <c r="H289" s="30">
        <v>1926.0</v>
      </c>
      <c r="I289" s="246" t="s">
        <v>27</v>
      </c>
      <c r="J289" s="32">
        <v>293.0</v>
      </c>
      <c r="K289" s="32"/>
      <c r="L289" s="33">
        <v>1958.0</v>
      </c>
      <c r="M289" s="34">
        <v>1100.0</v>
      </c>
    </row>
    <row r="290">
      <c r="A290" s="25">
        <v>44371.0</v>
      </c>
      <c r="B290" s="26" t="str">
        <f>IFERROR(__xludf.DUMMYFUNCTION("FILTER($G$2:$G$445,$H$2:$H$445=D290)"),"Active Minds at Rutgers")</f>
        <v>Active Minds at Rutgers</v>
      </c>
      <c r="C290" s="26" t="str">
        <f>IFERROR(__xludf.DUMMYFUNCTION("filter($I$1:$I$500, $J$1:$J$500=D290)"),"Academic")</f>
        <v>Academic</v>
      </c>
      <c r="D290" s="27">
        <v>1655.0</v>
      </c>
      <c r="F290" s="28">
        <v>622.0</v>
      </c>
      <c r="G290" s="245" t="s">
        <v>54</v>
      </c>
      <c r="H290" s="30">
        <v>1186.0</v>
      </c>
      <c r="I290" s="246" t="s">
        <v>27</v>
      </c>
      <c r="J290" s="32">
        <v>1574.0</v>
      </c>
      <c r="K290" s="32"/>
      <c r="L290" s="33">
        <v>154.0</v>
      </c>
      <c r="M290" s="34">
        <v>955.0</v>
      </c>
    </row>
    <row r="291">
      <c r="A291" s="192">
        <v>44371.0</v>
      </c>
      <c r="B291" s="193" t="str">
        <f>IFERROR(__xludf.DUMMYFUNCTION("FILTER($G$2:$G$445,$H$2:$H$445=D291)"),"Queer Caucus")</f>
        <v>Queer Caucus</v>
      </c>
      <c r="C291" s="193" t="str">
        <f>IFERROR(__xludf.DUMMYFUNCTION("filter($I$1:$I$500, $J$1:$J$500=D291)"),"Social Action/Political")</f>
        <v>Social Action/Political</v>
      </c>
      <c r="D291" s="194">
        <v>1656.0</v>
      </c>
      <c r="F291" s="205">
        <v>6500.0</v>
      </c>
      <c r="G291" s="203" t="s">
        <v>392</v>
      </c>
      <c r="H291" s="197">
        <v>824.0</v>
      </c>
      <c r="I291" s="226" t="s">
        <v>15</v>
      </c>
      <c r="J291" s="199">
        <v>6.0</v>
      </c>
      <c r="K291" s="199"/>
      <c r="L291" s="199"/>
      <c r="M291" s="199"/>
    </row>
    <row r="292">
      <c r="A292" s="43">
        <v>44371.0</v>
      </c>
      <c r="B292" s="44" t="str">
        <f>IFERROR(__xludf.DUMMYFUNCTION("FILTER($G$2:$G$445,$H$2:$H$445=D292)"),"Dental Knights Association ")</f>
        <v>Dental Knights Association </v>
      </c>
      <c r="C292" s="44" t="str">
        <f>IFERROR(__xludf.DUMMYFUNCTION("filter($I$1:$I$500, $J$1:$J$500=D292)"),"Community Service")</f>
        <v>Community Service</v>
      </c>
      <c r="D292" s="45">
        <v>1662.0</v>
      </c>
      <c r="F292" s="46">
        <v>100.0</v>
      </c>
      <c r="G292" s="232" t="s">
        <v>70</v>
      </c>
      <c r="H292" s="48">
        <v>244.0</v>
      </c>
      <c r="I292" s="231" t="s">
        <v>27</v>
      </c>
      <c r="J292" s="50">
        <v>1572.0</v>
      </c>
      <c r="K292" s="50"/>
      <c r="L292" s="51">
        <v>1483.0</v>
      </c>
      <c r="M292" s="52">
        <v>0.0</v>
      </c>
    </row>
    <row r="293">
      <c r="A293" s="192">
        <v>44371.0</v>
      </c>
      <c r="B293" s="193" t="str">
        <f>IFERROR(__xludf.DUMMYFUNCTION("FILTER($G$2:$G$445,$H$2:$H$445=D293)"),"Rutgers One and The Same Foundation (RUOATS)")</f>
        <v>Rutgers One and The Same Foundation (RUOATS)</v>
      </c>
      <c r="C293" s="193" t="str">
        <f>IFERROR(__xludf.DUMMYFUNCTION("filter($I$1:$I$500, $J$1:$J$500=D293)"),"Social Action/Political")</f>
        <v>Social Action/Political</v>
      </c>
      <c r="D293" s="194">
        <v>1663.0</v>
      </c>
      <c r="F293" s="195">
        <v>645.0</v>
      </c>
      <c r="G293" s="203" t="s">
        <v>379</v>
      </c>
      <c r="H293" s="197">
        <v>1827.0</v>
      </c>
      <c r="I293" s="225" t="s">
        <v>17</v>
      </c>
      <c r="J293" s="199">
        <v>1571.0</v>
      </c>
      <c r="K293" s="199"/>
      <c r="L293" s="199"/>
      <c r="M293" s="199"/>
    </row>
    <row r="294">
      <c r="A294" s="25">
        <v>44371.0</v>
      </c>
      <c r="B294" s="26" t="str">
        <f>IFERROR(__xludf.DUMMYFUNCTION("FILTER($G$2:$G$445,$H$2:$H$445=D294)"),"Rutgers Security Club ")</f>
        <v>Rutgers Security Club </v>
      </c>
      <c r="C294" s="26" t="str">
        <f>IFERROR(__xludf.DUMMYFUNCTION("filter($I$1:$I$500, $J$1:$J$500=D294)"),"Academic")</f>
        <v>Academic</v>
      </c>
      <c r="D294" s="27">
        <v>1674.0</v>
      </c>
      <c r="F294" s="28">
        <v>297.0</v>
      </c>
      <c r="G294" s="245" t="s">
        <v>41</v>
      </c>
      <c r="H294" s="30">
        <v>1328.0</v>
      </c>
      <c r="I294" s="246" t="s">
        <v>13</v>
      </c>
      <c r="J294" s="32">
        <v>1568.0</v>
      </c>
      <c r="K294" s="32"/>
      <c r="L294" s="33">
        <v>22.0</v>
      </c>
      <c r="M294" s="34">
        <v>10915.0</v>
      </c>
    </row>
    <row r="295">
      <c r="A295" s="94">
        <v>44371.0</v>
      </c>
      <c r="B295" s="95" t="str">
        <f>IFERROR(__xludf.DUMMYFUNCTION("FILTER($G$2:$G$445,$H$2:$H$445=D295)"),"Counter-Strike Club")</f>
        <v>Counter-Strike Club</v>
      </c>
      <c r="C295" s="95" t="str">
        <f>IFERROR(__xludf.DUMMYFUNCTION("filter($I$1:$I$500, $J$1:$J$500=D295)"),"Geek")</f>
        <v>Geek</v>
      </c>
      <c r="D295" s="96">
        <v>1688.0</v>
      </c>
      <c r="F295" s="97">
        <v>320.0</v>
      </c>
      <c r="G295" s="105" t="s">
        <v>217</v>
      </c>
      <c r="H295" s="99">
        <v>226.0</v>
      </c>
      <c r="I295" s="249" t="s">
        <v>17</v>
      </c>
      <c r="J295" s="101">
        <v>292.0</v>
      </c>
      <c r="K295" s="101"/>
      <c r="L295" s="102">
        <v>1951.0</v>
      </c>
      <c r="M295" s="103">
        <v>0.0</v>
      </c>
    </row>
    <row r="296">
      <c r="A296" s="94">
        <v>44371.0</v>
      </c>
      <c r="B296" s="95" t="str">
        <f>IFERROR(__xludf.DUMMYFUNCTION("FILTER($G$2:$G$445,$H$2:$H$445=D296)"),"Counter-Strike Club")</f>
        <v>Counter-Strike Club</v>
      </c>
      <c r="C296" s="95" t="str">
        <f>IFERROR(__xludf.DUMMYFUNCTION("filter($I$1:$I$500, $J$1:$J$500=D296)"),"Geek")</f>
        <v>Geek</v>
      </c>
      <c r="D296" s="96">
        <v>1688.0</v>
      </c>
      <c r="F296" s="97">
        <v>209.0</v>
      </c>
      <c r="G296" s="105" t="s">
        <v>215</v>
      </c>
      <c r="H296" s="99">
        <v>639.0</v>
      </c>
      <c r="I296" s="249" t="s">
        <v>13</v>
      </c>
      <c r="J296" s="101">
        <v>1565.0</v>
      </c>
      <c r="K296" s="101"/>
      <c r="L296" s="102">
        <v>1169.0</v>
      </c>
      <c r="M296" s="103">
        <v>3470.0</v>
      </c>
    </row>
    <row r="297">
      <c r="A297" s="43">
        <v>44371.0</v>
      </c>
      <c r="B297" s="44" t="str">
        <f>IFERROR(__xludf.DUMMYFUNCTION("FILTER($G$2:$G$445,$H$2:$H$445=D297)"),"Rutgers BuildOn ")</f>
        <v>Rutgers BuildOn </v>
      </c>
      <c r="C297" s="44" t="str">
        <f>IFERROR(__xludf.DUMMYFUNCTION("filter($I$1:$I$500, $J$1:$J$500=D297)"),"Community Service")</f>
        <v>Community Service</v>
      </c>
      <c r="D297" s="45">
        <v>1692.0</v>
      </c>
      <c r="F297" s="46">
        <v>250.0</v>
      </c>
      <c r="G297" s="232" t="s">
        <v>80</v>
      </c>
      <c r="H297" s="48">
        <v>567.0</v>
      </c>
      <c r="I297" s="231" t="s">
        <v>37</v>
      </c>
      <c r="J297" s="50">
        <v>291.0</v>
      </c>
      <c r="K297" s="50"/>
      <c r="L297" s="51">
        <v>620.0</v>
      </c>
      <c r="M297" s="52">
        <v>500.0</v>
      </c>
    </row>
    <row r="298">
      <c r="A298" s="15">
        <v>44371.0</v>
      </c>
      <c r="B298" s="16" t="str">
        <f>IFERROR(__xludf.DUMMYFUNCTION("FILTER($G$2:$G$445,$H$2:$H$445=D298)"),"#N/A")</f>
        <v>#N/A</v>
      </c>
      <c r="C298" s="16" t="str">
        <f>IFERROR(__xludf.DUMMYFUNCTION("filter($I$1:$I$500, $J$1:$J$500=D298)"),"#N/A")</f>
        <v>#N/A</v>
      </c>
      <c r="D298" s="17">
        <v>1695.0</v>
      </c>
      <c r="F298" s="42">
        <v>59222.9</v>
      </c>
      <c r="G298" s="216" t="s">
        <v>424</v>
      </c>
      <c r="H298" s="20">
        <v>1565.0</v>
      </c>
      <c r="I298" s="250" t="s">
        <v>22</v>
      </c>
      <c r="J298" s="22">
        <v>29.0</v>
      </c>
      <c r="K298" s="22"/>
      <c r="L298" s="22"/>
      <c r="M298" s="22"/>
    </row>
    <row r="299">
      <c r="A299" s="177">
        <v>44371.0</v>
      </c>
      <c r="B299" s="178" t="str">
        <f>IFERROR(__xludf.DUMMYFUNCTION("FILTER($G$2:$G$445,$H$2:$H$445=D299)"),"The Society for the Advancement of Chicanos and Native Americans in Science (SACNAS)")</f>
        <v>The Society for the Advancement of Chicanos and Native Americans in Science (SACNAS)</v>
      </c>
      <c r="C299" s="178" t="str">
        <f>IFERROR(__xludf.DUMMYFUNCTION("filter($I$1:$I$500, $J$1:$J$500=D299)"),"Pre-Professional")</f>
        <v>Pre-Professional</v>
      </c>
      <c r="D299" s="179">
        <v>1697.0</v>
      </c>
      <c r="F299" s="180">
        <v>500.0</v>
      </c>
      <c r="G299" s="233" t="s">
        <v>336</v>
      </c>
      <c r="H299" s="182">
        <v>646.0</v>
      </c>
      <c r="I299" s="228" t="s">
        <v>15</v>
      </c>
      <c r="J299" s="184">
        <v>287.0</v>
      </c>
      <c r="K299" s="184"/>
      <c r="L299" s="184"/>
      <c r="M299" s="184"/>
    </row>
    <row r="300">
      <c r="A300" s="177">
        <v>44371.0</v>
      </c>
      <c r="B300" s="178" t="str">
        <f>IFERROR(__xludf.DUMMYFUNCTION("FILTER($G$2:$G$445,$H$2:$H$445=D300)"),"The Society for the Advancement of Chicanos and Native Americans in Science (SACNAS)")</f>
        <v>The Society for the Advancement of Chicanos and Native Americans in Science (SACNAS)</v>
      </c>
      <c r="C300" s="178" t="str">
        <f>IFERROR(__xludf.DUMMYFUNCTION("filter($I$1:$I$500, $J$1:$J$500=D300)"),"Pre-Professional")</f>
        <v>Pre-Professional</v>
      </c>
      <c r="D300" s="179">
        <v>1697.0</v>
      </c>
      <c r="F300" s="180">
        <v>505.0</v>
      </c>
      <c r="G300" s="233" t="s">
        <v>337</v>
      </c>
      <c r="H300" s="182">
        <v>128.0</v>
      </c>
      <c r="I300" s="228" t="s">
        <v>43</v>
      </c>
      <c r="J300" s="184">
        <v>1543.0</v>
      </c>
      <c r="K300" s="184"/>
      <c r="L300" s="184"/>
      <c r="M300" s="184"/>
    </row>
    <row r="301">
      <c r="A301" s="59">
        <v>44371.0</v>
      </c>
      <c r="B301" s="60" t="str">
        <f>IFERROR(__xludf.DUMMYFUNCTION("FILTER($G$2:$G$445,$H$2:$H$445=D301)"),"Kendama Club")</f>
        <v>Kendama Club</v>
      </c>
      <c r="C301" s="60" t="str">
        <f>IFERROR(__xludf.DUMMYFUNCTION("filter($I$1:$I$500, $J$1:$J$500=D301)"),"Cultural")</f>
        <v>Cultural</v>
      </c>
      <c r="D301" s="61">
        <v>1703.0</v>
      </c>
      <c r="F301" s="62">
        <v>400.0</v>
      </c>
      <c r="G301" s="224" t="s">
        <v>120</v>
      </c>
      <c r="H301" s="64">
        <v>58.0</v>
      </c>
      <c r="I301" s="222" t="s">
        <v>37</v>
      </c>
      <c r="J301" s="66">
        <v>271.0</v>
      </c>
      <c r="K301" s="66"/>
      <c r="L301" s="67">
        <v>1468.0</v>
      </c>
      <c r="M301" s="68">
        <v>800.0</v>
      </c>
    </row>
    <row r="302">
      <c r="A302" s="59">
        <v>44371.0</v>
      </c>
      <c r="B302" s="60" t="str">
        <f>IFERROR(__xludf.DUMMYFUNCTION("FILTER($G$2:$G$445,$H$2:$H$445=D302)"),"Kendama Club")</f>
        <v>Kendama Club</v>
      </c>
      <c r="C302" s="60" t="str">
        <f>IFERROR(__xludf.DUMMYFUNCTION("filter($I$1:$I$500, $J$1:$J$500=D302)"),"Cultural")</f>
        <v>Cultural</v>
      </c>
      <c r="D302" s="61">
        <v>1703.0</v>
      </c>
      <c r="F302" s="62">
        <v>200.0</v>
      </c>
      <c r="G302" s="70" t="s">
        <v>106</v>
      </c>
      <c r="H302" s="64">
        <v>1656.0</v>
      </c>
      <c r="I302" s="222" t="s">
        <v>27</v>
      </c>
      <c r="J302" s="66">
        <v>1542.0</v>
      </c>
      <c r="K302" s="66"/>
      <c r="L302" s="67">
        <v>614.0</v>
      </c>
      <c r="M302" s="68">
        <v>0.0</v>
      </c>
    </row>
    <row r="303">
      <c r="A303" s="94">
        <v>44371.0</v>
      </c>
      <c r="B303" s="95" t="str">
        <f>IFERROR(__xludf.DUMMYFUNCTION("FILTER($G$2:$G$445,$H$2:$H$445=D303)"),"Esports")</f>
        <v>Esports</v>
      </c>
      <c r="C303" s="95" t="str">
        <f>IFERROR(__xludf.DUMMYFUNCTION("filter($I$1:$I$500, $J$1:$J$500=D303)"),"Geek")</f>
        <v>Geek</v>
      </c>
      <c r="D303" s="96">
        <v>1716.0</v>
      </c>
      <c r="F303" s="97">
        <v>50.0</v>
      </c>
      <c r="G303" s="105" t="s">
        <v>214</v>
      </c>
      <c r="H303" s="105" t="s">
        <v>134</v>
      </c>
      <c r="I303" s="249" t="s">
        <v>25</v>
      </c>
      <c r="J303" s="101">
        <v>269.0</v>
      </c>
      <c r="K303" s="101"/>
      <c r="L303" s="102">
        <v>1769.0</v>
      </c>
      <c r="M303" s="103">
        <v>0.0</v>
      </c>
    </row>
    <row r="304">
      <c r="A304" s="94">
        <v>44371.0</v>
      </c>
      <c r="B304" s="95" t="str">
        <f>IFERROR(__xludf.DUMMYFUNCTION("FILTER($G$2:$G$445,$H$2:$H$445=D304)"),"Esports")</f>
        <v>Esports</v>
      </c>
      <c r="C304" s="95" t="str">
        <f>IFERROR(__xludf.DUMMYFUNCTION("filter($I$1:$I$500, $J$1:$J$500=D304)"),"Geek")</f>
        <v>Geek</v>
      </c>
      <c r="D304" s="96">
        <v>1716.0</v>
      </c>
      <c r="F304" s="97">
        <v>300.0</v>
      </c>
      <c r="G304" s="105" t="s">
        <v>216</v>
      </c>
      <c r="H304" s="99">
        <v>1953.0</v>
      </c>
      <c r="I304" s="249" t="s">
        <v>37</v>
      </c>
      <c r="J304" s="101">
        <v>1541.0</v>
      </c>
      <c r="K304" s="101"/>
      <c r="L304" s="102">
        <v>1487.0</v>
      </c>
      <c r="M304" s="103">
        <v>0.0</v>
      </c>
    </row>
    <row r="305">
      <c r="A305" s="43">
        <v>44371.0</v>
      </c>
      <c r="B305" s="44" t="str">
        <f>IFERROR(__xludf.DUMMYFUNCTION("FILTER($G$2:$G$445,$H$2:$H$445=D305)"),"Healthy Kids of New Brunswick")</f>
        <v>Healthy Kids of New Brunswick</v>
      </c>
      <c r="C305" s="44" t="str">
        <f>IFERROR(__xludf.DUMMYFUNCTION("filter($I$1:$I$500, $J$1:$J$500=D305)"),"Community Service")</f>
        <v>Community Service</v>
      </c>
      <c r="D305" s="45">
        <v>1717.0</v>
      </c>
      <c r="F305" s="46">
        <v>210.0</v>
      </c>
      <c r="G305" s="230" t="s">
        <v>76</v>
      </c>
      <c r="H305" s="48">
        <v>1023.0</v>
      </c>
      <c r="I305" s="231" t="s">
        <v>15</v>
      </c>
      <c r="J305" s="50">
        <v>264.0</v>
      </c>
      <c r="K305" s="50"/>
      <c r="L305" s="51">
        <v>1510.0</v>
      </c>
      <c r="M305" s="52">
        <v>2300.0</v>
      </c>
    </row>
    <row r="306">
      <c r="A306" s="77">
        <v>44371.0</v>
      </c>
      <c r="B306" s="78" t="str">
        <f>IFERROR(__xludf.DUMMYFUNCTION("FILTER($G$2:$G$445,$H$2:$H$445=D306)"),"#N/A")</f>
        <v>#N/A</v>
      </c>
      <c r="C306" s="78" t="str">
        <f>IFERROR(__xludf.DUMMYFUNCTION("filter($I$1:$I$500, $J$1:$J$500=D306)"),"Faith-based")</f>
        <v>Faith-based</v>
      </c>
      <c r="D306" s="79">
        <v>1722.0</v>
      </c>
      <c r="F306" s="80">
        <v>350.0</v>
      </c>
      <c r="G306" s="93" t="s">
        <v>187</v>
      </c>
      <c r="H306" s="82">
        <v>1366.0</v>
      </c>
      <c r="I306" s="234" t="s">
        <v>25</v>
      </c>
      <c r="J306" s="84">
        <v>256.0</v>
      </c>
      <c r="K306" s="84"/>
      <c r="L306" s="85">
        <v>630.0</v>
      </c>
      <c r="M306" s="86">
        <v>50.0</v>
      </c>
    </row>
    <row r="307">
      <c r="A307" s="119">
        <v>44371.0</v>
      </c>
      <c r="B307" s="120" t="str">
        <f>IFERROR(__xludf.DUMMYFUNCTION("FILTER($G$2:$G$445,$H$2:$H$445=D307)"),"Her Campus Rutgers")</f>
        <v>Her Campus Rutgers</v>
      </c>
      <c r="C307" s="120" t="str">
        <f>IFERROR(__xludf.DUMMYFUNCTION("filter($I$1:$I$500, $J$1:$J$500=D307)"),"Media")</f>
        <v>Media</v>
      </c>
      <c r="D307" s="121">
        <v>1741.0</v>
      </c>
      <c r="F307" s="134">
        <v>1100.0</v>
      </c>
      <c r="G307" s="236" t="s">
        <v>239</v>
      </c>
      <c r="H307" s="124">
        <v>1438.0</v>
      </c>
      <c r="I307" s="235" t="s">
        <v>17</v>
      </c>
      <c r="J307" s="126">
        <v>244.0</v>
      </c>
      <c r="K307" s="126"/>
      <c r="L307" s="127">
        <v>702.0</v>
      </c>
      <c r="M307" s="129">
        <v>300.0</v>
      </c>
    </row>
    <row r="308">
      <c r="A308" s="119">
        <v>44371.0</v>
      </c>
      <c r="B308" s="120" t="str">
        <f>IFERROR(__xludf.DUMMYFUNCTION("FILTER($G$2:$G$445,$H$2:$H$445=D308)"),"Her Campus Rutgers")</f>
        <v>Her Campus Rutgers</v>
      </c>
      <c r="C308" s="120" t="str">
        <f>IFERROR(__xludf.DUMMYFUNCTION("filter($I$1:$I$500, $J$1:$J$500=D308)"),"Media")</f>
        <v>Media</v>
      </c>
      <c r="D308" s="121">
        <v>1741.0</v>
      </c>
      <c r="F308" s="122">
        <v>141.48</v>
      </c>
      <c r="G308" s="236" t="s">
        <v>235</v>
      </c>
      <c r="H308" s="124">
        <v>269.0</v>
      </c>
      <c r="I308" s="235" t="s">
        <v>27</v>
      </c>
      <c r="J308" s="126">
        <v>1538.0</v>
      </c>
      <c r="K308" s="126"/>
      <c r="L308" s="127">
        <v>1882.0</v>
      </c>
      <c r="M308" s="129">
        <v>0.0</v>
      </c>
    </row>
    <row r="309">
      <c r="A309" s="94">
        <v>44371.0</v>
      </c>
      <c r="B309" s="95" t="str">
        <f>IFERROR(__xludf.DUMMYFUNCTION("FILTER($G$2:$G$445,$H$2:$H$445=D309)"),"Pokemon Trainer's Club")</f>
        <v>Pokemon Trainer's Club</v>
      </c>
      <c r="C309" s="95" t="str">
        <f>IFERROR(__xludf.DUMMYFUNCTION("filter($I$1:$I$500, $J$1:$J$500=D309)"),"Geek")</f>
        <v>Geek</v>
      </c>
      <c r="D309" s="96">
        <v>1742.0</v>
      </c>
      <c r="F309" s="97">
        <v>50.0</v>
      </c>
      <c r="G309" s="251" t="s">
        <v>213</v>
      </c>
      <c r="H309" s="99">
        <v>1692.0</v>
      </c>
      <c r="I309" s="249" t="s">
        <v>37</v>
      </c>
      <c r="J309" s="101">
        <v>233.0</v>
      </c>
      <c r="K309" s="101"/>
      <c r="L309" s="102">
        <v>1125.0</v>
      </c>
      <c r="M309" s="102">
        <v>3400.0</v>
      </c>
    </row>
    <row r="310">
      <c r="A310" s="94">
        <v>44371.0</v>
      </c>
      <c r="B310" s="95" t="str">
        <f>IFERROR(__xludf.DUMMYFUNCTION("FILTER($G$2:$G$445,$H$2:$H$445=D310)"),"Pokemon Trainer's Club")</f>
        <v>Pokemon Trainer's Club</v>
      </c>
      <c r="C310" s="95" t="str">
        <f>IFERROR(__xludf.DUMMYFUNCTION("filter($I$1:$I$500, $J$1:$J$500=D310)"),"Geek")</f>
        <v>Geek</v>
      </c>
      <c r="D310" s="96">
        <v>1742.0</v>
      </c>
      <c r="F310" s="97">
        <v>390.0</v>
      </c>
      <c r="G310" s="105" t="s">
        <v>218</v>
      </c>
      <c r="H310" s="99">
        <v>1659.0</v>
      </c>
      <c r="I310" s="249" t="s">
        <v>17</v>
      </c>
      <c r="J310" s="101">
        <v>1530.0</v>
      </c>
      <c r="K310" s="101"/>
      <c r="L310" s="102">
        <v>58.0</v>
      </c>
      <c r="M310" s="103">
        <v>0.0</v>
      </c>
    </row>
    <row r="311">
      <c r="A311" s="25">
        <v>44371.0</v>
      </c>
      <c r="B311" s="26" t="str">
        <f>IFERROR(__xludf.DUMMYFUNCTION("FILTER($G$2:$G$445,$H$2:$H$445=D311)"),"Public Speaking Organization")</f>
        <v>Public Speaking Organization</v>
      </c>
      <c r="C311" s="26" t="str">
        <f>IFERROR(__xludf.DUMMYFUNCTION("filter($I$1:$I$500, $J$1:$J$500=D311)"),"Academic")</f>
        <v>Academic</v>
      </c>
      <c r="D311" s="27">
        <v>1748.0</v>
      </c>
      <c r="F311" s="28">
        <v>590.0</v>
      </c>
      <c r="G311" s="240" t="s">
        <v>51</v>
      </c>
      <c r="H311" s="30">
        <v>1541.0</v>
      </c>
      <c r="I311" s="246" t="s">
        <v>30</v>
      </c>
      <c r="J311" s="32">
        <v>232.0</v>
      </c>
      <c r="K311" s="32"/>
      <c r="L311" s="33">
        <v>1369.0</v>
      </c>
      <c r="M311" s="34">
        <v>13060.0</v>
      </c>
    </row>
    <row r="312">
      <c r="A312" s="43">
        <v>44371.0</v>
      </c>
      <c r="B312" s="44" t="str">
        <f>IFERROR(__xludf.DUMMYFUNCTION("FILTER($G$2:$G$445,$H$2:$H$445=D312)"),"Rutgers North American Disease")</f>
        <v>Rutgers North American Disease</v>
      </c>
      <c r="C312" s="44" t="str">
        <f>IFERROR(__xludf.DUMMYFUNCTION("filter($I$1:$I$500, $J$1:$J$500=D312)"),"Community Service")</f>
        <v>Community Service</v>
      </c>
      <c r="D312" s="45">
        <v>1753.0</v>
      </c>
      <c r="F312" s="46">
        <v>246.43</v>
      </c>
      <c r="G312" s="232" t="s">
        <v>79</v>
      </c>
      <c r="H312" s="48">
        <v>1841.0</v>
      </c>
      <c r="I312" s="231" t="s">
        <v>15</v>
      </c>
      <c r="J312" s="50">
        <v>230.0</v>
      </c>
      <c r="K312" s="50"/>
      <c r="L312" s="51">
        <v>414.0</v>
      </c>
      <c r="M312" s="52">
        <v>480.0</v>
      </c>
    </row>
    <row r="313">
      <c r="A313" s="43">
        <v>44371.0</v>
      </c>
      <c r="B313" s="44" t="str">
        <f>IFERROR(__xludf.DUMMYFUNCTION("FILTER($G$2:$G$445,$H$2:$H$445=D313)"),"Rutgers North American Disease")</f>
        <v>Rutgers North American Disease</v>
      </c>
      <c r="C313" s="44" t="str">
        <f>IFERROR(__xludf.DUMMYFUNCTION("filter($I$1:$I$500, $J$1:$J$500=D313)"),"Community Service")</f>
        <v>Community Service</v>
      </c>
      <c r="D313" s="45">
        <v>1753.0</v>
      </c>
      <c r="F313" s="46">
        <v>0.26</v>
      </c>
      <c r="G313" s="232" t="s">
        <v>63</v>
      </c>
      <c r="H313" s="48">
        <v>1495.0</v>
      </c>
      <c r="I313" s="231" t="s">
        <v>43</v>
      </c>
      <c r="J313" s="50">
        <v>1529.0</v>
      </c>
      <c r="K313" s="50"/>
      <c r="L313" s="51">
        <v>1819.0</v>
      </c>
      <c r="M313" s="52">
        <v>0.0</v>
      </c>
    </row>
    <row r="314">
      <c r="A314" s="192">
        <v>44371.0</v>
      </c>
      <c r="B314" s="193" t="str">
        <f>IFERROR(__xludf.DUMMYFUNCTION("FILTER($G$2:$G$445,$H$2:$H$445=D314)"),"UndocRutgers")</f>
        <v>UndocRutgers</v>
      </c>
      <c r="C314" s="193" t="str">
        <f>IFERROR(__xludf.DUMMYFUNCTION("filter($I$1:$I$500, $J$1:$J$500=D314)"),"Social Action/Political")</f>
        <v>Social Action/Political</v>
      </c>
      <c r="D314" s="194">
        <v>1754.0</v>
      </c>
      <c r="F314" s="195">
        <v>200.0</v>
      </c>
      <c r="G314" s="226" t="s">
        <v>366</v>
      </c>
      <c r="H314" s="252">
        <v>1934.0</v>
      </c>
      <c r="I314" s="225" t="s">
        <v>37</v>
      </c>
      <c r="J314" s="199">
        <v>224.0</v>
      </c>
      <c r="K314" s="199"/>
      <c r="L314" s="199"/>
      <c r="M314" s="199"/>
    </row>
    <row r="315">
      <c r="A315" s="192">
        <v>44371.0</v>
      </c>
      <c r="B315" s="193" t="str">
        <f>IFERROR(__xludf.DUMMYFUNCTION("FILTER($G$2:$G$445,$H$2:$H$445=D315)"),"UndocRutgers")</f>
        <v>UndocRutgers</v>
      </c>
      <c r="C315" s="193" t="str">
        <f>IFERROR(__xludf.DUMMYFUNCTION("filter($I$1:$I$500, $J$1:$J$500=D315)"),"Social Action/Political")</f>
        <v>Social Action/Political</v>
      </c>
      <c r="D315" s="194">
        <v>1754.0</v>
      </c>
      <c r="F315" s="195">
        <v>550.83</v>
      </c>
      <c r="G315" s="253" t="s">
        <v>377</v>
      </c>
      <c r="H315" s="252">
        <v>246.0</v>
      </c>
      <c r="I315" s="225" t="s">
        <v>17</v>
      </c>
      <c r="J315" s="199">
        <v>1514.0</v>
      </c>
      <c r="K315" s="199"/>
      <c r="L315" s="199"/>
      <c r="M315" s="199"/>
    </row>
    <row r="316">
      <c r="A316" s="59">
        <v>44371.0</v>
      </c>
      <c r="B316" s="60" t="str">
        <f>IFERROR(__xludf.DUMMYFUNCTION("FILTER($G$2:$G$445,$H$2:$H$445=D316)"),"RU Suryoyo")</f>
        <v>RU Suryoyo</v>
      </c>
      <c r="C316" s="60" t="str">
        <f>IFERROR(__xludf.DUMMYFUNCTION("filter($I$1:$I$500, $J$1:$J$500=D316)"),"Cultural")</f>
        <v>Cultural</v>
      </c>
      <c r="D316" s="61">
        <v>1758.0</v>
      </c>
      <c r="F316" s="62">
        <v>50.0</v>
      </c>
      <c r="G316" s="70" t="s">
        <v>97</v>
      </c>
      <c r="H316" s="64">
        <v>691.0</v>
      </c>
      <c r="I316" s="222" t="s">
        <v>25</v>
      </c>
      <c r="J316" s="66">
        <v>222.0</v>
      </c>
      <c r="K316" s="66"/>
      <c r="L316" s="67">
        <v>710.0</v>
      </c>
      <c r="M316" s="68">
        <v>0.0</v>
      </c>
    </row>
    <row r="317">
      <c r="A317" s="59">
        <v>44371.0</v>
      </c>
      <c r="B317" s="60" t="str">
        <f>IFERROR(__xludf.DUMMYFUNCTION("FILTER($G$2:$G$445,$H$2:$H$445=D317)"),"RU Suryoyo")</f>
        <v>RU Suryoyo</v>
      </c>
      <c r="C317" s="60" t="str">
        <f>IFERROR(__xludf.DUMMYFUNCTION("filter($I$1:$I$500, $J$1:$J$500=D317)"),"Cultural")</f>
        <v>Cultural</v>
      </c>
      <c r="D317" s="61">
        <v>1758.0</v>
      </c>
      <c r="F317" s="62">
        <v>134.0</v>
      </c>
      <c r="G317" s="70" t="s">
        <v>102</v>
      </c>
      <c r="H317" s="64">
        <v>492.0</v>
      </c>
      <c r="I317" s="222" t="s">
        <v>22</v>
      </c>
      <c r="J317" s="66">
        <v>1513.0</v>
      </c>
      <c r="K317" s="66"/>
      <c r="L317" s="67">
        <v>148.0</v>
      </c>
      <c r="M317" s="68">
        <v>0.0</v>
      </c>
    </row>
    <row r="318">
      <c r="A318" s="77">
        <v>44371.0</v>
      </c>
      <c r="B318" s="78" t="str">
        <f>IFERROR(__xludf.DUMMYFUNCTION("FILTER($G$2:$G$445,$H$2:$H$445=D318)"),"Muslim Public Relations Council")</f>
        <v>Muslim Public Relations Council</v>
      </c>
      <c r="C318" s="78" t="str">
        <f>IFERROR(__xludf.DUMMYFUNCTION("filter($I$1:$I$500, $J$1:$J$500=D318)"),"Faith-based")</f>
        <v>Faith-based</v>
      </c>
      <c r="D318" s="79">
        <v>1759.0</v>
      </c>
      <c r="F318" s="92">
        <v>5000.0</v>
      </c>
      <c r="G318" s="93" t="s">
        <v>208</v>
      </c>
      <c r="H318" s="82">
        <v>25.0</v>
      </c>
      <c r="I318" s="234" t="s">
        <v>15</v>
      </c>
      <c r="J318" s="84">
        <v>218.0</v>
      </c>
      <c r="K318" s="84"/>
      <c r="L318" s="85">
        <v>217.0</v>
      </c>
      <c r="M318" s="86">
        <v>0.0</v>
      </c>
    </row>
    <row r="319">
      <c r="A319" s="77">
        <v>44371.0</v>
      </c>
      <c r="B319" s="78" t="str">
        <f>IFERROR(__xludf.DUMMYFUNCTION("FILTER($G$2:$G$445,$H$2:$H$445=D319)"),"Muslim Public Relations Council")</f>
        <v>Muslim Public Relations Council</v>
      </c>
      <c r="C319" s="78" t="str">
        <f>IFERROR(__xludf.DUMMYFUNCTION("filter($I$1:$I$500, $J$1:$J$500=D319)"),"Faith-based")</f>
        <v>Faith-based</v>
      </c>
      <c r="D319" s="79">
        <v>1759.0</v>
      </c>
      <c r="F319" s="92">
        <v>1212.0</v>
      </c>
      <c r="G319" s="237" t="s">
        <v>199</v>
      </c>
      <c r="H319" s="82">
        <v>1063.0</v>
      </c>
      <c r="I319" s="234" t="s">
        <v>13</v>
      </c>
      <c r="J319" s="84">
        <v>1511.0</v>
      </c>
      <c r="K319" s="84"/>
      <c r="L319" s="85">
        <v>492.0</v>
      </c>
      <c r="M319" s="86">
        <v>2550.0</v>
      </c>
    </row>
    <row r="320">
      <c r="A320" s="164">
        <v>44371.0</v>
      </c>
      <c r="B320" s="165" t="str">
        <f>IFERROR(__xludf.DUMMYFUNCTION("FILTER($G$2:$G$445,$H$2:$H$445=D320)"),"Rutgers University Knights for Autism Awareness")</f>
        <v>Rutgers University Knights for Autism Awareness</v>
      </c>
      <c r="C320" s="165" t="str">
        <f>IFERROR(__xludf.DUMMYFUNCTION("filter($I$1:$I$500, $J$1:$J$500=D320)"),"Philanthropic")</f>
        <v>Philanthropic</v>
      </c>
      <c r="D320" s="166">
        <v>1766.0</v>
      </c>
      <c r="F320" s="167">
        <v>30.0</v>
      </c>
      <c r="G320" s="248" t="s">
        <v>289</v>
      </c>
      <c r="H320" s="169">
        <v>666.0</v>
      </c>
      <c r="I320" s="244" t="s">
        <v>19</v>
      </c>
      <c r="J320" s="171">
        <v>217.0</v>
      </c>
      <c r="K320" s="171"/>
      <c r="L320" s="172">
        <v>468.0</v>
      </c>
      <c r="M320" s="173">
        <v>0.0</v>
      </c>
    </row>
    <row r="321">
      <c r="A321" s="164">
        <v>44371.0</v>
      </c>
      <c r="B321" s="165" t="str">
        <f>IFERROR(__xludf.DUMMYFUNCTION("FILTER($G$2:$G$445,$H$2:$H$445=D321)"),"Rutgers University Knights for Autism Awareness")</f>
        <v>Rutgers University Knights for Autism Awareness</v>
      </c>
      <c r="C321" s="165" t="str">
        <f>IFERROR(__xludf.DUMMYFUNCTION("filter($I$1:$I$500, $J$1:$J$500=D321)"),"Philanthropic")</f>
        <v>Philanthropic</v>
      </c>
      <c r="D321" s="166">
        <v>1766.0</v>
      </c>
      <c r="F321" s="167">
        <v>696.0</v>
      </c>
      <c r="G321" s="243" t="s">
        <v>309</v>
      </c>
      <c r="H321" s="169">
        <v>676.0</v>
      </c>
      <c r="I321" s="244" t="s">
        <v>13</v>
      </c>
      <c r="J321" s="171">
        <v>1510.0</v>
      </c>
      <c r="K321" s="171"/>
      <c r="L321" s="172">
        <v>741.0</v>
      </c>
      <c r="M321" s="173">
        <v>0.0</v>
      </c>
    </row>
    <row r="322">
      <c r="A322" s="192">
        <v>44371.0</v>
      </c>
      <c r="B322" s="193" t="str">
        <f>IFERROR(__xludf.DUMMYFUNCTION("FILTER($G$2:$G$445,$H$2:$H$445=D322)"),"RU Progressive")</f>
        <v>RU Progressive</v>
      </c>
      <c r="C322" s="193" t="str">
        <f>IFERROR(__xludf.DUMMYFUNCTION("filter($I$1:$I$500, $J$1:$J$500=D322)"),"Social Action/Political")</f>
        <v>Social Action/Political</v>
      </c>
      <c r="D322" s="194">
        <v>1769.0</v>
      </c>
      <c r="F322" s="195">
        <v>842.0</v>
      </c>
      <c r="G322" s="226" t="s">
        <v>382</v>
      </c>
      <c r="H322" s="197">
        <v>1832.0</v>
      </c>
      <c r="I322" s="225" t="s">
        <v>43</v>
      </c>
      <c r="J322" s="199">
        <v>1508.0</v>
      </c>
      <c r="K322" s="199"/>
      <c r="L322" s="199"/>
      <c r="M322" s="199"/>
    </row>
    <row r="323">
      <c r="A323" s="15">
        <v>44371.0</v>
      </c>
      <c r="B323" s="16" t="str">
        <f>IFERROR(__xludf.DUMMYFUNCTION("FILTER($G$2:$G$445,$H$2:$H$445=D323)"),"First Generation Student Union ")</f>
        <v>First Generation Student Union </v>
      </c>
      <c r="C323" s="16" t="str">
        <f>IFERROR(__xludf.DUMMYFUNCTION("filter($I$1:$I$500, $J$1:$J$500=D323)"),"#N/A")</f>
        <v>#N/A</v>
      </c>
      <c r="D323" s="17">
        <v>1779.0</v>
      </c>
      <c r="F323" s="18">
        <v>626.0</v>
      </c>
      <c r="G323" s="216" t="s">
        <v>420</v>
      </c>
      <c r="H323" s="20">
        <v>1042.0</v>
      </c>
      <c r="I323" s="229" t="s">
        <v>19</v>
      </c>
      <c r="J323" s="22">
        <v>1496.0</v>
      </c>
      <c r="K323" s="22"/>
      <c r="L323" s="22"/>
      <c r="M323" s="22"/>
    </row>
    <row r="324">
      <c r="A324" s="15">
        <v>44371.0</v>
      </c>
      <c r="B324" s="16" t="str">
        <f>IFERROR(__xludf.DUMMYFUNCTION("FILTER($G$2:$G$445,$H$2:$H$445=D324)"),"In Christ Alone Ministry")</f>
        <v>In Christ Alone Ministry</v>
      </c>
      <c r="C324" s="16" t="str">
        <f>IFERROR(__xludf.DUMMYFUNCTION("filter($I$1:$I$500, $J$1:$J$500=D324)"),"#N/A")</f>
        <v>#N/A</v>
      </c>
      <c r="D324" s="17">
        <v>1785.0</v>
      </c>
      <c r="F324" s="18">
        <v>508.86</v>
      </c>
      <c r="G324" s="216" t="s">
        <v>417</v>
      </c>
      <c r="H324" s="20">
        <v>1966.0</v>
      </c>
      <c r="I324" s="229" t="s">
        <v>37</v>
      </c>
      <c r="J324" s="22">
        <v>209.0</v>
      </c>
      <c r="K324" s="22"/>
      <c r="L324" s="22"/>
      <c r="M324" s="22"/>
    </row>
    <row r="325">
      <c r="A325" s="94">
        <v>44371.0</v>
      </c>
      <c r="B325" s="95" t="str">
        <f>IFERROR(__xludf.DUMMYFUNCTION("FILTER($G$2:$G$445,$H$2:$H$445=D325)"),"Hearthstone")</f>
        <v>Hearthstone</v>
      </c>
      <c r="C325" s="95" t="str">
        <f>IFERROR(__xludf.DUMMYFUNCTION("filter($I$1:$I$500, $J$1:$J$500=D325)"),"Geek")</f>
        <v>Geek</v>
      </c>
      <c r="D325" s="96">
        <v>1786.0</v>
      </c>
      <c r="F325" s="97">
        <v>35.0</v>
      </c>
      <c r="G325" s="105" t="s">
        <v>211</v>
      </c>
      <c r="H325" s="99">
        <v>233.0</v>
      </c>
      <c r="I325" s="249" t="s">
        <v>15</v>
      </c>
      <c r="J325" s="101">
        <v>1495.0</v>
      </c>
      <c r="K325" s="101"/>
      <c r="L325" s="102">
        <v>1692.0</v>
      </c>
      <c r="M325" s="103">
        <v>250.0</v>
      </c>
    </row>
    <row r="326">
      <c r="A326" s="15">
        <v>44371.0</v>
      </c>
      <c r="B326" s="16" t="str">
        <f>IFERROR(__xludf.DUMMYFUNCTION("FILTER($G$2:$G$445,$H$2:$H$445=D326)"),"Women in Mathematical Sciences ")</f>
        <v>Women in Mathematical Sciences </v>
      </c>
      <c r="C326" s="16" t="str">
        <f>IFERROR(__xludf.DUMMYFUNCTION("filter($I$1:$I$500, $J$1:$J$500=D326)"),"#N/A")</f>
        <v>#N/A</v>
      </c>
      <c r="D326" s="17">
        <v>1792.0</v>
      </c>
      <c r="F326" s="18">
        <v>196.0</v>
      </c>
      <c r="G326" s="216" t="s">
        <v>407</v>
      </c>
      <c r="H326" s="20">
        <v>415.0</v>
      </c>
      <c r="I326" s="229" t="s">
        <v>43</v>
      </c>
      <c r="J326" s="22">
        <v>1492.0</v>
      </c>
      <c r="K326" s="22"/>
      <c r="L326" s="22"/>
      <c r="M326" s="22"/>
    </row>
    <row r="327">
      <c r="A327" s="25">
        <v>44371.0</v>
      </c>
      <c r="B327" s="26" t="str">
        <f>IFERROR(__xludf.DUMMYFUNCTION("FILTER($G$2:$G$445,$H$2:$H$445=D327)"),"Spanish Club")</f>
        <v>Spanish Club</v>
      </c>
      <c r="C327" s="26" t="str">
        <f>IFERROR(__xludf.DUMMYFUNCTION("filter($I$1:$I$500, $J$1:$J$500=D327)"),"Academic")</f>
        <v>Academic</v>
      </c>
      <c r="D327" s="27">
        <v>1795.0</v>
      </c>
      <c r="F327" s="28">
        <v>113.0</v>
      </c>
      <c r="G327" s="245" t="s">
        <v>29</v>
      </c>
      <c r="H327" s="30">
        <v>1897.0</v>
      </c>
      <c r="I327" s="246" t="s">
        <v>30</v>
      </c>
      <c r="J327" s="32">
        <v>1490.0</v>
      </c>
      <c r="K327" s="32"/>
      <c r="L327" s="33">
        <v>452.0</v>
      </c>
      <c r="M327" s="34">
        <v>0.0</v>
      </c>
    </row>
    <row r="328">
      <c r="A328" s="77">
        <v>44371.0</v>
      </c>
      <c r="B328" s="78" t="str">
        <f>IFERROR(__xludf.DUMMYFUNCTION("FILTER($G$2:$G$445,$H$2:$H$445=D328)"),"Klesis")</f>
        <v>Klesis</v>
      </c>
      <c r="C328" s="78" t="str">
        <f>IFERROR(__xludf.DUMMYFUNCTION("filter($I$1:$I$500, $J$1:$J$500=D328)"),"Faith-based")</f>
        <v>Faith-based</v>
      </c>
      <c r="D328" s="79">
        <v>1797.0</v>
      </c>
      <c r="F328" s="80">
        <v>7.03</v>
      </c>
      <c r="G328" s="93" t="s">
        <v>170</v>
      </c>
      <c r="H328" s="82">
        <v>1108.0</v>
      </c>
      <c r="I328" s="234" t="s">
        <v>22</v>
      </c>
      <c r="J328" s="84">
        <v>197.0</v>
      </c>
      <c r="K328" s="84"/>
      <c r="L328" s="85">
        <v>831.0</v>
      </c>
      <c r="M328" s="86">
        <v>0.0</v>
      </c>
    </row>
    <row r="329">
      <c r="A329" s="77">
        <v>44371.0</v>
      </c>
      <c r="B329" s="78" t="str">
        <f>IFERROR(__xludf.DUMMYFUNCTION("FILTER($G$2:$G$445,$H$2:$H$445=D329)"),"Klesis")</f>
        <v>Klesis</v>
      </c>
      <c r="C329" s="78" t="str">
        <f>IFERROR(__xludf.DUMMYFUNCTION("filter($I$1:$I$500, $J$1:$J$500=D329)"),"Faith-based")</f>
        <v>Faith-based</v>
      </c>
      <c r="D329" s="79">
        <v>1797.0</v>
      </c>
      <c r="F329" s="80">
        <v>18.64</v>
      </c>
      <c r="G329" s="93" t="s">
        <v>173</v>
      </c>
      <c r="H329" s="82">
        <v>1834.0</v>
      </c>
      <c r="I329" s="234" t="s">
        <v>22</v>
      </c>
      <c r="J329" s="84">
        <v>1487.0</v>
      </c>
      <c r="K329" s="84"/>
      <c r="L329" s="85">
        <v>1063.0</v>
      </c>
      <c r="M329" s="86">
        <v>0.0</v>
      </c>
    </row>
    <row r="330">
      <c r="A330" s="59">
        <v>44371.0</v>
      </c>
      <c r="B330" s="60" t="str">
        <f>IFERROR(__xludf.DUMMYFUNCTION("FILTER($G$2:$G$445,$H$2:$H$445=D330)"),"Mexican American Student Association")</f>
        <v>Mexican American Student Association</v>
      </c>
      <c r="C330" s="60" t="str">
        <f>IFERROR(__xludf.DUMMYFUNCTION("filter($I$1:$I$500, $J$1:$J$500=D330)"),"Cultural")</f>
        <v>Cultural</v>
      </c>
      <c r="D330" s="61">
        <v>1801.0</v>
      </c>
      <c r="F330" s="62">
        <v>2.01</v>
      </c>
      <c r="G330" s="70" t="s">
        <v>92</v>
      </c>
      <c r="H330" s="64">
        <v>1061.0</v>
      </c>
      <c r="I330" s="222" t="s">
        <v>25</v>
      </c>
      <c r="J330" s="66">
        <v>196.0</v>
      </c>
      <c r="K330" s="66"/>
      <c r="L330" s="67">
        <v>538.0</v>
      </c>
      <c r="M330" s="67">
        <v>850.0</v>
      </c>
    </row>
    <row r="331">
      <c r="A331" s="59">
        <v>44371.0</v>
      </c>
      <c r="B331" s="60" t="str">
        <f>IFERROR(__xludf.DUMMYFUNCTION("FILTER($G$2:$G$445,$H$2:$H$445=D331)"),"Mexican American Student Association")</f>
        <v>Mexican American Student Association</v>
      </c>
      <c r="C331" s="60" t="str">
        <f>IFERROR(__xludf.DUMMYFUNCTION("filter($I$1:$I$500, $J$1:$J$500=D331)"),"Cultural")</f>
        <v>Cultural</v>
      </c>
      <c r="D331" s="61">
        <v>1801.0</v>
      </c>
      <c r="F331" s="76">
        <v>1368.83</v>
      </c>
      <c r="G331" s="70" t="s">
        <v>155</v>
      </c>
      <c r="H331" s="64">
        <v>230.0</v>
      </c>
      <c r="I331" s="222" t="s">
        <v>30</v>
      </c>
      <c r="J331" s="66">
        <v>1486.0</v>
      </c>
      <c r="K331" s="66"/>
      <c r="L331" s="67">
        <v>1575.0</v>
      </c>
      <c r="M331" s="67">
        <v>0.0</v>
      </c>
    </row>
    <row r="332">
      <c r="A332" s="77">
        <v>44371.0</v>
      </c>
      <c r="B332" s="78" t="str">
        <f>IFERROR(__xludf.DUMMYFUNCTION("FILTER($G$2:$G$445,$H$2:$H$445=D332)"),"Muslim Feminists for the Arts")</f>
        <v>Muslim Feminists for the Arts</v>
      </c>
      <c r="C332" s="78" t="str">
        <f>IFERROR(__xludf.DUMMYFUNCTION("filter($I$1:$I$500, $J$1:$J$500=D332)"),"Faith-based")</f>
        <v>Faith-based</v>
      </c>
      <c r="D332" s="79">
        <v>1817.0</v>
      </c>
      <c r="F332" s="80">
        <v>50.0</v>
      </c>
      <c r="G332" s="93" t="s">
        <v>175</v>
      </c>
      <c r="H332" s="82">
        <v>63.0</v>
      </c>
      <c r="I332" s="234" t="s">
        <v>25</v>
      </c>
      <c r="J332" s="84">
        <v>178.0</v>
      </c>
      <c r="K332" s="84"/>
      <c r="L332" s="85">
        <v>84.0</v>
      </c>
      <c r="M332" s="86">
        <v>3250.0</v>
      </c>
    </row>
    <row r="333">
      <c r="A333" s="77">
        <v>44371.0</v>
      </c>
      <c r="B333" s="78" t="str">
        <f>IFERROR(__xludf.DUMMYFUNCTION("FILTER($G$2:$G$445,$H$2:$H$445=D333)"),"Muslim Feminists for the Arts")</f>
        <v>Muslim Feminists for the Arts</v>
      </c>
      <c r="C333" s="78" t="str">
        <f>IFERROR(__xludf.DUMMYFUNCTION("filter($I$1:$I$500, $J$1:$J$500=D333)"),"Faith-based")</f>
        <v>Faith-based</v>
      </c>
      <c r="D333" s="79">
        <v>1817.0</v>
      </c>
      <c r="F333" s="80">
        <v>561.0</v>
      </c>
      <c r="G333" s="237" t="s">
        <v>192</v>
      </c>
      <c r="H333" s="82">
        <v>1742.0</v>
      </c>
      <c r="I333" s="234" t="s">
        <v>27</v>
      </c>
      <c r="J333" s="84">
        <v>1485.0</v>
      </c>
      <c r="K333" s="84"/>
      <c r="L333" s="85">
        <v>1832.0</v>
      </c>
      <c r="M333" s="86">
        <v>0.0</v>
      </c>
    </row>
    <row r="334">
      <c r="A334" s="107">
        <v>44371.0</v>
      </c>
      <c r="B334" s="108" t="str">
        <f>IFERROR(__xludf.DUMMYFUNCTION("FILTER($G$2:$G$445,$H$2:$H$445=D334)"),"Creative Writing Club")</f>
        <v>Creative Writing Club</v>
      </c>
      <c r="C334" s="108" t="str">
        <f>IFERROR(__xludf.DUMMYFUNCTION("filter($I$1:$I$500, $J$1:$J$500=D334)"),"Leisure")</f>
        <v>Leisure</v>
      </c>
      <c r="D334" s="109">
        <v>1819.0</v>
      </c>
      <c r="F334" s="110">
        <v>337.05</v>
      </c>
      <c r="G334" s="241" t="s">
        <v>227</v>
      </c>
      <c r="H334" s="112">
        <v>549.0</v>
      </c>
      <c r="I334" s="242" t="s">
        <v>37</v>
      </c>
      <c r="J334" s="114">
        <v>1483.0</v>
      </c>
      <c r="K334" s="114"/>
      <c r="L334" s="115">
        <v>1437.0</v>
      </c>
      <c r="M334" s="116">
        <v>0.0</v>
      </c>
    </row>
    <row r="335">
      <c r="A335" s="94">
        <v>44371.0</v>
      </c>
      <c r="B335" s="95" t="str">
        <f>IFERROR(__xludf.DUMMYFUNCTION("FILTER($G$2:$G$445,$H$2:$H$445=D335)"),"Rutgers Overwatch Club")</f>
        <v>Rutgers Overwatch Club</v>
      </c>
      <c r="C335" s="95" t="str">
        <f>IFERROR(__xludf.DUMMYFUNCTION("filter($I$1:$I$500, $J$1:$J$500=D335)"),"Geek")</f>
        <v>Geek</v>
      </c>
      <c r="D335" s="96">
        <v>1830.0</v>
      </c>
      <c r="F335" s="97">
        <v>553.0</v>
      </c>
      <c r="G335" s="105" t="s">
        <v>220</v>
      </c>
      <c r="H335" s="99">
        <v>518.0</v>
      </c>
      <c r="I335" s="249" t="s">
        <v>37</v>
      </c>
      <c r="J335" s="101">
        <v>1478.0</v>
      </c>
      <c r="K335" s="101"/>
      <c r="L335" s="102">
        <v>1746.0</v>
      </c>
      <c r="M335" s="103">
        <v>0.0</v>
      </c>
    </row>
    <row r="336">
      <c r="A336" s="43">
        <v>44371.0</v>
      </c>
      <c r="B336" s="44" t="str">
        <f>IFERROR(__xludf.DUMMYFUNCTION("FILTER($G$2:$G$445,$H$2:$H$445=D336)"),"Charity Water Rutgers")</f>
        <v>Charity Water Rutgers</v>
      </c>
      <c r="C336" s="44" t="str">
        <f>IFERROR(__xludf.DUMMYFUNCTION("filter($I$1:$I$500, $J$1:$J$500=D336)"),"Community Service")</f>
        <v>Community Service</v>
      </c>
      <c r="D336" s="45">
        <v>1831.0</v>
      </c>
      <c r="F336" s="46">
        <v>200.0</v>
      </c>
      <c r="G336" s="230" t="s">
        <v>75</v>
      </c>
      <c r="H336" s="48">
        <v>712.0</v>
      </c>
      <c r="I336" s="231" t="s">
        <v>17</v>
      </c>
      <c r="J336" s="50">
        <v>170.0</v>
      </c>
      <c r="K336" s="50"/>
      <c r="L336" s="51">
        <v>512.0</v>
      </c>
      <c r="M336" s="52">
        <v>54.0</v>
      </c>
    </row>
    <row r="337">
      <c r="A337" s="43">
        <v>44371.0</v>
      </c>
      <c r="B337" s="44" t="str">
        <f>IFERROR(__xludf.DUMMYFUNCTION("FILTER($G$2:$G$445,$H$2:$H$445=D337)"),"Charity Water Rutgers")</f>
        <v>Charity Water Rutgers</v>
      </c>
      <c r="C337" s="44" t="str">
        <f>IFERROR(__xludf.DUMMYFUNCTION("filter($I$1:$I$500, $J$1:$J$500=D337)"),"Community Service")</f>
        <v>Community Service</v>
      </c>
      <c r="D337" s="45">
        <v>1831.0</v>
      </c>
      <c r="F337" s="46">
        <v>182.0</v>
      </c>
      <c r="G337" s="232" t="s">
        <v>74</v>
      </c>
      <c r="H337" s="48">
        <v>708.0</v>
      </c>
      <c r="I337" s="231" t="s">
        <v>22</v>
      </c>
      <c r="J337" s="50">
        <v>1475.0</v>
      </c>
      <c r="K337" s="50"/>
      <c r="L337" s="51">
        <v>1474.0</v>
      </c>
      <c r="M337" s="52">
        <v>170.0</v>
      </c>
    </row>
    <row r="338">
      <c r="A338" s="43">
        <v>44371.0</v>
      </c>
      <c r="B338" s="44" t="str">
        <f>IFERROR(__xludf.DUMMYFUNCTION("FILTER($G$2:$G$445,$H$2:$H$445=D338)"),"Petey Greene")</f>
        <v>Petey Greene</v>
      </c>
      <c r="C338" s="44" t="str">
        <f>IFERROR(__xludf.DUMMYFUNCTION("filter($I$1:$I$500, $J$1:$J$500=D338)"),"Community Service")</f>
        <v>Community Service</v>
      </c>
      <c r="D338" s="45">
        <v>1835.0</v>
      </c>
      <c r="F338" s="58">
        <v>1800.0</v>
      </c>
      <c r="G338" s="232" t="s">
        <v>89</v>
      </c>
      <c r="H338" s="48">
        <v>697.0</v>
      </c>
      <c r="I338" s="231" t="s">
        <v>15</v>
      </c>
      <c r="J338" s="50">
        <v>164.0</v>
      </c>
      <c r="K338" s="50"/>
      <c r="L338" s="51">
        <v>1277.0</v>
      </c>
      <c r="M338" s="52">
        <v>300.0</v>
      </c>
    </row>
    <row r="339">
      <c r="A339" s="43">
        <v>44371.0</v>
      </c>
      <c r="B339" s="44" t="str">
        <f>IFERROR(__xludf.DUMMYFUNCTION("FILTER($G$2:$G$445,$H$2:$H$445=D339)"),"Petey Greene")</f>
        <v>Petey Greene</v>
      </c>
      <c r="C339" s="44" t="str">
        <f>IFERROR(__xludf.DUMMYFUNCTION("filter($I$1:$I$500, $J$1:$J$500=D339)"),"Community Service")</f>
        <v>Community Service</v>
      </c>
      <c r="D339" s="45">
        <v>1835.0</v>
      </c>
      <c r="F339" s="46">
        <v>122.0</v>
      </c>
      <c r="G339" s="232" t="s">
        <v>71</v>
      </c>
      <c r="H339" s="48">
        <v>504.0</v>
      </c>
      <c r="I339" s="231" t="s">
        <v>17</v>
      </c>
      <c r="J339" s="50">
        <v>1474.0</v>
      </c>
      <c r="K339" s="50"/>
      <c r="L339" s="51">
        <v>1688.0</v>
      </c>
      <c r="M339" s="52">
        <v>320.0</v>
      </c>
    </row>
    <row r="340">
      <c r="A340" s="177">
        <v>44371.0</v>
      </c>
      <c r="B340" s="178" t="str">
        <f>IFERROR(__xludf.DUMMYFUNCTION("FILTER($G$2:$G$445,$H$2:$H$445=D340)"),"STEM Ambassadors")</f>
        <v>STEM Ambassadors</v>
      </c>
      <c r="C340" s="178" t="str">
        <f>IFERROR(__xludf.DUMMYFUNCTION("filter($I$1:$I$500, $J$1:$J$500=D340)"),"Pre-Professional")</f>
        <v>Pre-Professional</v>
      </c>
      <c r="D340" s="179">
        <v>1839.0</v>
      </c>
      <c r="F340" s="180">
        <v>300.0</v>
      </c>
      <c r="G340" s="227" t="s">
        <v>329</v>
      </c>
      <c r="H340" s="182">
        <v>1155.0</v>
      </c>
      <c r="I340" s="228" t="s">
        <v>13</v>
      </c>
      <c r="J340" s="184">
        <v>163.0</v>
      </c>
      <c r="K340" s="184"/>
      <c r="L340" s="184"/>
      <c r="M340" s="184"/>
    </row>
    <row r="341">
      <c r="A341" s="25">
        <v>44371.0</v>
      </c>
      <c r="B341" s="26" t="str">
        <f>IFERROR(__xludf.DUMMYFUNCTION("FILTER($G$2:$G$445,$H$2:$H$445=D341)"),"Archaeological Society")</f>
        <v>Archaeological Society</v>
      </c>
      <c r="C341" s="26" t="str">
        <f>IFERROR(__xludf.DUMMYFUNCTION("filter($I$1:$I$500, $J$1:$J$500=D341)"),"Academic")</f>
        <v>Academic</v>
      </c>
      <c r="D341" s="27">
        <v>1845.0</v>
      </c>
      <c r="F341" s="28">
        <v>100.0</v>
      </c>
      <c r="G341" s="240" t="s">
        <v>24</v>
      </c>
      <c r="H341" s="30">
        <v>1946.0</v>
      </c>
      <c r="I341" s="246" t="s">
        <v>25</v>
      </c>
      <c r="J341" s="32">
        <v>159.0</v>
      </c>
      <c r="K341" s="32"/>
      <c r="L341" s="33">
        <v>1203.0</v>
      </c>
      <c r="M341" s="34">
        <v>0.0</v>
      </c>
    </row>
    <row r="342">
      <c r="A342" s="192">
        <v>44371.0</v>
      </c>
      <c r="B342" s="193" t="str">
        <f>IFERROR(__xludf.DUMMYFUNCTION("FILTER($G$2:$G$445,$H$2:$H$445=D342)"),"GenUN")</f>
        <v>GenUN</v>
      </c>
      <c r="C342" s="193" t="str">
        <f>IFERROR(__xludf.DUMMYFUNCTION("filter($I$1:$I$500, $J$1:$J$500=D342)"),"Social Action/Political")</f>
        <v>Social Action/Political</v>
      </c>
      <c r="D342" s="194">
        <v>1849.0</v>
      </c>
      <c r="F342" s="195">
        <v>112.0</v>
      </c>
      <c r="G342" s="203" t="s">
        <v>362</v>
      </c>
      <c r="H342" s="197">
        <v>1938.0</v>
      </c>
      <c r="I342" s="225" t="s">
        <v>37</v>
      </c>
      <c r="J342" s="199">
        <v>1468.0</v>
      </c>
      <c r="K342" s="199"/>
      <c r="L342" s="199"/>
      <c r="M342" s="199"/>
    </row>
    <row r="343">
      <c r="A343" s="164">
        <v>44371.0</v>
      </c>
      <c r="B343" s="165" t="str">
        <f>IFERROR(__xludf.DUMMYFUNCTION("FILTER($G$2:$G$445,$H$2:$H$445=D343)"),"Into the Light")</f>
        <v>Into the Light</v>
      </c>
      <c r="C343" s="165" t="str">
        <f>IFERROR(__xludf.DUMMYFUNCTION("filter($I$1:$I$500, $J$1:$J$500=D343)"),"Philanthropic")</f>
        <v>Philanthropic</v>
      </c>
      <c r="D343" s="166">
        <v>1866.0</v>
      </c>
      <c r="F343" s="167">
        <v>180.0</v>
      </c>
      <c r="G343" s="248" t="s">
        <v>298</v>
      </c>
      <c r="H343" s="169">
        <v>675.0</v>
      </c>
      <c r="I343" s="244" t="s">
        <v>27</v>
      </c>
      <c r="J343" s="171">
        <v>157.0</v>
      </c>
      <c r="K343" s="171"/>
      <c r="L343" s="172">
        <v>347.0</v>
      </c>
      <c r="M343" s="173">
        <v>1060.0</v>
      </c>
    </row>
    <row r="344">
      <c r="A344" s="164">
        <v>44371.0</v>
      </c>
      <c r="B344" s="165" t="str">
        <f>IFERROR(__xludf.DUMMYFUNCTION("FILTER($G$2:$G$445,$H$2:$H$445=D344)"),"Into the Light")</f>
        <v>Into the Light</v>
      </c>
      <c r="C344" s="165" t="str">
        <f>IFERROR(__xludf.DUMMYFUNCTION("filter($I$1:$I$500, $J$1:$J$500=D344)"),"Philanthropic")</f>
        <v>Philanthropic</v>
      </c>
      <c r="D344" s="166">
        <v>1866.0</v>
      </c>
      <c r="F344" s="167">
        <v>154.0</v>
      </c>
      <c r="G344" s="243" t="s">
        <v>295</v>
      </c>
      <c r="H344" s="169">
        <v>1490.0</v>
      </c>
      <c r="I344" s="244" t="s">
        <v>25</v>
      </c>
      <c r="J344" s="171">
        <v>1467.0</v>
      </c>
      <c r="K344" s="171"/>
      <c r="L344" s="172">
        <v>1416.0</v>
      </c>
      <c r="M344" s="173">
        <v>140.0</v>
      </c>
    </row>
    <row r="345">
      <c r="A345" s="177">
        <v>44371.0</v>
      </c>
      <c r="B345" s="178" t="str">
        <f>IFERROR(__xludf.DUMMYFUNCTION("FILTER($G$2:$G$445,$H$2:$H$445=D345)"),"Global Surgery Student Alliance at Rutgers")</f>
        <v>Global Surgery Student Alliance at Rutgers</v>
      </c>
      <c r="C345" s="178" t="str">
        <f>IFERROR(__xludf.DUMMYFUNCTION("filter($I$1:$I$500, $J$1:$J$500=D345)"),"Pre-Professional")</f>
        <v>Pre-Professional</v>
      </c>
      <c r="D345" s="179">
        <v>1873.0</v>
      </c>
      <c r="F345" s="180">
        <v>100.0</v>
      </c>
      <c r="G345" s="233" t="s">
        <v>318</v>
      </c>
      <c r="H345" s="182">
        <v>224.0</v>
      </c>
      <c r="I345" s="228" t="s">
        <v>37</v>
      </c>
      <c r="J345" s="184">
        <v>154.0</v>
      </c>
      <c r="K345" s="184"/>
      <c r="L345" s="184"/>
      <c r="M345" s="184"/>
    </row>
    <row r="346">
      <c r="A346" s="177">
        <v>44371.0</v>
      </c>
      <c r="B346" s="178" t="str">
        <f>IFERROR(__xludf.DUMMYFUNCTION("FILTER($G$2:$G$445,$H$2:$H$445=D346)"),"Global Surgery Student Alliance at Rutgers")</f>
        <v>Global Surgery Student Alliance at Rutgers</v>
      </c>
      <c r="C346" s="178" t="str">
        <f>IFERROR(__xludf.DUMMYFUNCTION("filter($I$1:$I$500, $J$1:$J$500=D346)"),"Pre-Professional")</f>
        <v>Pre-Professional</v>
      </c>
      <c r="D346" s="179">
        <v>1873.0</v>
      </c>
      <c r="F346" s="180">
        <v>954.0</v>
      </c>
      <c r="G346" s="233" t="s">
        <v>346</v>
      </c>
      <c r="H346" s="182">
        <v>1906.0</v>
      </c>
      <c r="I346" s="228" t="s">
        <v>22</v>
      </c>
      <c r="J346" s="184">
        <v>1459.0</v>
      </c>
      <c r="K346" s="184"/>
      <c r="L346" s="184"/>
      <c r="M346" s="184"/>
    </row>
    <row r="347">
      <c r="A347" s="43">
        <v>44371.0</v>
      </c>
      <c r="B347" s="44" t="str">
        <f>IFERROR(__xludf.DUMMYFUNCTION("FILTER($G$2:$G$445,$H$2:$H$445=D347)"),"#N/A")</f>
        <v>#N/A</v>
      </c>
      <c r="C347" s="44" t="str">
        <f>IFERROR(__xludf.DUMMYFUNCTION("filter($I$1:$I$500, $J$1:$J$500=D347)"),"Community Service")</f>
        <v>Community Service</v>
      </c>
      <c r="D347" s="45">
        <v>1874.0</v>
      </c>
      <c r="F347" s="46">
        <v>4.0</v>
      </c>
      <c r="G347" s="230" t="s">
        <v>64</v>
      </c>
      <c r="H347" s="48">
        <v>1410.0</v>
      </c>
      <c r="I347" s="231" t="s">
        <v>15</v>
      </c>
      <c r="J347" s="50">
        <v>149.0</v>
      </c>
      <c r="K347" s="50"/>
      <c r="L347" s="51">
        <v>1831.0</v>
      </c>
      <c r="M347" s="52">
        <v>300.0</v>
      </c>
    </row>
    <row r="348">
      <c r="A348" s="77">
        <v>44371.0</v>
      </c>
      <c r="B348" s="78" t="str">
        <f>IFERROR(__xludf.DUMMYFUNCTION("FILTER($G$2:$G$445,$H$2:$H$445=D348)"),"Jewish Allies and Queers")</f>
        <v>Jewish Allies and Queers</v>
      </c>
      <c r="C348" s="78" t="str">
        <f>IFERROR(__xludf.DUMMYFUNCTION("filter($I$1:$I$500, $J$1:$J$500=D348)"),"Faith-based")</f>
        <v>Faith-based</v>
      </c>
      <c r="D348" s="79">
        <v>1875.0</v>
      </c>
      <c r="F348" s="80">
        <v>356.0</v>
      </c>
      <c r="G348" s="93" t="s">
        <v>188</v>
      </c>
      <c r="H348" s="82">
        <v>1184.0</v>
      </c>
      <c r="I348" s="234" t="s">
        <v>25</v>
      </c>
      <c r="J348" s="84">
        <v>1439.0</v>
      </c>
      <c r="K348" s="84"/>
      <c r="L348" s="85">
        <v>676.0</v>
      </c>
      <c r="M348" s="86">
        <v>0.0</v>
      </c>
    </row>
    <row r="349">
      <c r="A349" s="164">
        <v>44371.0</v>
      </c>
      <c r="B349" s="165" t="str">
        <f>IFERROR(__xludf.DUMMYFUNCTION("FILTER($G$2:$G$445,$H$2:$H$445=D349)"),"Alzheimer's Buddies")</f>
        <v>Alzheimer's Buddies</v>
      </c>
      <c r="C349" s="165" t="str">
        <f>IFERROR(__xludf.DUMMYFUNCTION("filter($I$1:$I$500, $J$1:$J$500=D349)"),"Philanthropic")</f>
        <v>Philanthropic</v>
      </c>
      <c r="D349" s="166">
        <v>1877.0</v>
      </c>
      <c r="F349" s="167">
        <v>470.0</v>
      </c>
      <c r="G349" s="248" t="s">
        <v>307</v>
      </c>
      <c r="H349" s="169">
        <v>295.0</v>
      </c>
      <c r="I349" s="244" t="s">
        <v>15</v>
      </c>
      <c r="J349" s="171">
        <v>148.0</v>
      </c>
      <c r="K349" s="171"/>
      <c r="L349" s="172">
        <v>628.0</v>
      </c>
      <c r="M349" s="173">
        <v>300.0</v>
      </c>
    </row>
    <row r="350">
      <c r="A350" s="164">
        <v>44371.0</v>
      </c>
      <c r="B350" s="165" t="str">
        <f>IFERROR(__xludf.DUMMYFUNCTION("FILTER($G$2:$G$445,$H$2:$H$445=D350)"),"Save a Child's Heart")</f>
        <v>Save a Child's Heart</v>
      </c>
      <c r="C350" s="165" t="str">
        <f>IFERROR(__xludf.DUMMYFUNCTION("filter($I$1:$I$500, $J$1:$J$500=D350)"),"Philanthropic")</f>
        <v>Philanthropic</v>
      </c>
      <c r="D350" s="166">
        <v>1878.0</v>
      </c>
      <c r="F350" s="167">
        <v>118.0</v>
      </c>
      <c r="G350" s="243" t="s">
        <v>293</v>
      </c>
      <c r="H350" s="169">
        <v>264.0</v>
      </c>
      <c r="I350" s="244" t="s">
        <v>17</v>
      </c>
      <c r="J350" s="171">
        <v>1437.0</v>
      </c>
      <c r="K350" s="171"/>
      <c r="L350" s="172">
        <v>1084.0</v>
      </c>
      <c r="M350" s="173">
        <v>150.0</v>
      </c>
    </row>
    <row r="351">
      <c r="A351" s="25">
        <v>44371.0</v>
      </c>
      <c r="B351" s="26" t="str">
        <f>IFERROR(__xludf.DUMMYFUNCTION("FILTER($G$2:$G$445,$H$2:$H$445=D351)"),"Rutgers University Moot Court Association")</f>
        <v>Rutgers University Moot Court Association</v>
      </c>
      <c r="C351" s="26" t="str">
        <f>IFERROR(__xludf.DUMMYFUNCTION("filter($I$1:$I$500, $J$1:$J$500=D351)"),"Academic")</f>
        <v>Academic</v>
      </c>
      <c r="D351" s="27">
        <v>1881.0</v>
      </c>
      <c r="F351" s="28">
        <v>200.0</v>
      </c>
      <c r="G351" s="245" t="s">
        <v>38</v>
      </c>
      <c r="H351" s="30">
        <v>1057.0</v>
      </c>
      <c r="I351" s="246" t="s">
        <v>13</v>
      </c>
      <c r="J351" s="32">
        <v>145.0</v>
      </c>
      <c r="K351" s="32"/>
      <c r="L351" s="33">
        <v>1054.0</v>
      </c>
      <c r="M351" s="34">
        <v>375.0</v>
      </c>
    </row>
    <row r="352">
      <c r="A352" s="25">
        <v>44371.0</v>
      </c>
      <c r="B352" s="26" t="str">
        <f>IFERROR(__xludf.DUMMYFUNCTION("FILTER($G$2:$G$445,$H$2:$H$445=D352)"),"Rutgers University Moot Court Association")</f>
        <v>Rutgers University Moot Court Association</v>
      </c>
      <c r="C352" s="26" t="str">
        <f>IFERROR(__xludf.DUMMYFUNCTION("filter($I$1:$I$500, $J$1:$J$500=D352)"),"Academic")</f>
        <v>Academic</v>
      </c>
      <c r="D352" s="27">
        <v>1881.0</v>
      </c>
      <c r="F352" s="28">
        <v>196.0</v>
      </c>
      <c r="G352" s="245" t="s">
        <v>36</v>
      </c>
      <c r="H352" s="30">
        <v>630.0</v>
      </c>
      <c r="I352" s="246" t="s">
        <v>37</v>
      </c>
      <c r="J352" s="32">
        <v>1433.0</v>
      </c>
      <c r="K352" s="32"/>
      <c r="L352" s="33">
        <v>1972.0</v>
      </c>
      <c r="M352" s="34">
        <v>0.0</v>
      </c>
    </row>
    <row r="353">
      <c r="A353" s="94">
        <v>44371.0</v>
      </c>
      <c r="B353" s="95" t="str">
        <f>IFERROR(__xludf.DUMMYFUNCTION("FILTER($G$2:$G$445,$H$2:$H$445=D353)"),"Rutgers University Rhythm Games Club")</f>
        <v>Rutgers University Rhythm Games Club</v>
      </c>
      <c r="C353" s="95" t="str">
        <f>IFERROR(__xludf.DUMMYFUNCTION("filter($I$1:$I$500, $J$1:$J$500=D353)"),"Geek")</f>
        <v>Geek</v>
      </c>
      <c r="D353" s="96">
        <v>1882.0</v>
      </c>
      <c r="F353" s="97">
        <v>786.0</v>
      </c>
      <c r="G353" s="105" t="s">
        <v>222</v>
      </c>
      <c r="H353" s="99">
        <v>217.0</v>
      </c>
      <c r="I353" s="249" t="s">
        <v>15</v>
      </c>
      <c r="J353" s="101">
        <v>1432.0</v>
      </c>
      <c r="K353" s="101"/>
      <c r="L353" s="102">
        <v>19.0</v>
      </c>
      <c r="M353" s="103">
        <v>0.0</v>
      </c>
    </row>
    <row r="354">
      <c r="A354" s="107">
        <v>44371.0</v>
      </c>
      <c r="B354" s="108" t="str">
        <f>IFERROR(__xludf.DUMMYFUNCTION("FILTER($G$2:$G$445,$H$2:$H$445=D354)"),"Stitch for Life")</f>
        <v>Stitch for Life</v>
      </c>
      <c r="C354" s="108" t="str">
        <f>IFERROR(__xludf.DUMMYFUNCTION("filter($I$1:$I$500, $J$1:$J$500=D354)"),"Leisure")</f>
        <v>Leisure</v>
      </c>
      <c r="D354" s="109">
        <v>1883.0</v>
      </c>
      <c r="F354" s="110">
        <v>368.0</v>
      </c>
      <c r="G354" s="241" t="s">
        <v>228</v>
      </c>
      <c r="H354" s="112">
        <v>1432.0</v>
      </c>
      <c r="I354" s="242" t="s">
        <v>22</v>
      </c>
      <c r="J354" s="114">
        <v>1425.0</v>
      </c>
      <c r="K354" s="114"/>
      <c r="L354" s="115">
        <v>1857.0</v>
      </c>
      <c r="M354" s="116">
        <v>0.0</v>
      </c>
    </row>
    <row r="355">
      <c r="A355" s="15">
        <v>44371.0</v>
      </c>
      <c r="B355" s="16" t="str">
        <f>IFERROR(__xludf.DUMMYFUNCTION("FILTER($G$2:$G$445,$H$2:$H$445=D355)"),"Women Empowerment Through Health and Self-Love")</f>
        <v>Women Empowerment Through Health and Self-Love</v>
      </c>
      <c r="C355" s="16" t="str">
        <f>IFERROR(__xludf.DUMMYFUNCTION("filter($I$1:$I$500, $J$1:$J$500=D355)"),"#N/A")</f>
        <v>#N/A</v>
      </c>
      <c r="D355" s="17">
        <v>1886.0</v>
      </c>
      <c r="F355" s="18">
        <v>300.0</v>
      </c>
      <c r="G355" s="216" t="s">
        <v>414</v>
      </c>
      <c r="H355" s="20">
        <v>1149.0</v>
      </c>
      <c r="I355" s="229" t="s">
        <v>15</v>
      </c>
      <c r="J355" s="22">
        <v>142.0</v>
      </c>
      <c r="K355" s="22"/>
      <c r="L355" s="22"/>
      <c r="M355" s="22"/>
    </row>
    <row r="356">
      <c r="A356" s="15">
        <v>44371.0</v>
      </c>
      <c r="B356" s="16" t="str">
        <f>IFERROR(__xludf.DUMMYFUNCTION("FILTER($G$2:$G$445,$H$2:$H$445=D356)"),"Women Empowerment Through Health and Self-Love")</f>
        <v>Women Empowerment Through Health and Self-Love</v>
      </c>
      <c r="C356" s="16" t="str">
        <f>IFERROR(__xludf.DUMMYFUNCTION("filter($I$1:$I$500, $J$1:$J$500=D356)"),"#N/A")</f>
        <v>#N/A</v>
      </c>
      <c r="D356" s="17">
        <v>1886.0</v>
      </c>
      <c r="F356" s="18">
        <v>100.0</v>
      </c>
      <c r="G356" s="216" t="s">
        <v>401</v>
      </c>
      <c r="H356" s="20">
        <v>1459.0</v>
      </c>
      <c r="I356" s="229" t="s">
        <v>27</v>
      </c>
      <c r="J356" s="22">
        <v>1424.0</v>
      </c>
      <c r="K356" s="22"/>
      <c r="L356" s="22"/>
      <c r="M356" s="22"/>
    </row>
    <row r="357">
      <c r="A357" s="43">
        <v>44371.0</v>
      </c>
      <c r="B357" s="44" t="str">
        <f>IFERROR(__xludf.DUMMYFUNCTION("FILTER($G$2:$G$445,$H$2:$H$445=D357)"),"Mind and Media ")</f>
        <v>Mind and Media </v>
      </c>
      <c r="C357" s="44" t="str">
        <f>IFERROR(__xludf.DUMMYFUNCTION("filter($I$1:$I$500, $J$1:$J$500=D357)"),"Community Service")</f>
        <v>Community Service</v>
      </c>
      <c r="D357" s="45">
        <v>1899.0</v>
      </c>
      <c r="F357" s="46">
        <v>300.0</v>
      </c>
      <c r="G357" s="230" t="s">
        <v>82</v>
      </c>
      <c r="H357" s="48">
        <v>154.0</v>
      </c>
      <c r="I357" s="231" t="s">
        <v>13</v>
      </c>
      <c r="J357" s="50">
        <v>137.0</v>
      </c>
      <c r="K357" s="50"/>
      <c r="L357" s="51">
        <v>328.0</v>
      </c>
      <c r="M357" s="52">
        <v>4370.0</v>
      </c>
    </row>
    <row r="358">
      <c r="A358" s="135">
        <v>44371.0</v>
      </c>
      <c r="B358" s="136" t="str">
        <f>IFERROR(__xludf.DUMMYFUNCTION("FILTER($G$2:$G$445,$H$2:$H$445=D358)"),"Pre-Nursing Society")</f>
        <v>Pre-Nursing Society</v>
      </c>
      <c r="C358" s="136" t="str">
        <f>IFERROR(__xludf.DUMMYFUNCTION("filter($I$1:$I$500, $J$1:$J$500=D358)"),"No Category")</f>
        <v>No Category</v>
      </c>
      <c r="D358" s="137">
        <v>1905.0</v>
      </c>
      <c r="F358" s="138">
        <v>112.12</v>
      </c>
      <c r="G358" s="254" t="s">
        <v>241</v>
      </c>
      <c r="H358" s="140">
        <v>84.0</v>
      </c>
      <c r="I358" s="255" t="s">
        <v>22</v>
      </c>
      <c r="J358" s="142">
        <v>1416.0</v>
      </c>
      <c r="K358" s="142"/>
      <c r="L358" s="143">
        <v>1543.0</v>
      </c>
      <c r="M358" s="144">
        <v>16.0</v>
      </c>
    </row>
    <row r="359">
      <c r="A359" s="25">
        <v>44371.0</v>
      </c>
      <c r="B359" s="26" t="str">
        <f>IFERROR(__xludf.DUMMYFUNCTION("FILTER($G$2:$G$445,$H$2:$H$445=D359)"),"Rutgers Health Guardians of America")</f>
        <v>Rutgers Health Guardians of America</v>
      </c>
      <c r="C359" s="26" t="str">
        <f>IFERROR(__xludf.DUMMYFUNCTION("filter($I$1:$I$500, $J$1:$J$500=D359)"),"Academic")</f>
        <v>Academic</v>
      </c>
      <c r="D359" s="27">
        <v>1908.0</v>
      </c>
      <c r="F359" s="28">
        <v>114.57</v>
      </c>
      <c r="G359" s="245" t="s">
        <v>31</v>
      </c>
      <c r="H359" s="30">
        <v>22.0</v>
      </c>
      <c r="I359" s="246" t="s">
        <v>15</v>
      </c>
      <c r="J359" s="32">
        <v>136.0</v>
      </c>
      <c r="K359" s="32"/>
      <c r="L359" s="33">
        <v>1655.0</v>
      </c>
      <c r="M359" s="34">
        <v>2882.48</v>
      </c>
    </row>
    <row r="360">
      <c r="A360" s="25">
        <v>44371.0</v>
      </c>
      <c r="B360" s="26" t="str">
        <f>IFERROR(__xludf.DUMMYFUNCTION("FILTER($G$2:$G$445,$H$2:$H$445=D360)"),"Rutgers Health Guardians of America")</f>
        <v>Rutgers Health Guardians of America</v>
      </c>
      <c r="C360" s="26" t="str">
        <f>IFERROR(__xludf.DUMMYFUNCTION("filter($I$1:$I$500, $J$1:$J$500=D360)"),"Academic")</f>
        <v>Academic</v>
      </c>
      <c r="D360" s="27">
        <v>1908.0</v>
      </c>
      <c r="F360" s="28">
        <v>337.0</v>
      </c>
      <c r="G360" s="245" t="s">
        <v>45</v>
      </c>
      <c r="H360" s="30">
        <v>407.0</v>
      </c>
      <c r="I360" s="246" t="s">
        <v>37</v>
      </c>
      <c r="J360" s="32">
        <v>1415.0</v>
      </c>
      <c r="K360" s="32"/>
      <c r="L360" s="33">
        <v>98.0</v>
      </c>
      <c r="M360" s="33">
        <v>5150.0</v>
      </c>
    </row>
    <row r="361">
      <c r="A361" s="59">
        <v>44371.0</v>
      </c>
      <c r="B361" s="60" t="str">
        <f>IFERROR(__xludf.DUMMYFUNCTION("FILTER($G$2:$G$445,$H$2:$H$445=D361)"),"Celebrating Latinx Arts &amp; Works")</f>
        <v>Celebrating Latinx Arts &amp; Works</v>
      </c>
      <c r="C361" s="60" t="str">
        <f>IFERROR(__xludf.DUMMYFUNCTION("filter($I$1:$I$500, $J$1:$J$500=D361)"),"Cultural")</f>
        <v>Cultural</v>
      </c>
      <c r="D361" s="61">
        <v>1926.0</v>
      </c>
      <c r="F361" s="62">
        <v>720.83</v>
      </c>
      <c r="G361" s="70" t="s">
        <v>140</v>
      </c>
      <c r="H361" s="64">
        <v>287.0</v>
      </c>
      <c r="I361" s="222" t="s">
        <v>15</v>
      </c>
      <c r="J361" s="66">
        <v>1412.0</v>
      </c>
      <c r="K361" s="66"/>
      <c r="L361" s="67">
        <v>1866.0</v>
      </c>
      <c r="M361" s="68">
        <v>180.0</v>
      </c>
    </row>
    <row r="362">
      <c r="A362" s="177">
        <v>44371.0</v>
      </c>
      <c r="B362" s="178" t="str">
        <f>IFERROR(__xludf.DUMMYFUNCTION("FILTER($G$2:$G$445,$H$2:$H$445=D362)"),"Blueprint")</f>
        <v>Blueprint</v>
      </c>
      <c r="C362" s="178" t="str">
        <f>IFERROR(__xludf.DUMMYFUNCTION("filter($I$1:$I$500, $J$1:$J$500=D362)"),"Pre-Professional")</f>
        <v>Pre-Professional</v>
      </c>
      <c r="D362" s="179">
        <v>1934.0</v>
      </c>
      <c r="F362" s="191">
        <v>2340.0</v>
      </c>
      <c r="G362" s="233" t="s">
        <v>354</v>
      </c>
      <c r="H362" s="182">
        <v>452.0</v>
      </c>
      <c r="I362" s="228" t="s">
        <v>25</v>
      </c>
      <c r="J362" s="184">
        <v>132.0</v>
      </c>
      <c r="K362" s="184"/>
      <c r="L362" s="184"/>
      <c r="M362" s="184"/>
    </row>
    <row r="363">
      <c r="A363" s="177">
        <v>44371.0</v>
      </c>
      <c r="B363" s="178" t="str">
        <f>IFERROR(__xludf.DUMMYFUNCTION("FILTER($G$2:$G$445,$H$2:$H$445=D363)"),"Blueprint")</f>
        <v>Blueprint</v>
      </c>
      <c r="C363" s="178" t="str">
        <f>IFERROR(__xludf.DUMMYFUNCTION("filter($I$1:$I$500, $J$1:$J$500=D363)"),"Pre-Professional")</f>
        <v>Pre-Professional</v>
      </c>
      <c r="D363" s="179">
        <v>1934.0</v>
      </c>
      <c r="F363" s="191">
        <v>2149.0</v>
      </c>
      <c r="G363" s="233" t="s">
        <v>352</v>
      </c>
      <c r="H363" s="182">
        <v>232.0</v>
      </c>
      <c r="I363" s="228" t="s">
        <v>13</v>
      </c>
      <c r="J363" s="184">
        <v>1411.0</v>
      </c>
      <c r="K363" s="184"/>
      <c r="L363" s="184"/>
      <c r="M363" s="184"/>
    </row>
    <row r="364">
      <c r="A364" s="164">
        <v>44371.0</v>
      </c>
      <c r="B364" s="165" t="str">
        <f>IFERROR(__xludf.DUMMYFUNCTION("FILTER($G$2:$G$445,$H$2:$H$445=D364)"),"PERIOD")</f>
        <v>PERIOD</v>
      </c>
      <c r="C364" s="165" t="str">
        <f>IFERROR(__xludf.DUMMYFUNCTION("filter($I$1:$I$500, $J$1:$J$500=D364)"),"Philanthropic")</f>
        <v>Philanthropic</v>
      </c>
      <c r="D364" s="166">
        <v>1938.0</v>
      </c>
      <c r="F364" s="167">
        <v>362.9</v>
      </c>
      <c r="G364" s="248" t="s">
        <v>303</v>
      </c>
      <c r="H364" s="169">
        <v>1972.0</v>
      </c>
      <c r="I364" s="248" t="s">
        <v>22</v>
      </c>
      <c r="J364" s="171">
        <v>128.0</v>
      </c>
      <c r="K364" s="171"/>
      <c r="L364" s="172">
        <v>1754.0</v>
      </c>
      <c r="M364" s="173">
        <v>200.0</v>
      </c>
    </row>
    <row r="365">
      <c r="A365" s="164">
        <v>44371.0</v>
      </c>
      <c r="B365" s="165" t="str">
        <f>IFERROR(__xludf.DUMMYFUNCTION("FILTER($G$2:$G$445,$H$2:$H$445=D365)"),"PERIOD")</f>
        <v>PERIOD</v>
      </c>
      <c r="C365" s="165" t="str">
        <f>IFERROR(__xludf.DUMMYFUNCTION("filter($I$1:$I$500, $J$1:$J$500=D365)"),"Philanthropic")</f>
        <v>Philanthropic</v>
      </c>
      <c r="D365" s="166">
        <v>1938.0</v>
      </c>
      <c r="F365" s="167">
        <v>253.0</v>
      </c>
      <c r="G365" s="243" t="s">
        <v>300</v>
      </c>
      <c r="H365" s="169">
        <v>1251.0</v>
      </c>
      <c r="I365" s="244" t="s">
        <v>15</v>
      </c>
      <c r="J365" s="171">
        <v>1410.0</v>
      </c>
      <c r="K365" s="171"/>
      <c r="L365" s="172">
        <v>1578.0</v>
      </c>
      <c r="M365" s="173">
        <v>340.0</v>
      </c>
    </row>
    <row r="366">
      <c r="A366" s="25">
        <v>44371.0</v>
      </c>
      <c r="B366" s="26" t="str">
        <f>IFERROR(__xludf.DUMMYFUNCTION("FILTER($G$2:$G$445,$H$2:$H$445=D366)"),"Korean Language Club")</f>
        <v>Korean Language Club</v>
      </c>
      <c r="C366" s="26" t="str">
        <f>IFERROR(__xludf.DUMMYFUNCTION("filter($I$1:$I$500, $J$1:$J$500=D366)"),"Academic")</f>
        <v>Academic</v>
      </c>
      <c r="D366" s="27">
        <v>1940.0</v>
      </c>
      <c r="F366" s="28">
        <v>16.81</v>
      </c>
      <c r="G366" s="240" t="s">
        <v>16</v>
      </c>
      <c r="H366" s="30">
        <v>1486.0</v>
      </c>
      <c r="I366" s="240" t="s">
        <v>17</v>
      </c>
      <c r="J366" s="32">
        <v>115.0</v>
      </c>
      <c r="K366" s="32"/>
      <c r="L366" s="33">
        <v>196.0</v>
      </c>
      <c r="M366" s="33">
        <v>2000.0</v>
      </c>
    </row>
    <row r="367">
      <c r="A367" s="25">
        <v>44371.0</v>
      </c>
      <c r="B367" s="26" t="str">
        <f>IFERROR(__xludf.DUMMYFUNCTION("FILTER($G$2:$G$445,$H$2:$H$445=D367)"),"Korean Language Club")</f>
        <v>Korean Language Club</v>
      </c>
      <c r="C367" s="26" t="str">
        <f>IFERROR(__xludf.DUMMYFUNCTION("filter($I$1:$I$500, $J$1:$J$500=D367)"),"Academic")</f>
        <v>Academic</v>
      </c>
      <c r="D367" s="27">
        <v>1940.0</v>
      </c>
      <c r="F367" s="28">
        <v>513.08</v>
      </c>
      <c r="G367" s="245" t="s">
        <v>50</v>
      </c>
      <c r="H367" s="30">
        <v>1150.0</v>
      </c>
      <c r="I367" s="246" t="s">
        <v>43</v>
      </c>
      <c r="J367" s="32">
        <v>1399.0</v>
      </c>
      <c r="K367" s="32"/>
      <c r="L367" s="33">
        <v>746.0</v>
      </c>
      <c r="M367" s="34">
        <v>0.0</v>
      </c>
    </row>
    <row r="368">
      <c r="A368" s="59">
        <v>44371.0</v>
      </c>
      <c r="B368" s="60" t="str">
        <f>IFERROR(__xludf.DUMMYFUNCTION("FILTER($G$2:$G$445,$H$2:$H$445=D368)"),"Hong Kong Student Association")</f>
        <v>Hong Kong Student Association</v>
      </c>
      <c r="C368" s="60" t="str">
        <f>IFERROR(__xludf.DUMMYFUNCTION("filter($I$1:$I$500, $J$1:$J$500=D368)"),"Cultural")</f>
        <v>Cultural</v>
      </c>
      <c r="D368" s="61">
        <v>1944.0</v>
      </c>
      <c r="F368" s="62">
        <v>150.0</v>
      </c>
      <c r="G368" s="70" t="s">
        <v>103</v>
      </c>
      <c r="H368" s="64">
        <v>686.0</v>
      </c>
      <c r="I368" s="256" t="s">
        <v>25</v>
      </c>
      <c r="J368" s="257">
        <v>98.0</v>
      </c>
      <c r="K368" s="66"/>
      <c r="L368" s="67">
        <v>90.0</v>
      </c>
      <c r="M368" s="68">
        <v>130.0</v>
      </c>
    </row>
    <row r="369">
      <c r="A369" s="59">
        <v>44371.0</v>
      </c>
      <c r="B369" s="60" t="str">
        <f>IFERROR(__xludf.DUMMYFUNCTION("FILTER($G$2:$G$445,$H$2:$H$445=D369)"),"Hong Kong Student Association")</f>
        <v>Hong Kong Student Association</v>
      </c>
      <c r="C369" s="60" t="str">
        <f>IFERROR(__xludf.DUMMYFUNCTION("filter($I$1:$I$500, $J$1:$J$500=D369)"),"Cultural")</f>
        <v>Cultural</v>
      </c>
      <c r="D369" s="61">
        <v>1944.0</v>
      </c>
      <c r="F369" s="62">
        <v>200.0</v>
      </c>
      <c r="G369" s="70" t="s">
        <v>105</v>
      </c>
      <c r="H369" s="64">
        <v>1334.0</v>
      </c>
      <c r="I369" s="222" t="s">
        <v>34</v>
      </c>
      <c r="J369" s="66">
        <v>1393.0</v>
      </c>
      <c r="K369" s="66"/>
      <c r="L369" s="67">
        <v>145.0</v>
      </c>
      <c r="M369" s="68">
        <v>0.0</v>
      </c>
    </row>
    <row r="370">
      <c r="A370" s="164">
        <v>44371.0</v>
      </c>
      <c r="B370" s="165" t="str">
        <f>IFERROR(__xludf.DUMMYFUNCTION("FILTER($G$2:$G$445,$H$2:$H$445=D370)"),"Baby Friendly Space Club")</f>
        <v>Baby Friendly Space Club</v>
      </c>
      <c r="C370" s="165" t="str">
        <f>IFERROR(__xludf.DUMMYFUNCTION("filter($I$1:$I$500, $J$1:$J$500=D370)"),"Philanthropic")</f>
        <v>Philanthropic</v>
      </c>
      <c r="D370" s="166">
        <v>1946.0</v>
      </c>
      <c r="F370" s="167">
        <v>130.0</v>
      </c>
      <c r="G370" s="248" t="s">
        <v>294</v>
      </c>
      <c r="H370" s="169">
        <v>746.0</v>
      </c>
      <c r="I370" s="244" t="s">
        <v>13</v>
      </c>
      <c r="J370" s="171">
        <v>96.0</v>
      </c>
      <c r="K370" s="171"/>
      <c r="L370" s="172">
        <v>352.0</v>
      </c>
      <c r="M370" s="173">
        <v>100.0</v>
      </c>
    </row>
    <row r="371">
      <c r="A371" s="146">
        <v>44371.0</v>
      </c>
      <c r="B371" s="147" t="str">
        <f>IFERROR(__xludf.DUMMYFUNCTION("FILTER($G$2:$G$445,$H$2:$H$445=D371)"),"Rutgers Tamash ")</f>
        <v>Rutgers Tamash </v>
      </c>
      <c r="C371" s="147" t="str">
        <f>IFERROR(__xludf.DUMMYFUNCTION("filter($I$1:$I$500, $J$1:$J$500=D371)"),"Performing Arts")</f>
        <v>Performing Arts</v>
      </c>
      <c r="D371" s="148">
        <v>1948.0</v>
      </c>
      <c r="F371" s="163">
        <v>1440.0</v>
      </c>
      <c r="G371" s="161" t="s">
        <v>280</v>
      </c>
      <c r="H371" s="151">
        <v>767.0</v>
      </c>
      <c r="I371" s="238" t="s">
        <v>34</v>
      </c>
      <c r="J371" s="153">
        <v>90.0</v>
      </c>
      <c r="K371" s="153"/>
      <c r="L371" s="154">
        <v>1475.0</v>
      </c>
      <c r="M371" s="156">
        <v>300.0</v>
      </c>
    </row>
    <row r="372">
      <c r="A372" s="146">
        <v>44371.0</v>
      </c>
      <c r="B372" s="147" t="str">
        <f>IFERROR(__xludf.DUMMYFUNCTION("FILTER($G$2:$G$445,$H$2:$H$445=D372)"),"Rutgers Tamash ")</f>
        <v>Rutgers Tamash </v>
      </c>
      <c r="C372" s="147" t="str">
        <f>IFERROR(__xludf.DUMMYFUNCTION("filter($I$1:$I$500, $J$1:$J$500=D372)"),"Performing Arts")</f>
        <v>Performing Arts</v>
      </c>
      <c r="D372" s="148">
        <v>1948.0</v>
      </c>
      <c r="F372" s="149">
        <v>833.0</v>
      </c>
      <c r="G372" s="161" t="s">
        <v>275</v>
      </c>
      <c r="H372" s="151">
        <v>899.0</v>
      </c>
      <c r="I372" s="238" t="s">
        <v>22</v>
      </c>
      <c r="J372" s="153">
        <v>1391.0</v>
      </c>
      <c r="K372" s="153"/>
      <c r="L372" s="154">
        <v>1231.0</v>
      </c>
      <c r="M372" s="156">
        <v>1650.0</v>
      </c>
    </row>
    <row r="373">
      <c r="A373" s="15">
        <v>44371.0</v>
      </c>
      <c r="B373" s="16" t="str">
        <f>IFERROR(__xludf.DUMMYFUNCTION("FILTER($G$2:$G$445,$H$2:$H$445=D373)"),"Transfer Student Association")</f>
        <v>Transfer Student Association</v>
      </c>
      <c r="C373" s="16" t="str">
        <f>IFERROR(__xludf.DUMMYFUNCTION("filter($I$1:$I$500, $J$1:$J$500=D373)")," ")</f>
        <v> </v>
      </c>
      <c r="D373" s="17">
        <v>1950.0</v>
      </c>
      <c r="F373" s="18">
        <v>150.0</v>
      </c>
      <c r="G373" s="250" t="s">
        <v>12</v>
      </c>
      <c r="H373" s="20">
        <v>17.0</v>
      </c>
      <c r="I373" s="229" t="s">
        <v>13</v>
      </c>
      <c r="J373" s="22">
        <v>84.0</v>
      </c>
      <c r="K373" s="22"/>
      <c r="L373" s="23">
        <v>405.0</v>
      </c>
      <c r="M373" s="24">
        <v>1550.0</v>
      </c>
    </row>
    <row r="374">
      <c r="A374" s="164">
        <v>44371.0</v>
      </c>
      <c r="B374" s="165" t="str">
        <f>IFERROR(__xludf.DUMMYFUNCTION("FILTER($G$2:$G$445,$H$2:$H$445=D374)"),"RU Sister2Sister")</f>
        <v>RU Sister2Sister</v>
      </c>
      <c r="C374" s="165" t="str">
        <f>IFERROR(__xludf.DUMMYFUNCTION("filter($I$1:$I$500, $J$1:$J$500=D374)"),"Philanthropic")</f>
        <v>Philanthropic</v>
      </c>
      <c r="D374" s="166">
        <v>1951.0</v>
      </c>
      <c r="F374" s="167">
        <v>6.32</v>
      </c>
      <c r="G374" s="248" t="s">
        <v>288</v>
      </c>
      <c r="H374" s="169">
        <v>745.0</v>
      </c>
      <c r="I374" s="244" t="s">
        <v>13</v>
      </c>
      <c r="J374" s="171">
        <v>75.0</v>
      </c>
      <c r="K374" s="171"/>
      <c r="L374" s="172">
        <v>1822.0</v>
      </c>
      <c r="M374" s="173">
        <v>0.0</v>
      </c>
    </row>
    <row r="375">
      <c r="A375" s="59">
        <v>44371.0</v>
      </c>
      <c r="B375" s="60" t="str">
        <f>IFERROR(__xludf.DUMMYFUNCTION("FILTER($G$2:$G$445,$H$2:$H$445=D375)"),"Albanian Roots")</f>
        <v>Albanian Roots</v>
      </c>
      <c r="C375" s="60" t="str">
        <f>IFERROR(__xludf.DUMMYFUNCTION("filter($I$1:$I$500, $J$1:$J$500=D375)"),"Cultural")</f>
        <v>Cultural</v>
      </c>
      <c r="D375" s="61">
        <v>1958.0</v>
      </c>
      <c r="F375" s="76">
        <v>1100.0</v>
      </c>
      <c r="G375" s="224" t="s">
        <v>151</v>
      </c>
      <c r="H375" s="64">
        <v>26.0</v>
      </c>
      <c r="I375" s="222" t="s">
        <v>15</v>
      </c>
      <c r="J375" s="66">
        <v>74.0</v>
      </c>
      <c r="K375" s="66"/>
      <c r="L375" s="67">
        <v>1444.0</v>
      </c>
      <c r="M375" s="68">
        <v>325.0</v>
      </c>
    </row>
    <row r="376">
      <c r="A376" s="77">
        <v>44371.0</v>
      </c>
      <c r="B376" s="78" t="str">
        <f>IFERROR(__xludf.DUMMYFUNCTION("FILTER($G$2:$G$445,$H$2:$H$445=D376)"),"Hindu YUVA")</f>
        <v>Hindu YUVA</v>
      </c>
      <c r="C376" s="78" t="str">
        <f>IFERROR(__xludf.DUMMYFUNCTION("filter($I$1:$I$500, $J$1:$J$500=D376)"),"Faith-based")</f>
        <v>Faith-based</v>
      </c>
      <c r="D376" s="79">
        <v>1960.0</v>
      </c>
      <c r="F376" s="80">
        <v>8.16</v>
      </c>
      <c r="G376" s="93" t="s">
        <v>171</v>
      </c>
      <c r="H376" s="82">
        <v>1103.0</v>
      </c>
      <c r="I376" s="234" t="s">
        <v>37</v>
      </c>
      <c r="J376" s="84">
        <v>72.0</v>
      </c>
      <c r="K376" s="84"/>
      <c r="L376" s="85">
        <v>407.0</v>
      </c>
      <c r="M376" s="85">
        <v>1200.0</v>
      </c>
    </row>
    <row r="377">
      <c r="A377" s="77">
        <v>44371.0</v>
      </c>
      <c r="B377" s="78" t="str">
        <f>IFERROR(__xludf.DUMMYFUNCTION("FILTER($G$2:$G$445,$H$2:$H$445=D377)"),"Hindu YUVA")</f>
        <v>Hindu YUVA</v>
      </c>
      <c r="C377" s="78" t="str">
        <f>IFERROR(__xludf.DUMMYFUNCTION("filter($I$1:$I$500, $J$1:$J$500=D377)"),"Faith-based")</f>
        <v>Faith-based</v>
      </c>
      <c r="D377" s="79">
        <v>1960.0</v>
      </c>
      <c r="F377" s="80">
        <v>181.11</v>
      </c>
      <c r="G377" s="93" t="s">
        <v>180</v>
      </c>
      <c r="H377" s="82">
        <v>1888.0</v>
      </c>
      <c r="I377" s="234" t="s">
        <v>37</v>
      </c>
      <c r="J377" s="84">
        <v>1387.0</v>
      </c>
      <c r="K377" s="84"/>
      <c r="L377" s="85">
        <v>1042.0</v>
      </c>
      <c r="M377" s="86">
        <v>60.0</v>
      </c>
    </row>
    <row r="378">
      <c r="A378" s="135">
        <v>44371.0</v>
      </c>
      <c r="B378" s="136" t="str">
        <f>IFERROR(__xludf.DUMMYFUNCTION("FILTER($G$2:$G$445,$H$2:$H$445=D378)"),"#N/A")</f>
        <v>#N/A</v>
      </c>
      <c r="C378" s="136" t="str">
        <f>IFERROR(__xludf.DUMMYFUNCTION("filter($I$1:$I$500, $J$1:$J$500=D378)"),"No Category")</f>
        <v>No Category</v>
      </c>
      <c r="D378" s="137">
        <v>1962.0</v>
      </c>
      <c r="F378" s="138">
        <v>364.75</v>
      </c>
      <c r="G378" s="258" t="s">
        <v>243</v>
      </c>
      <c r="H378" s="140">
        <v>443.0</v>
      </c>
      <c r="I378" s="255" t="s">
        <v>17</v>
      </c>
      <c r="J378" s="142">
        <v>1376.0</v>
      </c>
      <c r="K378" s="142"/>
      <c r="L378" s="143">
        <v>1945.0</v>
      </c>
      <c r="M378" s="144">
        <v>0.0</v>
      </c>
    </row>
    <row r="379">
      <c r="A379" s="135">
        <v>44371.0</v>
      </c>
      <c r="B379" s="136" t="str">
        <f>IFERROR(__xludf.DUMMYFUNCTION("FILTER($G$2:$G$445,$H$2:$H$445=D379)"),"Asian Pacific American Medical Student Association")</f>
        <v>Asian Pacific American Medical Student Association</v>
      </c>
      <c r="C379" s="136" t="str">
        <f>IFERROR(__xludf.DUMMYFUNCTION("filter($I$1:$I$500, $J$1:$J$500=D379)"),"No Category")</f>
        <v>No Category</v>
      </c>
      <c r="D379" s="137">
        <v>1972.0</v>
      </c>
      <c r="F379" s="138">
        <v>254.0</v>
      </c>
      <c r="G379" s="254" t="s">
        <v>242</v>
      </c>
      <c r="H379" s="140">
        <v>1439.0</v>
      </c>
      <c r="I379" s="255" t="s">
        <v>37</v>
      </c>
      <c r="J379" s="142">
        <v>1373.0</v>
      </c>
      <c r="K379" s="142"/>
      <c r="L379" s="143">
        <v>496.0</v>
      </c>
      <c r="M379" s="144">
        <v>0.0</v>
      </c>
    </row>
    <row r="380">
      <c r="A380" s="15">
        <v>44371.0</v>
      </c>
      <c r="B380" s="16" t="str">
        <f>IFERROR(__xludf.DUMMYFUNCTION("FILTER($G$2:$G$445,$H$2:$H$445=D380)"),"Society of Latin American Men")</f>
        <v>Society of Latin American Men</v>
      </c>
      <c r="C380" s="16" t="str">
        <f>IFERROR(__xludf.DUMMYFUNCTION("filter($I$1:$I$500, $J$1:$J$500=D380)"),"#N/A")</f>
        <v>#N/A</v>
      </c>
      <c r="D380" s="17">
        <v>1974.0</v>
      </c>
      <c r="F380" s="42">
        <v>1170.83</v>
      </c>
      <c r="G380" s="250" t="s">
        <v>421</v>
      </c>
      <c r="H380" s="20">
        <v>291.0</v>
      </c>
      <c r="I380" s="229" t="s">
        <v>25</v>
      </c>
      <c r="J380" s="22">
        <v>69.0</v>
      </c>
      <c r="K380" s="22"/>
      <c r="L380" s="22"/>
      <c r="M380" s="22"/>
    </row>
    <row r="381">
      <c r="A381" s="15">
        <v>44371.0</v>
      </c>
      <c r="B381" s="16" t="str">
        <f>IFERROR(__xludf.DUMMYFUNCTION("FILTER($G$2:$G$445,$H$2:$H$445=D381)"),"Society of Latin American Men")</f>
        <v>Society of Latin American Men</v>
      </c>
      <c r="C381" s="16" t="str">
        <f>IFERROR(__xludf.DUMMYFUNCTION("filter($I$1:$I$500, $J$1:$J$500=D381)"),"#N/A")</f>
        <v>#N/A</v>
      </c>
      <c r="D381" s="17">
        <v>1974.0</v>
      </c>
      <c r="F381" s="18">
        <v>570.0</v>
      </c>
      <c r="G381" s="250" t="s">
        <v>418</v>
      </c>
      <c r="H381" s="20">
        <v>1125.0</v>
      </c>
      <c r="I381" s="229" t="s">
        <v>13</v>
      </c>
      <c r="J381" s="22">
        <v>1369.0</v>
      </c>
      <c r="K381" s="22"/>
      <c r="L381" s="22"/>
      <c r="M381" s="22"/>
    </row>
    <row r="382">
      <c r="A382" s="15">
        <v>44371.0</v>
      </c>
      <c r="B382" s="16" t="str">
        <f>IFERROR(__xludf.DUMMYFUNCTION("FILTER($G$2:$G$445,$H$2:$H$445=D382)"),"#N/A")</f>
        <v>#N/A</v>
      </c>
      <c r="C382" s="16" t="str">
        <f>IFERROR(__xludf.DUMMYFUNCTION("filter($I$1:$I$500, $J$1:$J$500=D382)"),"#N/A")</f>
        <v>#N/A</v>
      </c>
      <c r="D382" s="17">
        <v>1984.0</v>
      </c>
      <c r="F382" s="18">
        <v>73.95</v>
      </c>
      <c r="G382" s="250" t="s">
        <v>397</v>
      </c>
      <c r="H382" s="20">
        <v>1592.0</v>
      </c>
      <c r="I382" s="229" t="s">
        <v>17</v>
      </c>
      <c r="J382" s="22">
        <v>1357.0</v>
      </c>
      <c r="K382" s="22"/>
      <c r="L382" s="22"/>
      <c r="M382" s="22"/>
    </row>
    <row r="383">
      <c r="A383" s="15">
        <v>44371.0</v>
      </c>
      <c r="B383" s="16" t="str">
        <f>IFERROR(__xludf.DUMMYFUNCTION("FILTER($G$2:$G$445,$H$2:$H$445=D383)"),"#N/A")</f>
        <v>#N/A</v>
      </c>
      <c r="C383" s="16" t="str">
        <f>IFERROR(__xludf.DUMMYFUNCTION("filter($I$1:$I$500, $J$1:$J$500=D383)"),"#N/A")</f>
        <v>#N/A</v>
      </c>
      <c r="D383" s="17">
        <v>1985.0</v>
      </c>
      <c r="F383" s="18">
        <v>20.0</v>
      </c>
      <c r="G383" s="216" t="s">
        <v>394</v>
      </c>
      <c r="H383" s="20">
        <v>1253.0</v>
      </c>
      <c r="I383" s="229" t="s">
        <v>34</v>
      </c>
      <c r="J383" s="22">
        <v>1355.0</v>
      </c>
      <c r="K383" s="22"/>
      <c r="L383" s="22"/>
      <c r="M383" s="22"/>
    </row>
    <row r="384">
      <c r="A384" s="15">
        <v>44371.0</v>
      </c>
      <c r="B384" s="16" t="str">
        <f>IFERROR(__xludf.DUMMYFUNCTION("FILTER($G$2:$G$445,$H$2:$H$445=D384)"),"#N/A")</f>
        <v>#N/A</v>
      </c>
      <c r="C384" s="16" t="str">
        <f>IFERROR(__xludf.DUMMYFUNCTION("filter($I$1:$I$500, $J$1:$J$500=D384)"),"#N/A")</f>
        <v>#N/A</v>
      </c>
      <c r="D384" s="17">
        <v>1986.0</v>
      </c>
      <c r="F384" s="18">
        <v>125.78</v>
      </c>
      <c r="G384" s="216" t="s">
        <v>403</v>
      </c>
      <c r="H384" s="20">
        <v>418.0</v>
      </c>
      <c r="I384" s="229" t="s">
        <v>22</v>
      </c>
      <c r="J384" s="22">
        <v>1347.0</v>
      </c>
      <c r="K384" s="22"/>
      <c r="L384" s="22"/>
      <c r="M384" s="22"/>
    </row>
    <row r="385">
      <c r="A385" s="15">
        <v>44371.0</v>
      </c>
      <c r="B385" s="16" t="str">
        <f>IFERROR(__xludf.DUMMYFUNCTION("FILTER($G$2:$G$445,$H$2:$H$445=D385)"),"#N/A")</f>
        <v>#N/A</v>
      </c>
      <c r="C385" s="16" t="str">
        <f>IFERROR(__xludf.DUMMYFUNCTION("filter($I$1:$I$500, $J$1:$J$500=D385)"),"#N/A")</f>
        <v>#N/A</v>
      </c>
      <c r="D385" s="17">
        <v>1988.0</v>
      </c>
      <c r="F385" s="18">
        <v>300.0</v>
      </c>
      <c r="G385" s="250" t="s">
        <v>416</v>
      </c>
      <c r="H385" s="20">
        <v>1278.0</v>
      </c>
      <c r="I385" s="229" t="s">
        <v>25</v>
      </c>
      <c r="J385" s="22">
        <v>1334.0</v>
      </c>
      <c r="K385" s="22"/>
      <c r="L385" s="22"/>
      <c r="M385" s="22"/>
    </row>
    <row r="386">
      <c r="A386" s="15">
        <v>44371.0</v>
      </c>
      <c r="B386" s="16" t="str">
        <f>IFERROR(__xludf.DUMMYFUNCTION("FILTER($G$2:$G$445,$H$2:$H$445=D386)"),"#N/A")</f>
        <v>#N/A</v>
      </c>
      <c r="C386" s="16" t="str">
        <f>IFERROR(__xludf.DUMMYFUNCTION("filter($I$1:$I$500, $J$1:$J$500=D386)"),"#N/A")</f>
        <v>#N/A</v>
      </c>
      <c r="D386" s="17">
        <v>1989.0</v>
      </c>
      <c r="F386" s="18">
        <v>71.55</v>
      </c>
      <c r="G386" s="216" t="s">
        <v>396</v>
      </c>
      <c r="H386" s="20">
        <v>52.0</v>
      </c>
      <c r="I386" s="229" t="s">
        <v>13</v>
      </c>
      <c r="J386" s="22">
        <v>1328.0</v>
      </c>
      <c r="K386" s="22"/>
      <c r="L386" s="22"/>
      <c r="M386" s="22"/>
    </row>
    <row r="387">
      <c r="A387" s="15">
        <v>44371.0</v>
      </c>
      <c r="B387" s="16" t="str">
        <f>IFERROR(__xludf.DUMMYFUNCTION("FILTER($G$2:$G$445,$H$2:$H$445=D387)"),"#N/A")</f>
        <v>#N/A</v>
      </c>
      <c r="C387" s="16" t="str">
        <f>IFERROR(__xludf.DUMMYFUNCTION("filter($I$1:$I$500, $J$1:$J$500=D387)"),"#N/A")</f>
        <v>#N/A</v>
      </c>
      <c r="D387" s="17">
        <v>1990.0</v>
      </c>
      <c r="F387" s="18">
        <v>205.0</v>
      </c>
      <c r="G387" s="250" t="s">
        <v>410</v>
      </c>
      <c r="H387" s="20">
        <v>196.0</v>
      </c>
      <c r="I387" s="229" t="s">
        <v>17</v>
      </c>
      <c r="J387" s="22">
        <v>66.0</v>
      </c>
      <c r="K387" s="22"/>
      <c r="L387" s="22"/>
      <c r="M387" s="22"/>
    </row>
    <row r="388">
      <c r="A388" s="15">
        <v>44371.0</v>
      </c>
      <c r="B388" s="16" t="str">
        <f>IFERROR(__xludf.DUMMYFUNCTION("FILTER($G$2:$G$445,$H$2:$H$445=D388)"),"#N/A")</f>
        <v>#N/A</v>
      </c>
      <c r="C388" s="16" t="str">
        <f>IFERROR(__xludf.DUMMYFUNCTION("filter($I$1:$I$500, $J$1:$J$500=D388)"),"#N/A")</f>
        <v>#N/A</v>
      </c>
      <c r="D388" s="17">
        <v>1990.0</v>
      </c>
      <c r="F388" s="18">
        <v>85.0</v>
      </c>
      <c r="G388" s="216" t="s">
        <v>400</v>
      </c>
      <c r="H388" s="20">
        <v>568.0</v>
      </c>
      <c r="I388" s="229" t="s">
        <v>37</v>
      </c>
      <c r="J388" s="22">
        <v>1324.0</v>
      </c>
      <c r="K388" s="22"/>
      <c r="L388" s="22"/>
      <c r="M388" s="22"/>
    </row>
    <row r="389">
      <c r="A389" s="15">
        <v>44371.0</v>
      </c>
      <c r="B389" s="16" t="str">
        <f>IFERROR(__xludf.DUMMYFUNCTION("FILTER($G$2:$G$445,$H$2:$H$445=D389)"),"#N/A")</f>
        <v>#N/A</v>
      </c>
      <c r="C389" s="16" t="str">
        <f>IFERROR(__xludf.DUMMYFUNCTION("filter($I$1:$I$500, $J$1:$J$500=D389)"),"#N/A")</f>
        <v>#N/A</v>
      </c>
      <c r="D389" s="17">
        <v>1991.0</v>
      </c>
      <c r="F389" s="18">
        <v>300.0</v>
      </c>
      <c r="G389" s="216" t="s">
        <v>413</v>
      </c>
      <c r="H389" s="20">
        <v>748.0</v>
      </c>
      <c r="I389" s="229" t="s">
        <v>15</v>
      </c>
      <c r="J389" s="22">
        <v>63.0</v>
      </c>
      <c r="K389" s="22"/>
      <c r="L389" s="22"/>
      <c r="M389" s="22"/>
    </row>
    <row r="390">
      <c r="A390" s="15">
        <v>44371.0</v>
      </c>
      <c r="B390" s="16" t="str">
        <f>IFERROR(__xludf.DUMMYFUNCTION("FILTER($G$2:$G$445,$H$2:$H$445=D390)"),"#N/A")</f>
        <v>#N/A</v>
      </c>
      <c r="C390" s="16" t="str">
        <f>IFERROR(__xludf.DUMMYFUNCTION("filter($I$1:$I$500, $J$1:$J$500=D390)"),"#N/A")</f>
        <v>#N/A</v>
      </c>
      <c r="D390" s="17">
        <v>1992.0</v>
      </c>
      <c r="F390" s="18">
        <v>200.0</v>
      </c>
      <c r="G390" s="250" t="s">
        <v>408</v>
      </c>
      <c r="H390" s="20">
        <v>1759.0</v>
      </c>
      <c r="I390" s="229" t="s">
        <v>27</v>
      </c>
      <c r="J390" s="22">
        <v>1320.0</v>
      </c>
      <c r="K390" s="22"/>
      <c r="L390" s="22"/>
      <c r="M390" s="22"/>
    </row>
    <row r="391">
      <c r="A391" s="15">
        <v>44371.0</v>
      </c>
      <c r="B391" s="16" t="str">
        <f>IFERROR(__xludf.DUMMYFUNCTION("FILTER($G$2:$G$445,$H$2:$H$445=D391)"),"#N/A")</f>
        <v>#N/A</v>
      </c>
      <c r="C391" s="16" t="str">
        <f>IFERROR(__xludf.DUMMYFUNCTION("filter($I$1:$I$500, $J$1:$J$500=D391)"),"#N/A")</f>
        <v>#N/A</v>
      </c>
      <c r="D391" s="17">
        <v>1993.0</v>
      </c>
      <c r="F391" s="18">
        <v>150.0</v>
      </c>
      <c r="G391" s="216" t="s">
        <v>406</v>
      </c>
      <c r="H391" s="20">
        <v>1817.0</v>
      </c>
      <c r="I391" s="229" t="s">
        <v>30</v>
      </c>
      <c r="J391" s="22">
        <v>1318.0</v>
      </c>
      <c r="K391" s="22"/>
      <c r="L391" s="22"/>
      <c r="M391" s="22"/>
    </row>
    <row r="392">
      <c r="A392" s="15">
        <v>44371.0</v>
      </c>
      <c r="B392" s="16" t="str">
        <f>IFERROR(__xludf.DUMMYFUNCTION("FILTER($G$2:$G$445,$H$2:$H$445=D392)"),"#N/A")</f>
        <v>#N/A</v>
      </c>
      <c r="C392" s="16" t="str">
        <f>IFERROR(__xludf.DUMMYFUNCTION("filter($I$1:$I$500, $J$1:$J$500=D392)"),"#N/A")</f>
        <v>#N/A</v>
      </c>
      <c r="D392" s="17">
        <v>1994.0</v>
      </c>
      <c r="F392" s="18">
        <v>255.0</v>
      </c>
      <c r="G392" s="216" t="s">
        <v>412</v>
      </c>
      <c r="H392" s="20">
        <v>1492.0</v>
      </c>
      <c r="I392" s="229" t="s">
        <v>13</v>
      </c>
      <c r="J392" s="22">
        <v>1312.0</v>
      </c>
      <c r="K392" s="22"/>
      <c r="L392" s="22"/>
      <c r="M392" s="22"/>
    </row>
    <row r="393">
      <c r="A393" s="15">
        <v>44371.0</v>
      </c>
      <c r="B393" s="16" t="str">
        <f>IFERROR(__xludf.DUMMYFUNCTION("FILTER($G$2:$G$445,$H$2:$H$445=D393)"),"#N/A")</f>
        <v>#N/A</v>
      </c>
      <c r="C393" s="16" t="str">
        <f>IFERROR(__xludf.DUMMYFUNCTION("filter($I$1:$I$500, $J$1:$J$500=D393)"),"#N/A")</f>
        <v>#N/A</v>
      </c>
      <c r="D393" s="17">
        <v>1995.0</v>
      </c>
      <c r="F393" s="18">
        <v>300.0</v>
      </c>
      <c r="G393" s="216" t="s">
        <v>415</v>
      </c>
      <c r="H393" s="20">
        <v>765.0</v>
      </c>
      <c r="I393" s="229" t="s">
        <v>17</v>
      </c>
      <c r="J393" s="22">
        <v>1306.0</v>
      </c>
      <c r="K393" s="22"/>
      <c r="L393" s="22"/>
      <c r="M393" s="22"/>
    </row>
    <row r="394">
      <c r="A394" s="15">
        <v>44371.0</v>
      </c>
      <c r="B394" s="16" t="str">
        <f>IFERROR(__xludf.DUMMYFUNCTION("FILTER($G$2:$G$445,$H$2:$H$445=D394)"),"#N/A")</f>
        <v>#N/A</v>
      </c>
      <c r="C394" s="16" t="str">
        <f>IFERROR(__xludf.DUMMYFUNCTION("filter($I$1:$I$500, $J$1:$J$500=D394)"),"#N/A")</f>
        <v>#N/A</v>
      </c>
      <c r="D394" s="17">
        <v>1996.0</v>
      </c>
      <c r="F394" s="18">
        <v>250.0</v>
      </c>
      <c r="G394" s="216" t="s">
        <v>411</v>
      </c>
      <c r="H394" s="20">
        <v>1132.0</v>
      </c>
      <c r="I394" s="229" t="s">
        <v>15</v>
      </c>
      <c r="J394" s="22">
        <v>62.0</v>
      </c>
      <c r="K394" s="22"/>
      <c r="L394" s="22"/>
      <c r="M394" s="22"/>
    </row>
    <row r="395">
      <c r="A395" s="15">
        <v>44371.0</v>
      </c>
      <c r="B395" s="16" t="str">
        <f>IFERROR(__xludf.DUMMYFUNCTION("FILTER($G$2:$G$445,$H$2:$H$445=D395)"),"#N/A")</f>
        <v>#N/A</v>
      </c>
      <c r="C395" s="16" t="str">
        <f>IFERROR(__xludf.DUMMYFUNCTION("filter($I$1:$I$500, $J$1:$J$500=D395)"),"#N/A")</f>
        <v>#N/A</v>
      </c>
      <c r="D395" s="17">
        <v>1997.0</v>
      </c>
      <c r="F395" s="18">
        <v>150.0</v>
      </c>
      <c r="G395" s="216" t="s">
        <v>404</v>
      </c>
      <c r="H395" s="20">
        <v>769.0</v>
      </c>
      <c r="I395" s="250" t="s">
        <v>15</v>
      </c>
      <c r="J395" s="22">
        <v>58.0</v>
      </c>
      <c r="K395" s="22"/>
      <c r="L395" s="22"/>
      <c r="M395" s="22"/>
    </row>
    <row r="396">
      <c r="A396" s="15">
        <v>44371.0</v>
      </c>
      <c r="B396" s="16" t="str">
        <f>IFERROR(__xludf.DUMMYFUNCTION("FILTER($G$2:$G$445,$H$2:$H$445=D396)"),"#N/A")</f>
        <v>#N/A</v>
      </c>
      <c r="C396" s="16" t="str">
        <f>IFERROR(__xludf.DUMMYFUNCTION("filter($I$1:$I$500, $J$1:$J$500=D396)"),"#N/A")</f>
        <v>#N/A</v>
      </c>
      <c r="D396" s="17">
        <v>1997.0</v>
      </c>
      <c r="F396" s="18">
        <v>150.0</v>
      </c>
      <c r="G396" s="250" t="s">
        <v>405</v>
      </c>
      <c r="H396" s="20">
        <v>53.0</v>
      </c>
      <c r="I396" s="229" t="s">
        <v>15</v>
      </c>
      <c r="J396" s="22">
        <v>1294.0</v>
      </c>
      <c r="K396" s="22"/>
      <c r="L396" s="22"/>
      <c r="M396" s="22"/>
    </row>
    <row r="397" ht="12.0" customHeight="1">
      <c r="C397" s="212"/>
      <c r="D397" s="212"/>
      <c r="E397" s="212"/>
      <c r="F397" s="213">
        <f>SUM(F2:F396)</f>
        <v>575103.75</v>
      </c>
      <c r="G397" s="216" t="s">
        <v>425</v>
      </c>
      <c r="H397" s="20">
        <v>1967.0</v>
      </c>
    </row>
    <row r="398" ht="15.75" customHeight="1">
      <c r="C398" s="212"/>
      <c r="D398" s="212"/>
      <c r="E398" s="212"/>
      <c r="G398" s="216" t="s">
        <v>426</v>
      </c>
      <c r="H398" s="20">
        <v>1975.0</v>
      </c>
    </row>
    <row r="399" ht="15.75" customHeight="1">
      <c r="C399" s="212"/>
      <c r="D399" s="212"/>
      <c r="E399" s="212"/>
      <c r="G399" s="216" t="s">
        <v>427</v>
      </c>
      <c r="H399" s="20">
        <v>1763.0</v>
      </c>
    </row>
    <row r="400" ht="15.75" customHeight="1">
      <c r="C400" s="212"/>
      <c r="D400" s="212"/>
      <c r="E400" s="212"/>
      <c r="G400" s="216" t="s">
        <v>428</v>
      </c>
      <c r="H400" s="20">
        <v>782.0</v>
      </c>
    </row>
    <row r="401" ht="15.75" customHeight="1">
      <c r="C401" s="212"/>
      <c r="D401" s="212"/>
      <c r="E401" s="212"/>
      <c r="G401" s="216" t="s">
        <v>429</v>
      </c>
      <c r="H401" s="20">
        <v>1425.0</v>
      </c>
    </row>
    <row r="402" ht="15.75" customHeight="1">
      <c r="C402" s="212"/>
      <c r="D402" s="212"/>
      <c r="E402" s="212"/>
      <c r="G402" s="216" t="s">
        <v>430</v>
      </c>
      <c r="H402" s="216" t="s">
        <v>99</v>
      </c>
    </row>
    <row r="403" ht="15.75" customHeight="1">
      <c r="C403" s="212"/>
      <c r="D403" s="212"/>
      <c r="E403" s="212"/>
      <c r="G403" s="216" t="s">
        <v>431</v>
      </c>
      <c r="H403" s="20">
        <v>1239.0</v>
      </c>
    </row>
    <row r="404" ht="15.75" customHeight="1">
      <c r="C404" s="212"/>
      <c r="D404" s="212"/>
      <c r="E404" s="212"/>
      <c r="G404" s="216" t="s">
        <v>432</v>
      </c>
      <c r="H404" s="20">
        <v>1000.0</v>
      </c>
    </row>
    <row r="405" ht="15.75" customHeight="1">
      <c r="C405" s="212"/>
      <c r="D405" s="212"/>
      <c r="E405" s="212"/>
      <c r="G405" s="250" t="s">
        <v>433</v>
      </c>
      <c r="H405" s="20">
        <v>346.0</v>
      </c>
    </row>
    <row r="406" ht="15.75" customHeight="1">
      <c r="C406" s="212"/>
      <c r="D406" s="212"/>
      <c r="E406" s="212"/>
      <c r="G406" s="250" t="s">
        <v>434</v>
      </c>
      <c r="H406" s="20">
        <v>74.0</v>
      </c>
    </row>
    <row r="407" ht="15.75" customHeight="1">
      <c r="C407" s="212"/>
      <c r="D407" s="212"/>
      <c r="E407" s="212"/>
      <c r="G407" s="216" t="s">
        <v>435</v>
      </c>
      <c r="H407" s="20">
        <v>348.0</v>
      </c>
    </row>
    <row r="408" ht="15.75" customHeight="1">
      <c r="C408" s="212"/>
      <c r="D408" s="212"/>
      <c r="E408" s="212"/>
      <c r="G408" s="216" t="s">
        <v>436</v>
      </c>
      <c r="H408" s="20">
        <v>391.0</v>
      </c>
    </row>
    <row r="409" ht="15.75" customHeight="1">
      <c r="C409" s="212"/>
      <c r="D409" s="212"/>
      <c r="E409" s="212"/>
      <c r="G409" s="216" t="s">
        <v>437</v>
      </c>
      <c r="H409" s="20">
        <v>1008.0</v>
      </c>
    </row>
    <row r="410" ht="15.75" customHeight="1">
      <c r="C410" s="212"/>
      <c r="D410" s="212"/>
      <c r="E410" s="212"/>
      <c r="G410" s="250" t="s">
        <v>438</v>
      </c>
      <c r="H410" s="20">
        <v>1256.0</v>
      </c>
    </row>
    <row r="411" ht="15.75" customHeight="1">
      <c r="C411" s="212"/>
      <c r="D411" s="212"/>
      <c r="E411" s="212"/>
      <c r="G411" s="216" t="s">
        <v>439</v>
      </c>
      <c r="H411" s="20">
        <v>821.0</v>
      </c>
    </row>
    <row r="412" ht="15.75" customHeight="1">
      <c r="C412" s="212"/>
      <c r="D412" s="212"/>
      <c r="E412" s="212"/>
      <c r="G412" s="250" t="s">
        <v>440</v>
      </c>
      <c r="H412" s="20">
        <v>352.0</v>
      </c>
    </row>
    <row r="413" ht="15.75" customHeight="1">
      <c r="C413" s="212"/>
      <c r="D413" s="212"/>
      <c r="E413" s="212"/>
      <c r="G413" s="216" t="s">
        <v>441</v>
      </c>
      <c r="H413" s="20">
        <v>1754.0</v>
      </c>
    </row>
    <row r="414" ht="15.75" customHeight="1">
      <c r="C414" s="212"/>
      <c r="D414" s="212"/>
      <c r="E414" s="212"/>
      <c r="G414" s="216" t="s">
        <v>442</v>
      </c>
      <c r="H414" s="20">
        <v>628.0</v>
      </c>
    </row>
    <row r="415" ht="15.75" customHeight="1">
      <c r="C415" s="212"/>
      <c r="D415" s="212"/>
      <c r="E415" s="212"/>
      <c r="G415" s="216" t="s">
        <v>443</v>
      </c>
      <c r="H415" s="20">
        <v>468.0</v>
      </c>
    </row>
    <row r="416" ht="15.75" customHeight="1">
      <c r="C416" s="212"/>
      <c r="D416" s="212"/>
      <c r="E416" s="212"/>
      <c r="G416" s="216" t="s">
        <v>444</v>
      </c>
      <c r="H416" s="20">
        <v>1318.0</v>
      </c>
    </row>
    <row r="417" ht="15.75" customHeight="1">
      <c r="C417" s="212"/>
      <c r="D417" s="212"/>
      <c r="E417" s="212"/>
      <c r="G417" s="216" t="s">
        <v>445</v>
      </c>
      <c r="H417" s="20">
        <v>653.0</v>
      </c>
    </row>
    <row r="418" ht="15.75" customHeight="1">
      <c r="C418" s="212"/>
      <c r="D418" s="212"/>
      <c r="E418" s="212"/>
      <c r="G418" s="216" t="s">
        <v>446</v>
      </c>
      <c r="H418" s="20">
        <v>1091.0</v>
      </c>
    </row>
    <row r="419" ht="15.75" customHeight="1">
      <c r="C419" s="212"/>
      <c r="D419" s="212"/>
      <c r="E419" s="212"/>
      <c r="G419" s="216" t="s">
        <v>447</v>
      </c>
      <c r="H419" s="20">
        <v>1044.0</v>
      </c>
    </row>
    <row r="420" ht="15.75" customHeight="1">
      <c r="C420" s="212"/>
      <c r="D420" s="212"/>
      <c r="E420" s="212"/>
      <c r="G420" s="216" t="s">
        <v>448</v>
      </c>
      <c r="H420" s="20">
        <v>1470.0</v>
      </c>
    </row>
    <row r="421" ht="15.75" customHeight="1">
      <c r="C421" s="212"/>
      <c r="D421" s="212"/>
      <c r="E421" s="212"/>
      <c r="G421" s="216" t="s">
        <v>449</v>
      </c>
      <c r="H421" s="20">
        <v>256.0</v>
      </c>
    </row>
    <row r="422" ht="15.75" customHeight="1">
      <c r="C422" s="212"/>
      <c r="D422" s="212"/>
      <c r="E422" s="212"/>
      <c r="G422" s="216" t="s">
        <v>450</v>
      </c>
      <c r="H422" s="20">
        <v>1800.0</v>
      </c>
    </row>
    <row r="423" ht="15.75" customHeight="1">
      <c r="C423" s="212"/>
      <c r="D423" s="212"/>
      <c r="E423" s="212"/>
      <c r="G423" s="216" t="s">
        <v>451</v>
      </c>
      <c r="H423" s="20">
        <v>779.0</v>
      </c>
    </row>
    <row r="424" ht="15.75" customHeight="1">
      <c r="C424" s="212"/>
      <c r="D424" s="212"/>
      <c r="E424" s="212"/>
      <c r="G424" s="216" t="s">
        <v>452</v>
      </c>
      <c r="H424" s="20">
        <v>353.0</v>
      </c>
    </row>
    <row r="425" ht="15.75" customHeight="1">
      <c r="C425" s="212"/>
      <c r="D425" s="212"/>
      <c r="E425" s="212"/>
      <c r="G425" s="216" t="s">
        <v>453</v>
      </c>
      <c r="H425" s="20">
        <v>1157.0</v>
      </c>
    </row>
    <row r="426" ht="15.75" customHeight="1">
      <c r="C426" s="212"/>
      <c r="D426" s="212"/>
      <c r="E426" s="212"/>
      <c r="G426" s="250" t="s">
        <v>454</v>
      </c>
      <c r="H426" s="20">
        <v>481.0</v>
      </c>
    </row>
    <row r="427" ht="15.75" customHeight="1">
      <c r="C427" s="212"/>
      <c r="D427" s="212"/>
      <c r="E427" s="212"/>
      <c r="G427" s="216" t="s">
        <v>455</v>
      </c>
      <c r="H427" s="20">
        <v>1193.0</v>
      </c>
    </row>
    <row r="428" ht="15.75" customHeight="1">
      <c r="C428" s="212"/>
      <c r="D428" s="212"/>
      <c r="E428" s="212"/>
      <c r="G428" s="216" t="s">
        <v>456</v>
      </c>
      <c r="H428" s="20">
        <v>357.0</v>
      </c>
    </row>
    <row r="429" ht="15.75" customHeight="1">
      <c r="C429" s="212"/>
      <c r="D429" s="212"/>
      <c r="E429" s="212"/>
      <c r="G429" s="216" t="s">
        <v>457</v>
      </c>
      <c r="H429" s="20">
        <v>1886.0</v>
      </c>
    </row>
    <row r="430" ht="15.75" customHeight="1">
      <c r="C430" s="212"/>
      <c r="D430" s="212"/>
      <c r="E430" s="212"/>
      <c r="G430" s="216" t="s">
        <v>458</v>
      </c>
      <c r="H430" s="20">
        <v>209.0</v>
      </c>
    </row>
    <row r="431" ht="15.75" customHeight="1">
      <c r="C431" s="212"/>
      <c r="D431" s="212"/>
      <c r="E431" s="212"/>
      <c r="G431" s="216" t="s">
        <v>459</v>
      </c>
      <c r="H431" s="20">
        <v>1578.0</v>
      </c>
    </row>
    <row r="432" ht="15.75" customHeight="1">
      <c r="C432" s="212"/>
      <c r="D432" s="212"/>
      <c r="E432" s="212"/>
      <c r="G432" s="216" t="s">
        <v>460</v>
      </c>
      <c r="H432" s="20">
        <v>1792.0</v>
      </c>
    </row>
    <row r="433" ht="15.75" customHeight="1">
      <c r="C433" s="212"/>
      <c r="D433" s="212"/>
      <c r="E433" s="212"/>
      <c r="G433" s="216" t="s">
        <v>461</v>
      </c>
      <c r="H433" s="20">
        <v>1084.0</v>
      </c>
    </row>
    <row r="434" ht="15.75" customHeight="1">
      <c r="C434" s="212"/>
      <c r="D434" s="212"/>
      <c r="E434" s="212"/>
      <c r="G434" s="216" t="s">
        <v>462</v>
      </c>
      <c r="H434" s="20">
        <v>1416.0</v>
      </c>
    </row>
    <row r="435" ht="15.75" customHeight="1">
      <c r="C435" s="212"/>
      <c r="D435" s="212"/>
      <c r="E435" s="212"/>
      <c r="G435" s="216" t="s">
        <v>463</v>
      </c>
      <c r="H435" s="20">
        <v>737.0</v>
      </c>
    </row>
    <row r="436" ht="15.75" customHeight="1">
      <c r="C436" s="212"/>
      <c r="D436" s="212"/>
      <c r="E436" s="212"/>
      <c r="G436" s="216" t="s">
        <v>464</v>
      </c>
      <c r="H436" s="20">
        <v>741.0</v>
      </c>
    </row>
    <row r="437" ht="15.75" customHeight="1">
      <c r="C437" s="212"/>
      <c r="D437" s="212"/>
      <c r="E437" s="212"/>
      <c r="G437" s="216" t="s">
        <v>465</v>
      </c>
      <c r="H437" s="20">
        <v>359.0</v>
      </c>
    </row>
    <row r="438" ht="15.75" customHeight="1">
      <c r="C438" s="212"/>
      <c r="D438" s="212"/>
      <c r="E438" s="212"/>
      <c r="G438" s="259" t="s">
        <v>466</v>
      </c>
      <c r="H438" s="218">
        <v>1191.0</v>
      </c>
    </row>
    <row r="439" ht="15.75" customHeight="1">
      <c r="C439" s="212"/>
      <c r="D439" s="212"/>
      <c r="E439" s="212"/>
      <c r="G439" s="259" t="s">
        <v>467</v>
      </c>
      <c r="H439" s="218">
        <v>1774.0</v>
      </c>
    </row>
    <row r="440" ht="15.75" customHeight="1">
      <c r="C440" s="212"/>
      <c r="D440" s="212"/>
      <c r="E440" s="212"/>
      <c r="G440" s="259" t="s">
        <v>468</v>
      </c>
      <c r="H440" s="218">
        <v>1530.0</v>
      </c>
    </row>
    <row r="441" ht="15.75" customHeight="1">
      <c r="C441" s="212"/>
      <c r="D441" s="212"/>
      <c r="E441" s="212"/>
      <c r="G441" s="229" t="s">
        <v>469</v>
      </c>
      <c r="H441" s="22">
        <v>1444.0</v>
      </c>
    </row>
    <row r="442" ht="15.75" customHeight="1">
      <c r="C442" s="212"/>
      <c r="D442" s="212"/>
      <c r="E442" s="212"/>
    </row>
    <row r="443" ht="15.75" customHeight="1">
      <c r="C443" s="212"/>
      <c r="D443" s="212"/>
      <c r="E443" s="212"/>
    </row>
    <row r="444" ht="15.75" customHeight="1">
      <c r="C444" s="212"/>
      <c r="D444" s="212"/>
      <c r="E444" s="212"/>
    </row>
    <row r="445" ht="15.75" customHeight="1">
      <c r="C445" s="212"/>
      <c r="D445" s="212"/>
      <c r="E445" s="212"/>
    </row>
    <row r="446" ht="15.75" customHeight="1">
      <c r="C446" s="212"/>
      <c r="D446" s="212"/>
      <c r="E446" s="212"/>
    </row>
    <row r="447" ht="15.75" customHeight="1">
      <c r="C447" s="212"/>
      <c r="D447" s="212"/>
      <c r="E447" s="212"/>
    </row>
    <row r="448" ht="15.75" customHeight="1">
      <c r="C448" s="212"/>
      <c r="D448" s="212"/>
      <c r="E448" s="212"/>
    </row>
    <row r="449" ht="15.75" customHeight="1">
      <c r="C449" s="212"/>
      <c r="D449" s="212"/>
      <c r="E449" s="212"/>
    </row>
    <row r="450" ht="15.75" customHeight="1">
      <c r="C450" s="212"/>
      <c r="D450" s="212"/>
      <c r="E450" s="212"/>
    </row>
    <row r="451" ht="15.75" customHeight="1">
      <c r="C451" s="212"/>
      <c r="D451" s="212"/>
      <c r="E451" s="212"/>
    </row>
    <row r="452" ht="15.75" customHeight="1">
      <c r="C452" s="212"/>
      <c r="D452" s="212"/>
      <c r="E452" s="212"/>
    </row>
    <row r="453" ht="15.75" customHeight="1">
      <c r="C453" s="212"/>
      <c r="D453" s="212"/>
      <c r="E453" s="212"/>
    </row>
    <row r="454" ht="15.75" customHeight="1">
      <c r="C454" s="212"/>
      <c r="D454" s="212"/>
      <c r="E454" s="212"/>
    </row>
    <row r="455" ht="15.75" customHeight="1">
      <c r="C455" s="212"/>
      <c r="D455" s="212"/>
      <c r="E455" s="212"/>
    </row>
    <row r="456" ht="15.75" customHeight="1">
      <c r="C456" s="212"/>
      <c r="D456" s="212"/>
      <c r="E456" s="212"/>
    </row>
    <row r="457" ht="15.75" customHeight="1">
      <c r="C457" s="212"/>
      <c r="D457" s="212"/>
      <c r="E457" s="212"/>
    </row>
    <row r="458" ht="15.75" customHeight="1">
      <c r="C458" s="212"/>
      <c r="D458" s="212"/>
      <c r="E458" s="212"/>
    </row>
    <row r="459" ht="15.75" customHeight="1">
      <c r="C459" s="212"/>
      <c r="D459" s="212"/>
      <c r="E459" s="212"/>
    </row>
    <row r="460" ht="15.75" customHeight="1">
      <c r="C460" s="212"/>
      <c r="D460" s="212"/>
      <c r="E460" s="212"/>
    </row>
    <row r="461" ht="15.75" customHeight="1">
      <c r="C461" s="212"/>
      <c r="D461" s="212"/>
      <c r="E461" s="212"/>
    </row>
    <row r="462" ht="15.75" customHeight="1">
      <c r="C462" s="212"/>
      <c r="D462" s="212"/>
      <c r="E462" s="212"/>
    </row>
    <row r="463" ht="15.75" customHeight="1">
      <c r="C463" s="212"/>
      <c r="D463" s="212"/>
      <c r="E463" s="212"/>
    </row>
    <row r="464" ht="15.75" customHeight="1">
      <c r="C464" s="212"/>
      <c r="D464" s="212"/>
      <c r="E464" s="212"/>
    </row>
    <row r="465" ht="15.75" customHeight="1">
      <c r="C465" s="212"/>
      <c r="D465" s="212"/>
      <c r="E465" s="212"/>
    </row>
    <row r="466" ht="15.75" customHeight="1">
      <c r="C466" s="212"/>
      <c r="D466" s="212"/>
      <c r="E466" s="212"/>
    </row>
    <row r="467" ht="15.75" customHeight="1">
      <c r="C467" s="212"/>
      <c r="D467" s="212"/>
      <c r="E467" s="212"/>
    </row>
    <row r="468" ht="15.75" customHeight="1">
      <c r="C468" s="212"/>
      <c r="D468" s="212"/>
      <c r="E468" s="212"/>
    </row>
    <row r="469" ht="15.75" customHeight="1">
      <c r="C469" s="212"/>
      <c r="D469" s="212"/>
      <c r="E469" s="212"/>
    </row>
    <row r="470" ht="15.75" customHeight="1">
      <c r="C470" s="212"/>
      <c r="D470" s="212"/>
      <c r="E470" s="212"/>
    </row>
    <row r="471" ht="15.75" customHeight="1">
      <c r="C471" s="212"/>
      <c r="D471" s="212"/>
      <c r="E471" s="212"/>
    </row>
    <row r="472" ht="15.75" customHeight="1">
      <c r="C472" s="212"/>
      <c r="D472" s="212"/>
      <c r="E472" s="212"/>
    </row>
    <row r="473" ht="15.75" customHeight="1">
      <c r="C473" s="212"/>
      <c r="D473" s="212"/>
      <c r="E473" s="212"/>
    </row>
    <row r="474" ht="15.75" customHeight="1">
      <c r="C474" s="212"/>
      <c r="D474" s="212"/>
      <c r="E474" s="212"/>
    </row>
    <row r="475" ht="15.75" customHeight="1">
      <c r="C475" s="212"/>
      <c r="D475" s="212"/>
      <c r="E475" s="212"/>
    </row>
    <row r="476" ht="15.75" customHeight="1">
      <c r="C476" s="212"/>
      <c r="D476" s="212"/>
      <c r="E476" s="212"/>
    </row>
    <row r="477" ht="15.75" customHeight="1">
      <c r="C477" s="212"/>
      <c r="D477" s="212"/>
      <c r="E477" s="212"/>
    </row>
    <row r="478" ht="15.75" customHeight="1">
      <c r="C478" s="212"/>
      <c r="D478" s="212"/>
      <c r="E478" s="212"/>
    </row>
    <row r="479" ht="15.75" customHeight="1">
      <c r="C479" s="212"/>
      <c r="D479" s="212"/>
      <c r="E479" s="212"/>
    </row>
    <row r="480" ht="15.75" customHeight="1">
      <c r="C480" s="212"/>
      <c r="D480" s="212"/>
      <c r="E480" s="212"/>
    </row>
    <row r="481" ht="15.75" customHeight="1">
      <c r="C481" s="212"/>
      <c r="D481" s="212"/>
      <c r="E481" s="212"/>
    </row>
    <row r="482" ht="15.75" customHeight="1">
      <c r="C482" s="212"/>
      <c r="D482" s="212"/>
      <c r="E482" s="212"/>
    </row>
    <row r="483" ht="15.75" customHeight="1">
      <c r="C483" s="212"/>
      <c r="D483" s="212"/>
      <c r="E483" s="212"/>
    </row>
    <row r="484" ht="15.75" customHeight="1">
      <c r="C484" s="212"/>
      <c r="D484" s="212"/>
      <c r="E484" s="212"/>
    </row>
    <row r="485" ht="15.75" customHeight="1">
      <c r="C485" s="212"/>
      <c r="D485" s="212"/>
      <c r="E485" s="212"/>
    </row>
    <row r="486" ht="15.75" customHeight="1">
      <c r="C486" s="212"/>
      <c r="D486" s="212"/>
      <c r="E486" s="212"/>
    </row>
    <row r="487" ht="15.75" customHeight="1">
      <c r="C487" s="212"/>
      <c r="D487" s="212"/>
      <c r="E487" s="212"/>
    </row>
    <row r="488" ht="15.75" customHeight="1">
      <c r="C488" s="212"/>
      <c r="D488" s="212"/>
      <c r="E488" s="212"/>
    </row>
    <row r="489" ht="15.75" customHeight="1">
      <c r="C489" s="212"/>
      <c r="D489" s="212"/>
      <c r="E489" s="212"/>
    </row>
    <row r="490" ht="15.75" customHeight="1">
      <c r="C490" s="212"/>
      <c r="D490" s="212"/>
      <c r="E490" s="212"/>
    </row>
    <row r="491" ht="15.75" customHeight="1">
      <c r="C491" s="212"/>
      <c r="D491" s="212"/>
      <c r="E491" s="212"/>
    </row>
    <row r="492" ht="15.75" customHeight="1">
      <c r="C492" s="212"/>
      <c r="D492" s="212"/>
      <c r="E492" s="212"/>
    </row>
    <row r="493" ht="15.75" customHeight="1">
      <c r="C493" s="212"/>
      <c r="D493" s="212"/>
      <c r="E493" s="212"/>
    </row>
    <row r="494" ht="15.75" customHeight="1">
      <c r="C494" s="212"/>
      <c r="D494" s="212"/>
      <c r="E494" s="212"/>
    </row>
    <row r="495" ht="15.75" customHeight="1">
      <c r="C495" s="212"/>
      <c r="D495" s="212"/>
      <c r="E495" s="212"/>
    </row>
    <row r="496" ht="15.75" customHeight="1">
      <c r="C496" s="212"/>
      <c r="D496" s="212"/>
      <c r="E496" s="212"/>
    </row>
    <row r="497" ht="15.75" customHeight="1">
      <c r="C497" s="212"/>
      <c r="D497" s="212"/>
      <c r="E497" s="212"/>
    </row>
    <row r="498" ht="15.75" customHeight="1">
      <c r="C498" s="212"/>
      <c r="D498" s="212"/>
      <c r="E498" s="212"/>
    </row>
    <row r="499" ht="15.75" customHeight="1">
      <c r="C499" s="212"/>
      <c r="D499" s="212"/>
      <c r="E499" s="212"/>
    </row>
    <row r="500" ht="15.75" customHeight="1">
      <c r="C500" s="212"/>
      <c r="D500" s="212"/>
      <c r="E500" s="212"/>
    </row>
    <row r="501" ht="15.75" customHeight="1">
      <c r="C501" s="212"/>
      <c r="D501" s="212"/>
      <c r="E501" s="212"/>
    </row>
    <row r="502" ht="15.75" customHeight="1">
      <c r="C502" s="212"/>
      <c r="D502" s="212"/>
      <c r="E502" s="212"/>
    </row>
    <row r="503" ht="15.75" customHeight="1">
      <c r="C503" s="212"/>
      <c r="D503" s="212"/>
      <c r="E503" s="212"/>
    </row>
    <row r="504" ht="15.75" customHeight="1">
      <c r="C504" s="212"/>
      <c r="D504" s="212"/>
      <c r="E504" s="212"/>
    </row>
    <row r="505" ht="15.75" customHeight="1">
      <c r="C505" s="212"/>
      <c r="D505" s="212"/>
      <c r="E505" s="212"/>
    </row>
    <row r="506" ht="15.75" customHeight="1">
      <c r="C506" s="212"/>
      <c r="D506" s="212"/>
      <c r="E506" s="212"/>
    </row>
    <row r="507" ht="15.75" customHeight="1">
      <c r="C507" s="212"/>
      <c r="D507" s="212"/>
      <c r="E507" s="212"/>
    </row>
    <row r="508" ht="15.75" customHeight="1">
      <c r="C508" s="212"/>
      <c r="D508" s="212"/>
      <c r="E508" s="212"/>
    </row>
    <row r="509" ht="15.75" customHeight="1">
      <c r="C509" s="212"/>
      <c r="D509" s="212"/>
      <c r="E509" s="212"/>
    </row>
    <row r="510" ht="15.75" customHeight="1">
      <c r="C510" s="212"/>
      <c r="D510" s="212"/>
      <c r="E510" s="212"/>
    </row>
    <row r="511" ht="15.75" customHeight="1">
      <c r="C511" s="212"/>
      <c r="D511" s="212"/>
      <c r="E511" s="212"/>
    </row>
    <row r="512" ht="15.75" customHeight="1">
      <c r="C512" s="212"/>
      <c r="D512" s="212"/>
      <c r="E512" s="212"/>
    </row>
    <row r="513" ht="15.75" customHeight="1">
      <c r="C513" s="212"/>
      <c r="D513" s="212"/>
      <c r="E513" s="212"/>
    </row>
    <row r="514" ht="15.75" customHeight="1">
      <c r="C514" s="212"/>
      <c r="D514" s="212"/>
      <c r="E514" s="212"/>
    </row>
    <row r="515" ht="15.75" customHeight="1">
      <c r="C515" s="212"/>
      <c r="D515" s="212"/>
      <c r="E515" s="212"/>
    </row>
    <row r="516" ht="15.75" customHeight="1">
      <c r="C516" s="212"/>
      <c r="D516" s="212"/>
      <c r="E516" s="212"/>
    </row>
    <row r="517" ht="15.75" customHeight="1">
      <c r="C517" s="212"/>
      <c r="D517" s="212"/>
      <c r="E517" s="212"/>
    </row>
    <row r="518" ht="15.75" customHeight="1">
      <c r="C518" s="212"/>
      <c r="D518" s="212"/>
      <c r="E518" s="212"/>
    </row>
    <row r="519" ht="15.75" customHeight="1">
      <c r="C519" s="212"/>
      <c r="D519" s="212"/>
      <c r="E519" s="212"/>
    </row>
    <row r="520" ht="15.75" customHeight="1">
      <c r="C520" s="212"/>
      <c r="D520" s="212"/>
      <c r="E520" s="212"/>
    </row>
    <row r="521" ht="15.75" customHeight="1">
      <c r="C521" s="212"/>
      <c r="D521" s="212"/>
      <c r="E521" s="212"/>
    </row>
    <row r="522" ht="15.75" customHeight="1">
      <c r="C522" s="212"/>
      <c r="D522" s="212"/>
      <c r="E522" s="212"/>
    </row>
    <row r="523" ht="15.75" customHeight="1">
      <c r="C523" s="212"/>
      <c r="D523" s="212"/>
      <c r="E523" s="212"/>
    </row>
    <row r="524" ht="15.75" customHeight="1">
      <c r="C524" s="212"/>
      <c r="D524" s="212"/>
      <c r="E524" s="212"/>
    </row>
    <row r="525" ht="15.75" customHeight="1">
      <c r="C525" s="212"/>
      <c r="D525" s="212"/>
      <c r="E525" s="212"/>
    </row>
    <row r="526" ht="15.75" customHeight="1">
      <c r="C526" s="212"/>
      <c r="D526" s="212"/>
      <c r="E526" s="212"/>
    </row>
    <row r="527" ht="15.75" customHeight="1">
      <c r="C527" s="212"/>
      <c r="D527" s="212"/>
      <c r="E527" s="212"/>
    </row>
    <row r="528" ht="15.75" customHeight="1">
      <c r="C528" s="212"/>
      <c r="D528" s="212"/>
      <c r="E528" s="212"/>
    </row>
    <row r="529" ht="15.75" customHeight="1">
      <c r="C529" s="212"/>
      <c r="D529" s="212"/>
      <c r="E529" s="212"/>
    </row>
    <row r="530" ht="15.75" customHeight="1">
      <c r="C530" s="212"/>
      <c r="D530" s="212"/>
      <c r="E530" s="212"/>
    </row>
    <row r="531" ht="15.75" customHeight="1">
      <c r="C531" s="212"/>
      <c r="D531" s="212"/>
      <c r="E531" s="212"/>
    </row>
    <row r="532" ht="15.75" customHeight="1">
      <c r="C532" s="212"/>
      <c r="D532" s="212"/>
      <c r="E532" s="212"/>
    </row>
    <row r="533" ht="15.75" customHeight="1">
      <c r="C533" s="212"/>
      <c r="D533" s="212"/>
      <c r="E533" s="212"/>
    </row>
    <row r="534" ht="15.75" customHeight="1">
      <c r="C534" s="212"/>
      <c r="D534" s="212"/>
      <c r="E534" s="212"/>
    </row>
    <row r="535" ht="15.75" customHeight="1">
      <c r="C535" s="212"/>
      <c r="D535" s="212"/>
      <c r="E535" s="212"/>
    </row>
    <row r="536" ht="15.75" customHeight="1">
      <c r="C536" s="212"/>
      <c r="D536" s="212"/>
      <c r="E536" s="212"/>
    </row>
    <row r="537" ht="15.75" customHeight="1">
      <c r="C537" s="212"/>
      <c r="D537" s="212"/>
      <c r="E537" s="212"/>
    </row>
    <row r="538" ht="15.75" customHeight="1">
      <c r="C538" s="212"/>
      <c r="D538" s="212"/>
      <c r="E538" s="212"/>
    </row>
    <row r="539" ht="15.75" customHeight="1">
      <c r="C539" s="212"/>
      <c r="D539" s="212"/>
      <c r="E539" s="212"/>
    </row>
    <row r="540" ht="15.75" customHeight="1">
      <c r="C540" s="212"/>
      <c r="D540" s="212"/>
      <c r="E540" s="212"/>
    </row>
    <row r="541" ht="15.75" customHeight="1">
      <c r="C541" s="212"/>
      <c r="D541" s="212"/>
      <c r="E541" s="212"/>
    </row>
    <row r="542" ht="15.75" customHeight="1">
      <c r="C542" s="212"/>
      <c r="D542" s="212"/>
      <c r="E542" s="212"/>
    </row>
    <row r="543" ht="15.75" customHeight="1">
      <c r="C543" s="212"/>
      <c r="D543" s="212"/>
      <c r="E543" s="212"/>
    </row>
    <row r="544" ht="15.75" customHeight="1">
      <c r="C544" s="212"/>
      <c r="D544" s="212"/>
      <c r="E544" s="212"/>
    </row>
    <row r="545" ht="15.75" customHeight="1">
      <c r="C545" s="212"/>
      <c r="D545" s="212"/>
      <c r="E545" s="212"/>
    </row>
    <row r="546" ht="15.75" customHeight="1">
      <c r="C546" s="212"/>
      <c r="D546" s="212"/>
      <c r="E546" s="212"/>
    </row>
    <row r="547" ht="15.75" customHeight="1">
      <c r="C547" s="212"/>
      <c r="D547" s="212"/>
      <c r="E547" s="212"/>
    </row>
    <row r="548" ht="15.75" customHeight="1">
      <c r="C548" s="212"/>
      <c r="D548" s="212"/>
      <c r="E548" s="212"/>
    </row>
    <row r="549" ht="15.75" customHeight="1">
      <c r="C549" s="212"/>
      <c r="D549" s="212"/>
      <c r="E549" s="212"/>
    </row>
    <row r="550" ht="15.75" customHeight="1">
      <c r="C550" s="212"/>
      <c r="D550" s="212"/>
      <c r="E550" s="212"/>
    </row>
    <row r="551" ht="15.75" customHeight="1">
      <c r="C551" s="212"/>
      <c r="D551" s="212"/>
      <c r="E551" s="212"/>
    </row>
    <row r="552" ht="15.75" customHeight="1">
      <c r="C552" s="212"/>
      <c r="D552" s="212"/>
      <c r="E552" s="212"/>
    </row>
    <row r="553" ht="15.75" customHeight="1">
      <c r="C553" s="212"/>
      <c r="D553" s="212"/>
      <c r="E553" s="212"/>
    </row>
    <row r="554" ht="15.75" customHeight="1">
      <c r="C554" s="212"/>
      <c r="D554" s="212"/>
      <c r="E554" s="212"/>
    </row>
    <row r="555" ht="15.75" customHeight="1">
      <c r="C555" s="212"/>
      <c r="D555" s="212"/>
      <c r="E555" s="212"/>
    </row>
    <row r="556" ht="15.75" customHeight="1">
      <c r="C556" s="212"/>
      <c r="D556" s="212"/>
      <c r="E556" s="212"/>
    </row>
    <row r="557" ht="15.75" customHeight="1">
      <c r="C557" s="212"/>
      <c r="D557" s="212"/>
      <c r="E557" s="212"/>
    </row>
    <row r="558" ht="15.75" customHeight="1">
      <c r="C558" s="212"/>
      <c r="D558" s="212"/>
      <c r="E558" s="212"/>
    </row>
    <row r="559" ht="15.75" customHeight="1">
      <c r="C559" s="212"/>
      <c r="D559" s="212"/>
      <c r="E559" s="212"/>
    </row>
    <row r="560" ht="15.75" customHeight="1">
      <c r="C560" s="212"/>
      <c r="D560" s="212"/>
      <c r="E560" s="212"/>
    </row>
    <row r="561" ht="15.75" customHeight="1">
      <c r="C561" s="212"/>
      <c r="D561" s="212"/>
      <c r="E561" s="212"/>
    </row>
    <row r="562" ht="15.75" customHeight="1">
      <c r="C562" s="212"/>
      <c r="D562" s="212"/>
      <c r="E562" s="212"/>
    </row>
    <row r="563" ht="15.75" customHeight="1">
      <c r="C563" s="212"/>
      <c r="D563" s="212"/>
      <c r="E563" s="212"/>
    </row>
    <row r="564" ht="15.75" customHeight="1">
      <c r="C564" s="212"/>
      <c r="D564" s="212"/>
      <c r="E564" s="212"/>
    </row>
    <row r="565" ht="15.75" customHeight="1">
      <c r="C565" s="212"/>
      <c r="D565" s="212"/>
      <c r="E565" s="212"/>
    </row>
    <row r="566" ht="15.75" customHeight="1">
      <c r="C566" s="212"/>
      <c r="D566" s="212"/>
      <c r="E566" s="212"/>
    </row>
    <row r="567" ht="15.75" customHeight="1">
      <c r="C567" s="212"/>
      <c r="D567" s="212"/>
      <c r="E567" s="212"/>
    </row>
    <row r="568" ht="15.75" customHeight="1">
      <c r="C568" s="212"/>
      <c r="D568" s="212"/>
      <c r="E568" s="212"/>
    </row>
    <row r="569" ht="15.75" customHeight="1">
      <c r="C569" s="212"/>
      <c r="D569" s="212"/>
      <c r="E569" s="212"/>
    </row>
    <row r="570" ht="15.75" customHeight="1">
      <c r="C570" s="212"/>
      <c r="D570" s="212"/>
      <c r="E570" s="212"/>
    </row>
    <row r="571" ht="15.75" customHeight="1">
      <c r="C571" s="212"/>
      <c r="D571" s="212"/>
      <c r="E571" s="212"/>
    </row>
    <row r="572" ht="15.75" customHeight="1">
      <c r="C572" s="212"/>
      <c r="D572" s="212"/>
      <c r="E572" s="212"/>
    </row>
    <row r="573" ht="15.75" customHeight="1">
      <c r="C573" s="212"/>
      <c r="D573" s="212"/>
      <c r="E573" s="212"/>
    </row>
    <row r="574" ht="15.75" customHeight="1">
      <c r="C574" s="212"/>
      <c r="D574" s="212"/>
      <c r="E574" s="212"/>
    </row>
    <row r="575" ht="15.75" customHeight="1">
      <c r="C575" s="212"/>
      <c r="D575" s="212"/>
      <c r="E575" s="212"/>
    </row>
    <row r="576" ht="15.75" customHeight="1">
      <c r="C576" s="212"/>
      <c r="D576" s="212"/>
      <c r="E576" s="212"/>
    </row>
    <row r="577" ht="15.75" customHeight="1">
      <c r="C577" s="212"/>
      <c r="D577" s="212"/>
      <c r="E577" s="212"/>
    </row>
    <row r="578" ht="15.75" customHeight="1">
      <c r="C578" s="212"/>
      <c r="D578" s="212"/>
      <c r="E578" s="212"/>
    </row>
    <row r="579" ht="15.75" customHeight="1">
      <c r="C579" s="212"/>
      <c r="D579" s="212"/>
      <c r="E579" s="212"/>
    </row>
    <row r="580" ht="15.75" customHeight="1">
      <c r="C580" s="212"/>
      <c r="D580" s="212"/>
      <c r="E580" s="212"/>
    </row>
    <row r="581" ht="15.75" customHeight="1">
      <c r="C581" s="212"/>
      <c r="D581" s="212"/>
      <c r="E581" s="212"/>
    </row>
    <row r="582" ht="15.75" customHeight="1">
      <c r="C582" s="212"/>
      <c r="D582" s="212"/>
      <c r="E582" s="212"/>
    </row>
    <row r="583" ht="15.75" customHeight="1">
      <c r="C583" s="212"/>
      <c r="D583" s="212"/>
      <c r="E583" s="212"/>
    </row>
    <row r="584" ht="15.75" customHeight="1">
      <c r="C584" s="212"/>
      <c r="D584" s="212"/>
      <c r="E584" s="212"/>
    </row>
    <row r="585" ht="15.75" customHeight="1">
      <c r="C585" s="212"/>
      <c r="D585" s="212"/>
      <c r="E585" s="212"/>
    </row>
    <row r="586" ht="15.75" customHeight="1">
      <c r="C586" s="212"/>
      <c r="D586" s="212"/>
      <c r="E586" s="212"/>
    </row>
    <row r="587" ht="15.75" customHeight="1">
      <c r="C587" s="212"/>
      <c r="D587" s="212"/>
      <c r="E587" s="212"/>
    </row>
    <row r="588" ht="15.75" customHeight="1">
      <c r="C588" s="212"/>
      <c r="D588" s="212"/>
      <c r="E588" s="212"/>
    </row>
    <row r="589" ht="15.75" customHeight="1">
      <c r="C589" s="212"/>
      <c r="D589" s="212"/>
      <c r="E589" s="212"/>
    </row>
    <row r="590" ht="15.75" customHeight="1">
      <c r="C590" s="212"/>
      <c r="D590" s="212"/>
      <c r="E590" s="212"/>
    </row>
    <row r="591" ht="15.75" customHeight="1">
      <c r="C591" s="212"/>
      <c r="D591" s="212"/>
      <c r="E591" s="212"/>
    </row>
    <row r="592" ht="15.75" customHeight="1">
      <c r="C592" s="212"/>
      <c r="D592" s="212"/>
      <c r="E592" s="212"/>
    </row>
    <row r="593" ht="15.75" customHeight="1">
      <c r="C593" s="212"/>
      <c r="D593" s="212"/>
      <c r="E593" s="212"/>
    </row>
    <row r="594" ht="15.75" customHeight="1">
      <c r="C594" s="212"/>
      <c r="D594" s="212"/>
      <c r="E594" s="212"/>
    </row>
    <row r="595" ht="15.75" customHeight="1">
      <c r="C595" s="212"/>
      <c r="D595" s="212"/>
      <c r="E595" s="212"/>
    </row>
    <row r="596" ht="15.75" customHeight="1">
      <c r="C596" s="212"/>
      <c r="D596" s="212"/>
      <c r="E596" s="212"/>
    </row>
    <row r="597" ht="15.75" customHeight="1">
      <c r="C597" s="212"/>
      <c r="D597" s="212"/>
      <c r="E597" s="212"/>
    </row>
    <row r="598" ht="15.75" customHeight="1">
      <c r="C598" s="212"/>
      <c r="D598" s="212"/>
      <c r="E598" s="212"/>
    </row>
    <row r="599" ht="15.75" customHeight="1">
      <c r="C599" s="212"/>
      <c r="D599" s="212"/>
      <c r="E599" s="212"/>
    </row>
    <row r="600" ht="15.75" customHeight="1">
      <c r="C600" s="212"/>
      <c r="D600" s="212"/>
      <c r="E600" s="212"/>
    </row>
    <row r="601" ht="15.75" customHeight="1">
      <c r="C601" s="212"/>
      <c r="D601" s="212"/>
      <c r="E601" s="212"/>
    </row>
    <row r="602" ht="15.75" customHeight="1">
      <c r="C602" s="212"/>
      <c r="D602" s="212"/>
      <c r="E602" s="212"/>
    </row>
    <row r="603" ht="15.75" customHeight="1">
      <c r="C603" s="212"/>
      <c r="D603" s="212"/>
      <c r="E603" s="212"/>
    </row>
    <row r="604" ht="15.75" customHeight="1">
      <c r="C604" s="212"/>
      <c r="D604" s="212"/>
      <c r="E604" s="212"/>
    </row>
    <row r="605" ht="15.75" customHeight="1">
      <c r="C605" s="212"/>
      <c r="D605" s="212"/>
      <c r="E605" s="212"/>
    </row>
    <row r="606" ht="15.75" customHeight="1">
      <c r="C606" s="212"/>
      <c r="D606" s="212"/>
      <c r="E606" s="212"/>
    </row>
    <row r="607" ht="15.75" customHeight="1">
      <c r="C607" s="212"/>
      <c r="D607" s="212"/>
      <c r="E607" s="212"/>
    </row>
    <row r="608" ht="15.75" customHeight="1">
      <c r="C608" s="212"/>
      <c r="D608" s="212"/>
      <c r="E608" s="212"/>
    </row>
    <row r="609" ht="15.75" customHeight="1">
      <c r="C609" s="212"/>
      <c r="D609" s="212"/>
      <c r="E609" s="212"/>
    </row>
    <row r="610" ht="15.75" customHeight="1">
      <c r="C610" s="212"/>
      <c r="D610" s="212"/>
      <c r="E610" s="212"/>
    </row>
    <row r="611" ht="15.75" customHeight="1">
      <c r="C611" s="212"/>
      <c r="D611" s="212"/>
      <c r="E611" s="212"/>
    </row>
    <row r="612" ht="15.75" customHeight="1">
      <c r="C612" s="212"/>
      <c r="D612" s="212"/>
      <c r="E612" s="212"/>
    </row>
    <row r="613" ht="15.75" customHeight="1">
      <c r="C613" s="212"/>
      <c r="D613" s="212"/>
      <c r="E613" s="212"/>
    </row>
    <row r="614" ht="15.75" customHeight="1">
      <c r="C614" s="212"/>
      <c r="D614" s="212"/>
      <c r="E614" s="212"/>
    </row>
    <row r="615" ht="15.75" customHeight="1">
      <c r="C615" s="212"/>
      <c r="D615" s="212"/>
      <c r="E615" s="212"/>
    </row>
    <row r="616" ht="15.75" customHeight="1">
      <c r="C616" s="212"/>
      <c r="D616" s="212"/>
      <c r="E616" s="212"/>
    </row>
    <row r="617" ht="15.75" customHeight="1">
      <c r="C617" s="212"/>
      <c r="D617" s="212"/>
      <c r="E617" s="212"/>
    </row>
    <row r="618" ht="15.75" customHeight="1">
      <c r="C618" s="212"/>
      <c r="D618" s="212"/>
      <c r="E618" s="212"/>
    </row>
    <row r="619" ht="15.75" customHeight="1">
      <c r="C619" s="212"/>
      <c r="D619" s="212"/>
      <c r="E619" s="212"/>
    </row>
    <row r="620" ht="15.75" customHeight="1">
      <c r="C620" s="212"/>
      <c r="D620" s="212"/>
      <c r="E620" s="212"/>
    </row>
    <row r="621" ht="15.75" customHeight="1">
      <c r="C621" s="212"/>
      <c r="D621" s="212"/>
      <c r="E621" s="212"/>
    </row>
    <row r="622" ht="15.75" customHeight="1">
      <c r="C622" s="212"/>
      <c r="D622" s="212"/>
      <c r="E622" s="212"/>
    </row>
    <row r="623" ht="15.75" customHeight="1">
      <c r="C623" s="212"/>
      <c r="D623" s="212"/>
      <c r="E623" s="212"/>
    </row>
    <row r="624" ht="15.75" customHeight="1">
      <c r="C624" s="212"/>
      <c r="D624" s="212"/>
      <c r="E624" s="212"/>
    </row>
    <row r="625" ht="15.75" customHeight="1">
      <c r="C625" s="212"/>
      <c r="D625" s="212"/>
      <c r="E625" s="212"/>
    </row>
    <row r="626" ht="15.75" customHeight="1">
      <c r="C626" s="212"/>
      <c r="D626" s="212"/>
      <c r="E626" s="212"/>
    </row>
    <row r="627" ht="15.75" customHeight="1">
      <c r="C627" s="212"/>
      <c r="D627" s="212"/>
      <c r="E627" s="212"/>
    </row>
    <row r="628" ht="15.75" customHeight="1">
      <c r="C628" s="212"/>
      <c r="D628" s="212"/>
      <c r="E628" s="212"/>
    </row>
    <row r="629" ht="15.75" customHeight="1">
      <c r="C629" s="212"/>
      <c r="D629" s="212"/>
      <c r="E629" s="212"/>
    </row>
    <row r="630" ht="15.75" customHeight="1">
      <c r="C630" s="212"/>
      <c r="D630" s="212"/>
      <c r="E630" s="212"/>
    </row>
    <row r="631" ht="15.75" customHeight="1">
      <c r="C631" s="212"/>
      <c r="D631" s="212"/>
      <c r="E631" s="212"/>
    </row>
    <row r="632" ht="15.75" customHeight="1">
      <c r="C632" s="212"/>
      <c r="D632" s="212"/>
      <c r="E632" s="212"/>
    </row>
    <row r="633" ht="15.75" customHeight="1">
      <c r="C633" s="212"/>
      <c r="D633" s="212"/>
      <c r="E633" s="212"/>
    </row>
    <row r="634" ht="15.75" customHeight="1">
      <c r="C634" s="212"/>
      <c r="D634" s="212"/>
      <c r="E634" s="212"/>
    </row>
    <row r="635" ht="15.75" customHeight="1">
      <c r="C635" s="212"/>
      <c r="D635" s="212"/>
      <c r="E635" s="212"/>
    </row>
    <row r="636" ht="15.75" customHeight="1">
      <c r="C636" s="212"/>
      <c r="D636" s="212"/>
      <c r="E636" s="212"/>
    </row>
    <row r="637" ht="15.75" customHeight="1">
      <c r="C637" s="212"/>
      <c r="D637" s="212"/>
      <c r="E637" s="212"/>
    </row>
    <row r="638" ht="15.75" customHeight="1">
      <c r="C638" s="212"/>
      <c r="D638" s="212"/>
      <c r="E638" s="212"/>
    </row>
    <row r="639" ht="15.75" customHeight="1">
      <c r="C639" s="212"/>
      <c r="D639" s="212"/>
      <c r="E639" s="212"/>
    </row>
    <row r="640" ht="15.75" customHeight="1">
      <c r="C640" s="212"/>
      <c r="D640" s="212"/>
      <c r="E640" s="212"/>
    </row>
    <row r="641" ht="15.75" customHeight="1">
      <c r="C641" s="212"/>
      <c r="D641" s="212"/>
      <c r="E641" s="212"/>
    </row>
    <row r="642" ht="15.75" customHeight="1">
      <c r="C642" s="212"/>
      <c r="D642" s="212"/>
      <c r="E642" s="212"/>
    </row>
    <row r="643" ht="15.75" customHeight="1">
      <c r="C643" s="212"/>
      <c r="D643" s="212"/>
      <c r="E643" s="212"/>
    </row>
    <row r="644" ht="15.75" customHeight="1">
      <c r="C644" s="212"/>
      <c r="D644" s="212"/>
      <c r="E644" s="212"/>
    </row>
    <row r="645" ht="15.75" customHeight="1">
      <c r="C645" s="212"/>
      <c r="D645" s="212"/>
      <c r="E645" s="212"/>
    </row>
    <row r="646" ht="15.75" customHeight="1">
      <c r="C646" s="212"/>
      <c r="D646" s="212"/>
      <c r="E646" s="212"/>
    </row>
    <row r="647" ht="15.75" customHeight="1">
      <c r="C647" s="212"/>
      <c r="D647" s="212"/>
      <c r="E647" s="212"/>
    </row>
    <row r="648" ht="15.75" customHeight="1">
      <c r="C648" s="212"/>
      <c r="D648" s="212"/>
      <c r="E648" s="212"/>
    </row>
    <row r="649" ht="15.75" customHeight="1">
      <c r="C649" s="212"/>
      <c r="D649" s="212"/>
      <c r="E649" s="212"/>
    </row>
    <row r="650" ht="15.75" customHeight="1">
      <c r="C650" s="212"/>
      <c r="D650" s="212"/>
      <c r="E650" s="212"/>
    </row>
    <row r="651" ht="15.75" customHeight="1">
      <c r="C651" s="212"/>
      <c r="D651" s="212"/>
      <c r="E651" s="212"/>
    </row>
    <row r="652" ht="15.75" customHeight="1">
      <c r="C652" s="212"/>
      <c r="D652" s="212"/>
      <c r="E652" s="212"/>
    </row>
    <row r="653" ht="15.75" customHeight="1">
      <c r="C653" s="212"/>
      <c r="D653" s="212"/>
      <c r="E653" s="212"/>
    </row>
    <row r="654" ht="15.75" customHeight="1">
      <c r="C654" s="212"/>
      <c r="D654" s="212"/>
      <c r="E654" s="212"/>
    </row>
    <row r="655" ht="15.75" customHeight="1">
      <c r="C655" s="212"/>
      <c r="D655" s="212"/>
      <c r="E655" s="212"/>
    </row>
    <row r="656" ht="15.75" customHeight="1">
      <c r="C656" s="212"/>
      <c r="D656" s="212"/>
      <c r="E656" s="212"/>
    </row>
    <row r="657" ht="15.75" customHeight="1">
      <c r="C657" s="212"/>
      <c r="D657" s="212"/>
      <c r="E657" s="212"/>
    </row>
    <row r="658" ht="15.75" customHeight="1">
      <c r="C658" s="212"/>
      <c r="D658" s="212"/>
      <c r="E658" s="212"/>
    </row>
    <row r="659" ht="15.75" customHeight="1">
      <c r="C659" s="212"/>
      <c r="D659" s="212"/>
      <c r="E659" s="212"/>
    </row>
    <row r="660" ht="15.75" customHeight="1">
      <c r="C660" s="212"/>
      <c r="D660" s="212"/>
      <c r="E660" s="212"/>
    </row>
    <row r="661" ht="15.75" customHeight="1">
      <c r="C661" s="212"/>
      <c r="D661" s="212"/>
      <c r="E661" s="212"/>
    </row>
    <row r="662" ht="15.75" customHeight="1">
      <c r="C662" s="212"/>
      <c r="D662" s="212"/>
      <c r="E662" s="212"/>
    </row>
    <row r="663" ht="15.75" customHeight="1">
      <c r="C663" s="212"/>
      <c r="D663" s="212"/>
      <c r="E663" s="212"/>
    </row>
    <row r="664" ht="15.75" customHeight="1">
      <c r="C664" s="212"/>
      <c r="D664" s="212"/>
      <c r="E664" s="212"/>
    </row>
    <row r="665" ht="15.75" customHeight="1">
      <c r="C665" s="212"/>
      <c r="D665" s="212"/>
      <c r="E665" s="212"/>
    </row>
    <row r="666" ht="15.75" customHeight="1">
      <c r="C666" s="212"/>
      <c r="D666" s="212"/>
      <c r="E666" s="212"/>
    </row>
    <row r="667" ht="15.75" customHeight="1">
      <c r="C667" s="212"/>
      <c r="D667" s="212"/>
      <c r="E667" s="212"/>
    </row>
    <row r="668" ht="15.75" customHeight="1">
      <c r="C668" s="212"/>
      <c r="D668" s="212"/>
      <c r="E668" s="212"/>
    </row>
    <row r="669" ht="15.75" customHeight="1">
      <c r="C669" s="212"/>
      <c r="D669" s="212"/>
      <c r="E669" s="212"/>
    </row>
    <row r="670" ht="15.75" customHeight="1">
      <c r="C670" s="212"/>
      <c r="D670" s="212"/>
      <c r="E670" s="212"/>
    </row>
    <row r="671" ht="15.75" customHeight="1">
      <c r="C671" s="212"/>
      <c r="D671" s="212"/>
      <c r="E671" s="212"/>
    </row>
    <row r="672" ht="15.75" customHeight="1">
      <c r="C672" s="212"/>
      <c r="D672" s="212"/>
      <c r="E672" s="212"/>
    </row>
    <row r="673" ht="15.75" customHeight="1">
      <c r="C673" s="212"/>
      <c r="D673" s="212"/>
      <c r="E673" s="212"/>
    </row>
    <row r="674" ht="15.75" customHeight="1">
      <c r="C674" s="212"/>
      <c r="D674" s="212"/>
      <c r="E674" s="212"/>
    </row>
    <row r="675" ht="15.75" customHeight="1">
      <c r="C675" s="212"/>
      <c r="D675" s="212"/>
      <c r="E675" s="212"/>
    </row>
    <row r="676" ht="15.75" customHeight="1">
      <c r="C676" s="212"/>
      <c r="D676" s="212"/>
      <c r="E676" s="212"/>
    </row>
    <row r="677" ht="15.75" customHeight="1">
      <c r="C677" s="212"/>
      <c r="D677" s="212"/>
      <c r="E677" s="212"/>
    </row>
    <row r="678" ht="15.75" customHeight="1">
      <c r="C678" s="212"/>
      <c r="D678" s="212"/>
      <c r="E678" s="212"/>
    </row>
    <row r="679" ht="15.75" customHeight="1">
      <c r="C679" s="212"/>
      <c r="D679" s="212"/>
      <c r="E679" s="212"/>
    </row>
    <row r="680" ht="15.75" customHeight="1">
      <c r="C680" s="212"/>
      <c r="D680" s="212"/>
      <c r="E680" s="212"/>
    </row>
    <row r="681" ht="15.75" customHeight="1">
      <c r="C681" s="212"/>
      <c r="D681" s="212"/>
      <c r="E681" s="212"/>
    </row>
    <row r="682" ht="15.75" customHeight="1">
      <c r="C682" s="212"/>
      <c r="D682" s="212"/>
      <c r="E682" s="212"/>
    </row>
    <row r="683" ht="15.75" customHeight="1">
      <c r="C683" s="212"/>
      <c r="D683" s="212"/>
      <c r="E683" s="212"/>
    </row>
    <row r="684" ht="15.75" customHeight="1">
      <c r="C684" s="212"/>
      <c r="D684" s="212"/>
      <c r="E684" s="212"/>
    </row>
    <row r="685" ht="15.75" customHeight="1">
      <c r="C685" s="212"/>
      <c r="D685" s="212"/>
      <c r="E685" s="212"/>
    </row>
    <row r="686" ht="15.75" customHeight="1">
      <c r="C686" s="212"/>
      <c r="D686" s="212"/>
      <c r="E686" s="212"/>
    </row>
    <row r="687" ht="15.75" customHeight="1">
      <c r="C687" s="212"/>
      <c r="D687" s="212"/>
      <c r="E687" s="212"/>
    </row>
    <row r="688" ht="15.75" customHeight="1">
      <c r="C688" s="212"/>
      <c r="D688" s="212"/>
      <c r="E688" s="212"/>
    </row>
    <row r="689" ht="15.75" customHeight="1">
      <c r="C689" s="212"/>
      <c r="D689" s="212"/>
      <c r="E689" s="212"/>
    </row>
    <row r="690" ht="15.75" customHeight="1">
      <c r="C690" s="212"/>
      <c r="D690" s="212"/>
      <c r="E690" s="212"/>
    </row>
    <row r="691" ht="15.75" customHeight="1">
      <c r="C691" s="212"/>
      <c r="D691" s="212"/>
      <c r="E691" s="212"/>
    </row>
    <row r="692" ht="15.75" customHeight="1">
      <c r="C692" s="212"/>
      <c r="D692" s="212"/>
      <c r="E692" s="212"/>
    </row>
    <row r="693" ht="15.75" customHeight="1">
      <c r="C693" s="212"/>
      <c r="D693" s="212"/>
      <c r="E693" s="212"/>
    </row>
    <row r="694" ht="15.75" customHeight="1">
      <c r="C694" s="212"/>
      <c r="D694" s="212"/>
      <c r="E694" s="212"/>
    </row>
    <row r="695" ht="15.75" customHeight="1">
      <c r="C695" s="212"/>
      <c r="D695" s="212"/>
      <c r="E695" s="212"/>
    </row>
    <row r="696" ht="15.75" customHeight="1">
      <c r="C696" s="212"/>
      <c r="D696" s="212"/>
      <c r="E696" s="212"/>
    </row>
    <row r="697" ht="15.75" customHeight="1">
      <c r="C697" s="212"/>
      <c r="D697" s="212"/>
      <c r="E697" s="212"/>
    </row>
    <row r="698" ht="15.75" customHeight="1">
      <c r="C698" s="212"/>
      <c r="D698" s="212"/>
      <c r="E698" s="212"/>
    </row>
    <row r="699" ht="15.75" customHeight="1">
      <c r="C699" s="212"/>
      <c r="D699" s="212"/>
      <c r="E699" s="212"/>
    </row>
    <row r="700" ht="15.75" customHeight="1">
      <c r="C700" s="212"/>
      <c r="D700" s="212"/>
      <c r="E700" s="212"/>
    </row>
    <row r="701" ht="15.75" customHeight="1">
      <c r="C701" s="212"/>
      <c r="D701" s="212"/>
      <c r="E701" s="212"/>
    </row>
    <row r="702" ht="15.75" customHeight="1">
      <c r="C702" s="212"/>
      <c r="D702" s="212"/>
      <c r="E702" s="212"/>
    </row>
    <row r="703" ht="15.75" customHeight="1">
      <c r="C703" s="212"/>
      <c r="D703" s="212"/>
      <c r="E703" s="212"/>
    </row>
    <row r="704" ht="15.75" customHeight="1">
      <c r="C704" s="212"/>
      <c r="D704" s="212"/>
      <c r="E704" s="212"/>
    </row>
    <row r="705" ht="15.75" customHeight="1">
      <c r="C705" s="212"/>
      <c r="D705" s="212"/>
      <c r="E705" s="212"/>
    </row>
    <row r="706" ht="15.75" customHeight="1">
      <c r="C706" s="212"/>
      <c r="D706" s="212"/>
      <c r="E706" s="212"/>
    </row>
    <row r="707" ht="15.75" customHeight="1">
      <c r="C707" s="212"/>
      <c r="D707" s="212"/>
      <c r="E707" s="212"/>
    </row>
    <row r="708" ht="15.75" customHeight="1">
      <c r="C708" s="212"/>
      <c r="D708" s="212"/>
      <c r="E708" s="212"/>
    </row>
    <row r="709" ht="15.75" customHeight="1">
      <c r="C709" s="212"/>
      <c r="D709" s="212"/>
      <c r="E709" s="212"/>
    </row>
    <row r="710" ht="15.75" customHeight="1">
      <c r="C710" s="212"/>
      <c r="D710" s="212"/>
      <c r="E710" s="212"/>
    </row>
    <row r="711" ht="15.75" customHeight="1">
      <c r="C711" s="212"/>
      <c r="D711" s="212"/>
      <c r="E711" s="212"/>
    </row>
    <row r="712" ht="15.75" customHeight="1">
      <c r="C712" s="212"/>
      <c r="D712" s="212"/>
      <c r="E712" s="212"/>
    </row>
    <row r="713" ht="15.75" customHeight="1">
      <c r="C713" s="212"/>
      <c r="D713" s="212"/>
      <c r="E713" s="212"/>
    </row>
    <row r="714" ht="15.75" customHeight="1">
      <c r="C714" s="212"/>
      <c r="D714" s="212"/>
      <c r="E714" s="212"/>
    </row>
    <row r="715" ht="15.75" customHeight="1">
      <c r="C715" s="212"/>
      <c r="D715" s="212"/>
      <c r="E715" s="212"/>
    </row>
    <row r="716" ht="15.75" customHeight="1">
      <c r="C716" s="212"/>
      <c r="D716" s="212"/>
      <c r="E716" s="212"/>
    </row>
    <row r="717" ht="15.75" customHeight="1">
      <c r="C717" s="212"/>
      <c r="D717" s="212"/>
      <c r="E717" s="212"/>
    </row>
    <row r="718" ht="15.75" customHeight="1">
      <c r="C718" s="212"/>
      <c r="D718" s="212"/>
      <c r="E718" s="212"/>
    </row>
    <row r="719" ht="15.75" customHeight="1">
      <c r="C719" s="212"/>
      <c r="D719" s="212"/>
      <c r="E719" s="212"/>
    </row>
    <row r="720" ht="15.75" customHeight="1">
      <c r="C720" s="212"/>
      <c r="D720" s="212"/>
      <c r="E720" s="212"/>
    </row>
    <row r="721" ht="15.75" customHeight="1">
      <c r="C721" s="212"/>
      <c r="D721" s="212"/>
      <c r="E721" s="212"/>
    </row>
    <row r="722" ht="15.75" customHeight="1">
      <c r="C722" s="212"/>
      <c r="D722" s="212"/>
      <c r="E722" s="212"/>
    </row>
    <row r="723" ht="15.75" customHeight="1">
      <c r="C723" s="212"/>
      <c r="D723" s="212"/>
      <c r="E723" s="212"/>
    </row>
    <row r="724" ht="15.75" customHeight="1">
      <c r="C724" s="212"/>
      <c r="D724" s="212"/>
      <c r="E724" s="212"/>
    </row>
    <row r="725" ht="15.75" customHeight="1">
      <c r="C725" s="212"/>
      <c r="D725" s="212"/>
      <c r="E725" s="212"/>
    </row>
    <row r="726" ht="15.75" customHeight="1">
      <c r="C726" s="212"/>
      <c r="D726" s="212"/>
      <c r="E726" s="212"/>
    </row>
    <row r="727" ht="15.75" customHeight="1">
      <c r="C727" s="212"/>
      <c r="D727" s="212"/>
      <c r="E727" s="212"/>
    </row>
    <row r="728" ht="15.75" customHeight="1">
      <c r="C728" s="212"/>
      <c r="D728" s="212"/>
      <c r="E728" s="212"/>
    </row>
    <row r="729" ht="15.75" customHeight="1">
      <c r="C729" s="212"/>
      <c r="D729" s="212"/>
      <c r="E729" s="212"/>
    </row>
    <row r="730" ht="15.75" customHeight="1">
      <c r="C730" s="212"/>
      <c r="D730" s="212"/>
      <c r="E730" s="212"/>
    </row>
    <row r="731" ht="15.75" customHeight="1">
      <c r="C731" s="212"/>
      <c r="D731" s="212"/>
      <c r="E731" s="212"/>
    </row>
    <row r="732" ht="15.75" customHeight="1">
      <c r="C732" s="212"/>
      <c r="D732" s="212"/>
      <c r="E732" s="212"/>
    </row>
    <row r="733" ht="15.75" customHeight="1">
      <c r="C733" s="212"/>
      <c r="D733" s="212"/>
      <c r="E733" s="212"/>
    </row>
    <row r="734" ht="15.75" customHeight="1">
      <c r="C734" s="212"/>
      <c r="D734" s="212"/>
      <c r="E734" s="212"/>
    </row>
    <row r="735" ht="15.75" customHeight="1">
      <c r="C735" s="212"/>
      <c r="D735" s="212"/>
      <c r="E735" s="212"/>
    </row>
    <row r="736" ht="15.75" customHeight="1">
      <c r="C736" s="212"/>
      <c r="D736" s="212"/>
      <c r="E736" s="212"/>
    </row>
    <row r="737" ht="15.75" customHeight="1">
      <c r="C737" s="212"/>
      <c r="D737" s="212"/>
      <c r="E737" s="212"/>
    </row>
    <row r="738" ht="15.75" customHeight="1">
      <c r="C738" s="212"/>
      <c r="D738" s="212"/>
      <c r="E738" s="212"/>
    </row>
    <row r="739" ht="15.75" customHeight="1">
      <c r="C739" s="212"/>
      <c r="D739" s="212"/>
      <c r="E739" s="212"/>
    </row>
    <row r="740" ht="15.75" customHeight="1">
      <c r="C740" s="212"/>
      <c r="D740" s="212"/>
      <c r="E740" s="212"/>
    </row>
    <row r="741" ht="15.75" customHeight="1">
      <c r="C741" s="212"/>
      <c r="D741" s="212"/>
      <c r="E741" s="212"/>
    </row>
    <row r="742" ht="15.75" customHeight="1">
      <c r="C742" s="212"/>
      <c r="D742" s="212"/>
      <c r="E742" s="212"/>
    </row>
    <row r="743" ht="15.75" customHeight="1">
      <c r="C743" s="212"/>
      <c r="D743" s="212"/>
      <c r="E743" s="212"/>
    </row>
    <row r="744" ht="15.75" customHeight="1">
      <c r="C744" s="212"/>
      <c r="D744" s="212"/>
      <c r="E744" s="212"/>
    </row>
    <row r="745" ht="15.75" customHeight="1">
      <c r="C745" s="212"/>
      <c r="D745" s="212"/>
      <c r="E745" s="212"/>
    </row>
    <row r="746" ht="15.75" customHeight="1">
      <c r="C746" s="212"/>
      <c r="D746" s="212"/>
      <c r="E746" s="212"/>
    </row>
    <row r="747" ht="15.75" customHeight="1">
      <c r="C747" s="212"/>
      <c r="D747" s="212"/>
      <c r="E747" s="212"/>
    </row>
    <row r="748" ht="15.75" customHeight="1">
      <c r="C748" s="212"/>
      <c r="D748" s="212"/>
      <c r="E748" s="212"/>
    </row>
    <row r="749" ht="15.75" customHeight="1">
      <c r="C749" s="212"/>
      <c r="D749" s="212"/>
      <c r="E749" s="212"/>
    </row>
    <row r="750" ht="15.75" customHeight="1">
      <c r="C750" s="212"/>
      <c r="D750" s="212"/>
      <c r="E750" s="212"/>
    </row>
    <row r="751" ht="15.75" customHeight="1">
      <c r="C751" s="212"/>
      <c r="D751" s="212"/>
      <c r="E751" s="212"/>
    </row>
    <row r="752" ht="15.75" customHeight="1">
      <c r="C752" s="212"/>
      <c r="D752" s="212"/>
      <c r="E752" s="212"/>
    </row>
    <row r="753" ht="15.75" customHeight="1">
      <c r="C753" s="212"/>
      <c r="D753" s="212"/>
      <c r="E753" s="212"/>
    </row>
    <row r="754" ht="15.75" customHeight="1">
      <c r="C754" s="212"/>
      <c r="D754" s="212"/>
      <c r="E754" s="212"/>
    </row>
    <row r="755" ht="15.75" customHeight="1">
      <c r="C755" s="212"/>
      <c r="D755" s="212"/>
      <c r="E755" s="212"/>
    </row>
    <row r="756" ht="15.75" customHeight="1">
      <c r="C756" s="212"/>
      <c r="D756" s="212"/>
      <c r="E756" s="212"/>
    </row>
    <row r="757" ht="15.75" customHeight="1">
      <c r="C757" s="212"/>
      <c r="D757" s="212"/>
      <c r="E757" s="212"/>
    </row>
    <row r="758" ht="15.75" customHeight="1">
      <c r="C758" s="212"/>
      <c r="D758" s="212"/>
      <c r="E758" s="212"/>
    </row>
    <row r="759" ht="15.75" customHeight="1">
      <c r="C759" s="212"/>
      <c r="D759" s="212"/>
      <c r="E759" s="212"/>
    </row>
    <row r="760" ht="15.75" customHeight="1">
      <c r="C760" s="212"/>
      <c r="D760" s="212"/>
      <c r="E760" s="212"/>
    </row>
    <row r="761" ht="15.75" customHeight="1">
      <c r="C761" s="212"/>
      <c r="D761" s="212"/>
      <c r="E761" s="212"/>
    </row>
    <row r="762" ht="15.75" customHeight="1">
      <c r="C762" s="212"/>
      <c r="D762" s="212"/>
      <c r="E762" s="212"/>
    </row>
    <row r="763" ht="15.75" customHeight="1">
      <c r="C763" s="212"/>
      <c r="D763" s="212"/>
      <c r="E763" s="212"/>
    </row>
    <row r="764" ht="15.75" customHeight="1">
      <c r="C764" s="212"/>
      <c r="D764" s="212"/>
      <c r="E764" s="212"/>
    </row>
    <row r="765" ht="15.75" customHeight="1">
      <c r="C765" s="212"/>
      <c r="D765" s="212"/>
      <c r="E765" s="212"/>
    </row>
    <row r="766" ht="15.75" customHeight="1">
      <c r="C766" s="212"/>
      <c r="D766" s="212"/>
      <c r="E766" s="212"/>
    </row>
    <row r="767" ht="15.75" customHeight="1">
      <c r="C767" s="212"/>
      <c r="D767" s="212"/>
      <c r="E767" s="212"/>
    </row>
    <row r="768" ht="15.75" customHeight="1">
      <c r="C768" s="212"/>
      <c r="D768" s="212"/>
      <c r="E768" s="212"/>
    </row>
    <row r="769" ht="15.75" customHeight="1">
      <c r="C769" s="212"/>
      <c r="D769" s="212"/>
      <c r="E769" s="212"/>
    </row>
    <row r="770" ht="15.75" customHeight="1">
      <c r="C770" s="212"/>
      <c r="D770" s="212"/>
      <c r="E770" s="212"/>
    </row>
    <row r="771" ht="15.75" customHeight="1">
      <c r="C771" s="212"/>
      <c r="D771" s="212"/>
      <c r="E771" s="212"/>
    </row>
    <row r="772" ht="15.75" customHeight="1">
      <c r="C772" s="212"/>
      <c r="D772" s="212"/>
      <c r="E772" s="212"/>
    </row>
    <row r="773" ht="15.75" customHeight="1">
      <c r="C773" s="212"/>
      <c r="D773" s="212"/>
      <c r="E773" s="212"/>
    </row>
    <row r="774" ht="15.75" customHeight="1">
      <c r="C774" s="212"/>
      <c r="D774" s="212"/>
      <c r="E774" s="212"/>
    </row>
    <row r="775" ht="15.75" customHeight="1">
      <c r="C775" s="212"/>
      <c r="D775" s="212"/>
      <c r="E775" s="212"/>
    </row>
    <row r="776" ht="15.75" customHeight="1">
      <c r="C776" s="212"/>
      <c r="D776" s="212"/>
      <c r="E776" s="212"/>
    </row>
    <row r="777" ht="15.75" customHeight="1">
      <c r="C777" s="212"/>
      <c r="D777" s="212"/>
      <c r="E777" s="212"/>
    </row>
    <row r="778" ht="15.75" customHeight="1">
      <c r="C778" s="212"/>
      <c r="D778" s="212"/>
      <c r="E778" s="212"/>
    </row>
    <row r="779" ht="15.75" customHeight="1">
      <c r="C779" s="212"/>
      <c r="D779" s="212"/>
      <c r="E779" s="212"/>
    </row>
    <row r="780" ht="15.75" customHeight="1">
      <c r="C780" s="212"/>
      <c r="D780" s="212"/>
      <c r="E780" s="212"/>
    </row>
    <row r="781" ht="15.75" customHeight="1">
      <c r="C781" s="212"/>
      <c r="D781" s="212"/>
      <c r="E781" s="212"/>
    </row>
    <row r="782" ht="15.75" customHeight="1">
      <c r="C782" s="212"/>
      <c r="D782" s="212"/>
      <c r="E782" s="212"/>
    </row>
    <row r="783" ht="15.75" customHeight="1">
      <c r="C783" s="212"/>
      <c r="D783" s="212"/>
      <c r="E783" s="212"/>
    </row>
    <row r="784" ht="15.75" customHeight="1">
      <c r="C784" s="212"/>
      <c r="D784" s="212"/>
      <c r="E784" s="212"/>
    </row>
    <row r="785" ht="15.75" customHeight="1">
      <c r="C785" s="212"/>
      <c r="D785" s="212"/>
      <c r="E785" s="212"/>
    </row>
    <row r="786" ht="15.75" customHeight="1">
      <c r="C786" s="212"/>
      <c r="D786" s="212"/>
      <c r="E786" s="212"/>
    </row>
    <row r="787" ht="15.75" customHeight="1">
      <c r="C787" s="212"/>
      <c r="D787" s="212"/>
      <c r="E787" s="212"/>
    </row>
    <row r="788" ht="15.75" customHeight="1">
      <c r="C788" s="212"/>
      <c r="D788" s="212"/>
      <c r="E788" s="212"/>
    </row>
    <row r="789" ht="15.75" customHeight="1">
      <c r="C789" s="212"/>
      <c r="D789" s="212"/>
      <c r="E789" s="212"/>
    </row>
    <row r="790" ht="15.75" customHeight="1">
      <c r="C790" s="212"/>
      <c r="D790" s="212"/>
      <c r="E790" s="212"/>
    </row>
    <row r="791" ht="15.75" customHeight="1">
      <c r="C791" s="212"/>
      <c r="D791" s="212"/>
      <c r="E791" s="212"/>
    </row>
    <row r="792" ht="15.75" customHeight="1">
      <c r="C792" s="212"/>
      <c r="D792" s="212"/>
      <c r="E792" s="212"/>
    </row>
    <row r="793" ht="15.75" customHeight="1">
      <c r="C793" s="212"/>
      <c r="D793" s="212"/>
      <c r="E793" s="212"/>
    </row>
    <row r="794" ht="15.75" customHeight="1">
      <c r="C794" s="212"/>
      <c r="D794" s="212"/>
      <c r="E794" s="212"/>
    </row>
    <row r="795" ht="15.75" customHeight="1">
      <c r="C795" s="212"/>
      <c r="D795" s="212"/>
      <c r="E795" s="212"/>
    </row>
    <row r="796" ht="15.75" customHeight="1">
      <c r="C796" s="212"/>
      <c r="D796" s="212"/>
      <c r="E796" s="212"/>
    </row>
    <row r="797" ht="15.75" customHeight="1">
      <c r="C797" s="212"/>
      <c r="D797" s="212"/>
      <c r="E797" s="212"/>
    </row>
    <row r="798" ht="15.75" customHeight="1">
      <c r="C798" s="212"/>
      <c r="D798" s="212"/>
      <c r="E798" s="212"/>
    </row>
    <row r="799" ht="15.75" customHeight="1">
      <c r="C799" s="212"/>
      <c r="D799" s="212"/>
      <c r="E799" s="212"/>
    </row>
    <row r="800" ht="15.75" customHeight="1">
      <c r="C800" s="212"/>
      <c r="D800" s="212"/>
      <c r="E800" s="212"/>
    </row>
    <row r="801" ht="15.75" customHeight="1">
      <c r="C801" s="212"/>
      <c r="D801" s="212"/>
      <c r="E801" s="212"/>
    </row>
    <row r="802" ht="15.75" customHeight="1">
      <c r="C802" s="212"/>
      <c r="D802" s="212"/>
      <c r="E802" s="212"/>
    </row>
    <row r="803" ht="15.75" customHeight="1">
      <c r="C803" s="212"/>
      <c r="D803" s="212"/>
      <c r="E803" s="212"/>
    </row>
    <row r="804" ht="15.75" customHeight="1">
      <c r="C804" s="212"/>
      <c r="D804" s="212"/>
      <c r="E804" s="212"/>
    </row>
    <row r="805" ht="15.75" customHeight="1">
      <c r="C805" s="212"/>
      <c r="D805" s="212"/>
      <c r="E805" s="212"/>
    </row>
    <row r="806" ht="15.75" customHeight="1">
      <c r="C806" s="212"/>
      <c r="D806" s="212"/>
      <c r="E806" s="212"/>
    </row>
    <row r="807" ht="15.75" customHeight="1">
      <c r="C807" s="212"/>
      <c r="D807" s="212"/>
      <c r="E807" s="212"/>
    </row>
    <row r="808" ht="15.75" customHeight="1">
      <c r="C808" s="212"/>
      <c r="D808" s="212"/>
      <c r="E808" s="212"/>
    </row>
    <row r="809" ht="15.75" customHeight="1">
      <c r="C809" s="212"/>
      <c r="D809" s="212"/>
      <c r="E809" s="212"/>
    </row>
    <row r="810" ht="15.75" customHeight="1">
      <c r="C810" s="212"/>
      <c r="D810" s="212"/>
      <c r="E810" s="212"/>
    </row>
    <row r="811" ht="15.75" customHeight="1">
      <c r="C811" s="212"/>
      <c r="D811" s="212"/>
      <c r="E811" s="212"/>
    </row>
    <row r="812" ht="15.75" customHeight="1">
      <c r="C812" s="212"/>
      <c r="D812" s="212"/>
      <c r="E812" s="212"/>
    </row>
    <row r="813" ht="15.75" customHeight="1">
      <c r="C813" s="212"/>
      <c r="D813" s="212"/>
      <c r="E813" s="212"/>
    </row>
    <row r="814" ht="15.75" customHeight="1">
      <c r="C814" s="212"/>
      <c r="D814" s="212"/>
      <c r="E814" s="212"/>
    </row>
    <row r="815" ht="15.75" customHeight="1">
      <c r="C815" s="212"/>
      <c r="D815" s="212"/>
      <c r="E815" s="212"/>
    </row>
    <row r="816" ht="15.75" customHeight="1">
      <c r="C816" s="212"/>
      <c r="D816" s="212"/>
      <c r="E816" s="212"/>
    </row>
    <row r="817" ht="15.75" customHeight="1">
      <c r="C817" s="212"/>
      <c r="D817" s="212"/>
      <c r="E817" s="212"/>
    </row>
    <row r="818" ht="15.75" customHeight="1">
      <c r="C818" s="212"/>
      <c r="D818" s="212"/>
      <c r="E818" s="212"/>
    </row>
    <row r="819" ht="15.75" customHeight="1">
      <c r="C819" s="212"/>
      <c r="D819" s="212"/>
      <c r="E819" s="212"/>
    </row>
    <row r="820" ht="15.75" customHeight="1">
      <c r="C820" s="212"/>
      <c r="D820" s="212"/>
      <c r="E820" s="212"/>
    </row>
    <row r="821" ht="15.75" customHeight="1">
      <c r="C821" s="212"/>
      <c r="D821" s="212"/>
      <c r="E821" s="212"/>
    </row>
    <row r="822" ht="15.75" customHeight="1">
      <c r="C822" s="212"/>
      <c r="D822" s="212"/>
      <c r="E822" s="212"/>
    </row>
    <row r="823" ht="15.75" customHeight="1">
      <c r="C823" s="212"/>
      <c r="D823" s="212"/>
      <c r="E823" s="212"/>
    </row>
    <row r="824" ht="15.75" customHeight="1">
      <c r="C824" s="212"/>
      <c r="D824" s="212"/>
      <c r="E824" s="212"/>
    </row>
    <row r="825" ht="15.75" customHeight="1">
      <c r="C825" s="212"/>
      <c r="D825" s="212"/>
      <c r="E825" s="212"/>
    </row>
    <row r="826" ht="15.75" customHeight="1">
      <c r="C826" s="212"/>
      <c r="D826" s="212"/>
      <c r="E826" s="212"/>
    </row>
    <row r="827" ht="15.75" customHeight="1">
      <c r="C827" s="212"/>
      <c r="D827" s="212"/>
      <c r="E827" s="212"/>
    </row>
    <row r="828" ht="15.75" customHeight="1">
      <c r="C828" s="212"/>
      <c r="D828" s="212"/>
      <c r="E828" s="212"/>
    </row>
    <row r="829" ht="15.75" customHeight="1">
      <c r="C829" s="212"/>
      <c r="D829" s="212"/>
      <c r="E829" s="212"/>
    </row>
    <row r="830" ht="15.75" customHeight="1">
      <c r="C830" s="212"/>
      <c r="D830" s="212"/>
      <c r="E830" s="212"/>
    </row>
    <row r="831" ht="15.75" customHeight="1">
      <c r="C831" s="212"/>
      <c r="D831" s="212"/>
      <c r="E831" s="212"/>
    </row>
    <row r="832" ht="15.75" customHeight="1">
      <c r="C832" s="212"/>
      <c r="D832" s="212"/>
      <c r="E832" s="212"/>
    </row>
    <row r="833" ht="15.75" customHeight="1">
      <c r="C833" s="212"/>
      <c r="D833" s="212"/>
      <c r="E833" s="212"/>
    </row>
    <row r="834" ht="15.75" customHeight="1">
      <c r="C834" s="212"/>
      <c r="D834" s="212"/>
      <c r="E834" s="212"/>
    </row>
    <row r="835" ht="15.75" customHeight="1">
      <c r="C835" s="212"/>
      <c r="D835" s="212"/>
      <c r="E835" s="212"/>
    </row>
    <row r="836" ht="15.75" customHeight="1">
      <c r="C836" s="212"/>
      <c r="D836" s="212"/>
      <c r="E836" s="212"/>
    </row>
    <row r="837" ht="15.75" customHeight="1">
      <c r="C837" s="212"/>
      <c r="D837" s="212"/>
      <c r="E837" s="212"/>
    </row>
    <row r="838" ht="15.75" customHeight="1">
      <c r="C838" s="212"/>
      <c r="D838" s="212"/>
      <c r="E838" s="212"/>
    </row>
    <row r="839" ht="15.75" customHeight="1">
      <c r="C839" s="212"/>
      <c r="D839" s="212"/>
      <c r="E839" s="212"/>
    </row>
    <row r="840" ht="15.75" customHeight="1">
      <c r="C840" s="212"/>
      <c r="D840" s="212"/>
      <c r="E840" s="212"/>
    </row>
    <row r="841" ht="15.75" customHeight="1">
      <c r="C841" s="212"/>
      <c r="D841" s="212"/>
      <c r="E841" s="212"/>
    </row>
    <row r="842" ht="15.75" customHeight="1">
      <c r="C842" s="212"/>
      <c r="D842" s="212"/>
      <c r="E842" s="212"/>
    </row>
    <row r="843" ht="15.75" customHeight="1">
      <c r="C843" s="212"/>
      <c r="D843" s="212"/>
      <c r="E843" s="212"/>
    </row>
    <row r="844" ht="15.75" customHeight="1">
      <c r="C844" s="212"/>
      <c r="D844" s="212"/>
      <c r="E844" s="212"/>
    </row>
    <row r="845" ht="15.75" customHeight="1">
      <c r="C845" s="212"/>
      <c r="D845" s="212"/>
      <c r="E845" s="212"/>
    </row>
    <row r="846" ht="15.75" customHeight="1">
      <c r="C846" s="212"/>
      <c r="D846" s="212"/>
      <c r="E846" s="212"/>
    </row>
    <row r="847" ht="15.75" customHeight="1">
      <c r="C847" s="212"/>
      <c r="D847" s="212"/>
      <c r="E847" s="212"/>
    </row>
    <row r="848" ht="15.75" customHeight="1">
      <c r="C848" s="212"/>
      <c r="D848" s="212"/>
      <c r="E848" s="212"/>
    </row>
    <row r="849" ht="15.75" customHeight="1">
      <c r="C849" s="212"/>
      <c r="D849" s="212"/>
      <c r="E849" s="212"/>
    </row>
    <row r="850" ht="15.75" customHeight="1">
      <c r="C850" s="212"/>
      <c r="D850" s="212"/>
      <c r="E850" s="212"/>
    </row>
    <row r="851" ht="15.75" customHeight="1">
      <c r="C851" s="212"/>
      <c r="D851" s="212"/>
      <c r="E851" s="212"/>
    </row>
    <row r="852" ht="15.75" customHeight="1">
      <c r="C852" s="212"/>
      <c r="D852" s="212"/>
      <c r="E852" s="212"/>
    </row>
    <row r="853" ht="15.75" customHeight="1">
      <c r="C853" s="212"/>
      <c r="D853" s="212"/>
      <c r="E853" s="212"/>
    </row>
    <row r="854" ht="15.75" customHeight="1">
      <c r="C854" s="212"/>
      <c r="D854" s="212"/>
      <c r="E854" s="212"/>
    </row>
    <row r="855" ht="15.75" customHeight="1">
      <c r="C855" s="212"/>
      <c r="D855" s="212"/>
      <c r="E855" s="212"/>
    </row>
    <row r="856" ht="15.75" customHeight="1">
      <c r="C856" s="212"/>
      <c r="D856" s="212"/>
      <c r="E856" s="212"/>
    </row>
    <row r="857" ht="15.75" customHeight="1">
      <c r="C857" s="212"/>
      <c r="D857" s="212"/>
      <c r="E857" s="212"/>
    </row>
    <row r="858" ht="15.75" customHeight="1">
      <c r="C858" s="212"/>
      <c r="D858" s="212"/>
      <c r="E858" s="212"/>
    </row>
    <row r="859" ht="15.75" customHeight="1">
      <c r="C859" s="212"/>
      <c r="D859" s="212"/>
      <c r="E859" s="212"/>
    </row>
    <row r="860" ht="15.75" customHeight="1">
      <c r="C860" s="212"/>
      <c r="D860" s="212"/>
      <c r="E860" s="212"/>
    </row>
    <row r="861" ht="15.75" customHeight="1">
      <c r="C861" s="212"/>
      <c r="D861" s="212"/>
      <c r="E861" s="212"/>
    </row>
    <row r="862" ht="15.75" customHeight="1">
      <c r="C862" s="212"/>
      <c r="D862" s="212"/>
      <c r="E862" s="212"/>
    </row>
    <row r="863" ht="15.75" customHeight="1">
      <c r="C863" s="212"/>
      <c r="D863" s="212"/>
      <c r="E863" s="212"/>
    </row>
    <row r="864" ht="15.75" customHeight="1">
      <c r="C864" s="212"/>
      <c r="D864" s="212"/>
      <c r="E864" s="212"/>
    </row>
    <row r="865" ht="15.75" customHeight="1">
      <c r="C865" s="212"/>
      <c r="D865" s="212"/>
      <c r="E865" s="212"/>
    </row>
    <row r="866" ht="15.75" customHeight="1">
      <c r="C866" s="212"/>
      <c r="D866" s="212"/>
      <c r="E866" s="212"/>
    </row>
    <row r="867" ht="15.75" customHeight="1">
      <c r="C867" s="212"/>
      <c r="D867" s="212"/>
      <c r="E867" s="212"/>
    </row>
    <row r="868" ht="15.75" customHeight="1">
      <c r="C868" s="212"/>
      <c r="D868" s="212"/>
      <c r="E868" s="212"/>
    </row>
    <row r="869" ht="15.75" customHeight="1">
      <c r="C869" s="212"/>
      <c r="D869" s="212"/>
      <c r="E869" s="212"/>
    </row>
    <row r="870" ht="15.75" customHeight="1">
      <c r="C870" s="212"/>
      <c r="D870" s="212"/>
      <c r="E870" s="212"/>
    </row>
    <row r="871" ht="15.75" customHeight="1">
      <c r="C871" s="212"/>
      <c r="D871" s="212"/>
      <c r="E871" s="212"/>
    </row>
    <row r="872" ht="15.75" customHeight="1">
      <c r="C872" s="212"/>
      <c r="D872" s="212"/>
      <c r="E872" s="212"/>
    </row>
    <row r="873" ht="15.75" customHeight="1">
      <c r="C873" s="212"/>
      <c r="D873" s="212"/>
      <c r="E873" s="212"/>
    </row>
    <row r="874" ht="15.75" customHeight="1">
      <c r="C874" s="212"/>
      <c r="D874" s="212"/>
      <c r="E874" s="212"/>
    </row>
    <row r="875" ht="15.75" customHeight="1">
      <c r="C875" s="212"/>
      <c r="D875" s="212"/>
      <c r="E875" s="212"/>
    </row>
    <row r="876" ht="15.75" customHeight="1">
      <c r="C876" s="212"/>
      <c r="D876" s="212"/>
      <c r="E876" s="212"/>
    </row>
    <row r="877" ht="15.75" customHeight="1">
      <c r="C877" s="212"/>
      <c r="D877" s="212"/>
      <c r="E877" s="212"/>
    </row>
    <row r="878" ht="15.75" customHeight="1">
      <c r="C878" s="212"/>
      <c r="D878" s="212"/>
      <c r="E878" s="212"/>
    </row>
    <row r="879" ht="15.75" customHeight="1">
      <c r="C879" s="212"/>
      <c r="D879" s="212"/>
      <c r="E879" s="212"/>
    </row>
    <row r="880" ht="15.75" customHeight="1">
      <c r="C880" s="212"/>
      <c r="D880" s="212"/>
      <c r="E880" s="212"/>
    </row>
    <row r="881" ht="15.75" customHeight="1">
      <c r="C881" s="212"/>
      <c r="D881" s="212"/>
      <c r="E881" s="212"/>
    </row>
    <row r="882" ht="15.75" customHeight="1">
      <c r="C882" s="212"/>
      <c r="D882" s="212"/>
      <c r="E882" s="212"/>
    </row>
    <row r="883" ht="15.75" customHeight="1">
      <c r="C883" s="212"/>
      <c r="D883" s="212"/>
      <c r="E883" s="212"/>
    </row>
    <row r="884" ht="15.75" customHeight="1">
      <c r="C884" s="212"/>
      <c r="D884" s="212"/>
      <c r="E884" s="212"/>
    </row>
    <row r="885" ht="15.75" customHeight="1">
      <c r="C885" s="212"/>
      <c r="D885" s="212"/>
      <c r="E885" s="212"/>
    </row>
    <row r="886" ht="15.75" customHeight="1">
      <c r="C886" s="212"/>
      <c r="D886" s="212"/>
      <c r="E886" s="212"/>
    </row>
    <row r="887" ht="15.75" customHeight="1">
      <c r="C887" s="212"/>
      <c r="D887" s="212"/>
      <c r="E887" s="212"/>
    </row>
    <row r="888" ht="15.75" customHeight="1">
      <c r="C888" s="212"/>
      <c r="D888" s="212"/>
      <c r="E888" s="212"/>
    </row>
    <row r="889" ht="15.75" customHeight="1">
      <c r="C889" s="212"/>
      <c r="D889" s="212"/>
      <c r="E889" s="212"/>
    </row>
    <row r="890" ht="15.75" customHeight="1">
      <c r="C890" s="212"/>
      <c r="D890" s="212"/>
      <c r="E890" s="212"/>
    </row>
    <row r="891" ht="15.75" customHeight="1">
      <c r="C891" s="212"/>
      <c r="D891" s="212"/>
      <c r="E891" s="212"/>
    </row>
    <row r="892" ht="15.75" customHeight="1">
      <c r="C892" s="212"/>
      <c r="D892" s="212"/>
      <c r="E892" s="212"/>
    </row>
    <row r="893" ht="15.75" customHeight="1">
      <c r="C893" s="212"/>
      <c r="D893" s="212"/>
      <c r="E893" s="212"/>
    </row>
    <row r="894" ht="15.75" customHeight="1">
      <c r="C894" s="212"/>
      <c r="D894" s="212"/>
      <c r="E894" s="212"/>
    </row>
    <row r="895" ht="15.75" customHeight="1">
      <c r="C895" s="212"/>
      <c r="D895" s="212"/>
      <c r="E895" s="212"/>
    </row>
    <row r="896" ht="15.75" customHeight="1">
      <c r="C896" s="212"/>
      <c r="D896" s="212"/>
      <c r="E896" s="212"/>
    </row>
    <row r="897" ht="15.75" customHeight="1">
      <c r="C897" s="212"/>
      <c r="D897" s="212"/>
      <c r="E897" s="212"/>
    </row>
    <row r="898" ht="15.75" customHeight="1">
      <c r="C898" s="212"/>
      <c r="D898" s="212"/>
      <c r="E898" s="212"/>
    </row>
    <row r="899" ht="15.75" customHeight="1">
      <c r="C899" s="212"/>
      <c r="D899" s="212"/>
      <c r="E899" s="212"/>
    </row>
    <row r="900" ht="15.75" customHeight="1">
      <c r="C900" s="212"/>
      <c r="D900" s="212"/>
      <c r="E900" s="212"/>
    </row>
    <row r="901" ht="15.75" customHeight="1">
      <c r="C901" s="212"/>
      <c r="D901" s="212"/>
      <c r="E901" s="212"/>
    </row>
    <row r="902" ht="15.75" customHeight="1">
      <c r="C902" s="212"/>
      <c r="D902" s="212"/>
      <c r="E902" s="212"/>
    </row>
    <row r="903" ht="15.75" customHeight="1">
      <c r="C903" s="212"/>
      <c r="D903" s="212"/>
      <c r="E903" s="212"/>
    </row>
    <row r="904" ht="15.75" customHeight="1">
      <c r="C904" s="212"/>
      <c r="D904" s="212"/>
      <c r="E904" s="212"/>
    </row>
    <row r="905" ht="15.75" customHeight="1">
      <c r="C905" s="212"/>
      <c r="D905" s="212"/>
      <c r="E905" s="212"/>
    </row>
    <row r="906" ht="15.75" customHeight="1">
      <c r="C906" s="212"/>
      <c r="D906" s="212"/>
      <c r="E906" s="212"/>
    </row>
    <row r="907" ht="15.75" customHeight="1">
      <c r="C907" s="212"/>
      <c r="D907" s="212"/>
      <c r="E907" s="212"/>
    </row>
    <row r="908" ht="15.75" customHeight="1">
      <c r="C908" s="212"/>
      <c r="D908" s="212"/>
      <c r="E908" s="212"/>
    </row>
    <row r="909" ht="15.75" customHeight="1">
      <c r="C909" s="212"/>
      <c r="D909" s="212"/>
      <c r="E909" s="212"/>
    </row>
    <row r="910" ht="15.75" customHeight="1">
      <c r="C910" s="212"/>
      <c r="D910" s="212"/>
      <c r="E910" s="212"/>
    </row>
    <row r="911" ht="15.75" customHeight="1">
      <c r="C911" s="212"/>
      <c r="D911" s="212"/>
      <c r="E911" s="212"/>
    </row>
    <row r="912" ht="15.75" customHeight="1">
      <c r="C912" s="212"/>
      <c r="D912" s="212"/>
      <c r="E912" s="212"/>
    </row>
    <row r="913" ht="15.75" customHeight="1">
      <c r="C913" s="212"/>
      <c r="D913" s="212"/>
      <c r="E913" s="212"/>
    </row>
    <row r="914" ht="15.75" customHeight="1">
      <c r="C914" s="212"/>
      <c r="D914" s="212"/>
      <c r="E914" s="212"/>
    </row>
    <row r="915" ht="15.75" customHeight="1">
      <c r="C915" s="212"/>
      <c r="D915" s="212"/>
      <c r="E915" s="212"/>
    </row>
    <row r="916" ht="15.75" customHeight="1">
      <c r="C916" s="212"/>
      <c r="D916" s="212"/>
      <c r="E916" s="212"/>
    </row>
    <row r="917" ht="15.75" customHeight="1">
      <c r="C917" s="212"/>
      <c r="D917" s="212"/>
      <c r="E917" s="212"/>
    </row>
    <row r="918" ht="15.75" customHeight="1">
      <c r="C918" s="212"/>
      <c r="D918" s="212"/>
      <c r="E918" s="212"/>
    </row>
    <row r="919" ht="15.75" customHeight="1">
      <c r="C919" s="212"/>
      <c r="D919" s="212"/>
      <c r="E919" s="212"/>
    </row>
    <row r="920" ht="15.75" customHeight="1">
      <c r="C920" s="212"/>
      <c r="D920" s="212"/>
      <c r="E920" s="212"/>
    </row>
    <row r="921" ht="15.75" customHeight="1">
      <c r="C921" s="212"/>
      <c r="D921" s="212"/>
      <c r="E921" s="212"/>
    </row>
    <row r="922" ht="15.75" customHeight="1">
      <c r="C922" s="212"/>
      <c r="D922" s="212"/>
      <c r="E922" s="212"/>
    </row>
    <row r="923" ht="15.75" customHeight="1">
      <c r="C923" s="212"/>
      <c r="D923" s="212"/>
      <c r="E923" s="212"/>
    </row>
    <row r="924" ht="15.75" customHeight="1">
      <c r="C924" s="212"/>
      <c r="D924" s="212"/>
      <c r="E924" s="212"/>
    </row>
    <row r="925" ht="15.75" customHeight="1">
      <c r="C925" s="212"/>
      <c r="D925" s="212"/>
      <c r="E925" s="212"/>
    </row>
    <row r="926" ht="15.75" customHeight="1">
      <c r="C926" s="212"/>
      <c r="D926" s="212"/>
      <c r="E926" s="212"/>
    </row>
    <row r="927" ht="15.75" customHeight="1">
      <c r="C927" s="212"/>
      <c r="D927" s="212"/>
      <c r="E927" s="212"/>
    </row>
    <row r="928" ht="15.75" customHeight="1">
      <c r="C928" s="212"/>
      <c r="D928" s="212"/>
      <c r="E928" s="212"/>
    </row>
    <row r="929" ht="15.75" customHeight="1">
      <c r="C929" s="212"/>
      <c r="D929" s="212"/>
      <c r="E929" s="212"/>
    </row>
    <row r="930" ht="15.75" customHeight="1">
      <c r="C930" s="212"/>
      <c r="D930" s="212"/>
      <c r="E930" s="212"/>
    </row>
    <row r="931" ht="15.75" customHeight="1">
      <c r="C931" s="212"/>
      <c r="D931" s="212"/>
      <c r="E931" s="212"/>
    </row>
    <row r="932" ht="15.75" customHeight="1">
      <c r="C932" s="212"/>
      <c r="D932" s="212"/>
      <c r="E932" s="212"/>
    </row>
    <row r="933" ht="15.75" customHeight="1">
      <c r="C933" s="212"/>
      <c r="D933" s="212"/>
      <c r="E933" s="212"/>
    </row>
    <row r="934" ht="15.75" customHeight="1">
      <c r="C934" s="212"/>
      <c r="D934" s="212"/>
      <c r="E934" s="212"/>
    </row>
    <row r="935" ht="15.75" customHeight="1">
      <c r="C935" s="212"/>
      <c r="D935" s="212"/>
      <c r="E935" s="212"/>
    </row>
    <row r="936" ht="15.75" customHeight="1">
      <c r="C936" s="212"/>
      <c r="D936" s="212"/>
      <c r="E936" s="212"/>
    </row>
    <row r="937" ht="15.75" customHeight="1">
      <c r="C937" s="212"/>
      <c r="D937" s="212"/>
      <c r="E937" s="212"/>
    </row>
    <row r="938" ht="15.75" customHeight="1">
      <c r="C938" s="212"/>
      <c r="D938" s="212"/>
      <c r="E938" s="212"/>
    </row>
    <row r="939" ht="15.75" customHeight="1">
      <c r="C939" s="212"/>
      <c r="D939" s="212"/>
      <c r="E939" s="212"/>
    </row>
    <row r="940" ht="15.75" customHeight="1">
      <c r="C940" s="212"/>
      <c r="D940" s="212"/>
      <c r="E940" s="212"/>
    </row>
    <row r="941" ht="15.75" customHeight="1">
      <c r="C941" s="212"/>
      <c r="D941" s="212"/>
      <c r="E941" s="212"/>
    </row>
    <row r="942" ht="15.75" customHeight="1">
      <c r="C942" s="212"/>
      <c r="D942" s="212"/>
      <c r="E942" s="212"/>
    </row>
    <row r="943" ht="15.75" customHeight="1">
      <c r="C943" s="212"/>
      <c r="D943" s="212"/>
      <c r="E943" s="212"/>
    </row>
    <row r="944" ht="15.75" customHeight="1">
      <c r="C944" s="212"/>
      <c r="D944" s="212"/>
      <c r="E944" s="212"/>
    </row>
    <row r="945" ht="15.75" customHeight="1">
      <c r="C945" s="212"/>
      <c r="D945" s="212"/>
      <c r="E945" s="212"/>
    </row>
    <row r="946" ht="15.75" customHeight="1">
      <c r="C946" s="212"/>
      <c r="D946" s="212"/>
      <c r="E946" s="212"/>
    </row>
    <row r="947" ht="15.75" customHeight="1">
      <c r="C947" s="212"/>
      <c r="D947" s="212"/>
      <c r="E947" s="212"/>
    </row>
    <row r="948" ht="15.75" customHeight="1">
      <c r="C948" s="212"/>
      <c r="D948" s="212"/>
      <c r="E948" s="212"/>
    </row>
    <row r="949" ht="15.75" customHeight="1">
      <c r="C949" s="212"/>
      <c r="D949" s="212"/>
      <c r="E949" s="212"/>
    </row>
    <row r="950" ht="15.75" customHeight="1">
      <c r="C950" s="212"/>
      <c r="D950" s="212"/>
      <c r="E950" s="212"/>
    </row>
    <row r="951" ht="15.75" customHeight="1">
      <c r="C951" s="212"/>
      <c r="D951" s="212"/>
      <c r="E951" s="212"/>
    </row>
    <row r="952" ht="15.75" customHeight="1">
      <c r="C952" s="212"/>
      <c r="D952" s="212"/>
      <c r="E952" s="212"/>
    </row>
    <row r="953" ht="15.75" customHeight="1">
      <c r="C953" s="212"/>
      <c r="D953" s="212"/>
      <c r="E953" s="212"/>
    </row>
    <row r="954" ht="15.75" customHeight="1">
      <c r="C954" s="212"/>
      <c r="D954" s="212"/>
      <c r="E954" s="212"/>
    </row>
    <row r="955" ht="15.75" customHeight="1">
      <c r="C955" s="212"/>
      <c r="D955" s="212"/>
      <c r="E955" s="212"/>
    </row>
    <row r="956" ht="15.75" customHeight="1">
      <c r="C956" s="212"/>
      <c r="D956" s="212"/>
      <c r="E956" s="212"/>
    </row>
    <row r="957" ht="15.75" customHeight="1">
      <c r="C957" s="212"/>
      <c r="D957" s="212"/>
      <c r="E957" s="212"/>
    </row>
    <row r="958" ht="15.75" customHeight="1">
      <c r="C958" s="212"/>
      <c r="D958" s="212"/>
      <c r="E958" s="212"/>
    </row>
    <row r="959" ht="15.75" customHeight="1">
      <c r="C959" s="212"/>
      <c r="D959" s="212"/>
      <c r="E959" s="212"/>
    </row>
    <row r="960" ht="15.75" customHeight="1">
      <c r="C960" s="212"/>
      <c r="D960" s="212"/>
      <c r="E960" s="212"/>
    </row>
    <row r="961" ht="15.75" customHeight="1">
      <c r="C961" s="212"/>
      <c r="D961" s="212"/>
      <c r="E961" s="212"/>
    </row>
    <row r="962" ht="15.75" customHeight="1">
      <c r="C962" s="212"/>
      <c r="D962" s="212"/>
      <c r="E962" s="212"/>
    </row>
    <row r="963" ht="15.75" customHeight="1">
      <c r="C963" s="212"/>
      <c r="D963" s="212"/>
      <c r="E963" s="212"/>
    </row>
    <row r="964" ht="15.75" customHeight="1">
      <c r="C964" s="212"/>
      <c r="D964" s="212"/>
      <c r="E964" s="212"/>
    </row>
    <row r="965" ht="15.75" customHeight="1">
      <c r="C965" s="212"/>
      <c r="D965" s="212"/>
      <c r="E965" s="212"/>
    </row>
    <row r="966" ht="15.75" customHeight="1">
      <c r="C966" s="212"/>
      <c r="D966" s="212"/>
      <c r="E966" s="212"/>
    </row>
    <row r="967" ht="15.75" customHeight="1">
      <c r="C967" s="212"/>
      <c r="D967" s="212"/>
      <c r="E967" s="212"/>
    </row>
    <row r="968" ht="15.75" customHeight="1">
      <c r="C968" s="212"/>
      <c r="D968" s="212"/>
      <c r="E968" s="212"/>
    </row>
    <row r="969" ht="15.75" customHeight="1">
      <c r="C969" s="212"/>
      <c r="D969" s="212"/>
      <c r="E969" s="212"/>
    </row>
  </sheetData>
  <mergeCells count="396"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93:E393"/>
    <mergeCell ref="D394:E394"/>
    <mergeCell ref="D395:E395"/>
    <mergeCell ref="D396:E396"/>
    <mergeCell ref="D386:E386"/>
    <mergeCell ref="D387:E387"/>
    <mergeCell ref="D388:E388"/>
    <mergeCell ref="D389:E389"/>
    <mergeCell ref="D390:E390"/>
    <mergeCell ref="D391:E391"/>
    <mergeCell ref="D392:E392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</mergeCells>
  <conditionalFormatting sqref="C1 D1:H969 C397:C969">
    <cfRule type="notContainsBlanks" dxfId="0" priority="1">
      <formula>LEN(TRIM(C1))&gt;0</formula>
    </cfRule>
  </conditionalFormatting>
  <conditionalFormatting sqref="F2">
    <cfRule type="colorScale" priority="2">
      <colorScale>
        <cfvo type="min"/>
        <cfvo type="max"/>
        <color rgb="FF57BB8A"/>
        <color rgb="FFFFFFFF"/>
      </colorScale>
    </cfRule>
  </conditionalFormatting>
  <conditionalFormatting sqref="I1:I969">
    <cfRule type="notContainsBlanks" dxfId="0" priority="3">
      <formula>LEN(TRIM(I1))&gt;0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0" t="s">
        <v>6</v>
      </c>
      <c r="B1" s="261" t="s">
        <v>473</v>
      </c>
      <c r="D1" s="260" t="s">
        <v>6</v>
      </c>
      <c r="E1" s="261" t="s">
        <v>473</v>
      </c>
    </row>
    <row r="2">
      <c r="A2" s="216" t="s">
        <v>392</v>
      </c>
      <c r="B2" s="20">
        <v>824.0</v>
      </c>
      <c r="D2" s="216" t="s">
        <v>32</v>
      </c>
      <c r="E2" s="20">
        <v>0.0</v>
      </c>
    </row>
    <row r="3">
      <c r="A3" s="250" t="s">
        <v>245</v>
      </c>
      <c r="B3" s="20">
        <v>1312.0</v>
      </c>
      <c r="D3" s="216" t="s">
        <v>285</v>
      </c>
      <c r="E3" s="20">
        <v>6.0</v>
      </c>
    </row>
    <row r="4">
      <c r="A4" s="216" t="s">
        <v>391</v>
      </c>
      <c r="B4" s="20">
        <v>405.0</v>
      </c>
      <c r="D4" s="250" t="s">
        <v>12</v>
      </c>
      <c r="E4" s="20">
        <v>17.0</v>
      </c>
    </row>
    <row r="5">
      <c r="A5" s="216" t="s">
        <v>165</v>
      </c>
      <c r="B5" s="20">
        <v>1655.0</v>
      </c>
      <c r="D5" s="250" t="s">
        <v>349</v>
      </c>
      <c r="E5" s="20">
        <v>19.0</v>
      </c>
    </row>
    <row r="6">
      <c r="A6" s="216" t="s">
        <v>162</v>
      </c>
      <c r="B6" s="20">
        <v>1054.0</v>
      </c>
      <c r="D6" s="216" t="s">
        <v>305</v>
      </c>
      <c r="E6" s="20">
        <v>21.0</v>
      </c>
    </row>
    <row r="7">
      <c r="A7" s="216" t="s">
        <v>91</v>
      </c>
      <c r="B7" s="20">
        <v>1203.0</v>
      </c>
      <c r="D7" s="216" t="s">
        <v>31</v>
      </c>
      <c r="E7" s="20">
        <v>22.0</v>
      </c>
    </row>
    <row r="8">
      <c r="A8" s="216" t="s">
        <v>167</v>
      </c>
      <c r="B8" s="20">
        <v>1369.0</v>
      </c>
      <c r="D8" s="216" t="s">
        <v>208</v>
      </c>
      <c r="E8" s="20">
        <v>25.0</v>
      </c>
    </row>
    <row r="9">
      <c r="A9" s="216" t="s">
        <v>424</v>
      </c>
      <c r="B9" s="20">
        <v>1565.0</v>
      </c>
      <c r="D9" s="250" t="s">
        <v>151</v>
      </c>
      <c r="E9" s="20">
        <v>26.0</v>
      </c>
    </row>
    <row r="10">
      <c r="A10" s="250" t="s">
        <v>202</v>
      </c>
      <c r="B10" s="20">
        <v>1958.0</v>
      </c>
      <c r="D10" s="250" t="s">
        <v>126</v>
      </c>
      <c r="E10" s="20">
        <v>29.0</v>
      </c>
    </row>
    <row r="11">
      <c r="A11" s="216" t="s">
        <v>132</v>
      </c>
      <c r="B11" s="20">
        <v>1513.0</v>
      </c>
      <c r="D11" s="216" t="s">
        <v>21</v>
      </c>
      <c r="E11" s="20">
        <v>48.0</v>
      </c>
    </row>
    <row r="12">
      <c r="A12" s="250" t="s">
        <v>161</v>
      </c>
      <c r="B12" s="20">
        <v>1433.0</v>
      </c>
      <c r="D12" s="216" t="s">
        <v>396</v>
      </c>
      <c r="E12" s="20">
        <v>52.0</v>
      </c>
    </row>
    <row r="13">
      <c r="A13" s="216" t="s">
        <v>169</v>
      </c>
      <c r="B13" s="20">
        <v>1433.0</v>
      </c>
      <c r="D13" s="250" t="s">
        <v>405</v>
      </c>
      <c r="E13" s="20">
        <v>53.0</v>
      </c>
    </row>
    <row r="14">
      <c r="A14" s="216" t="s">
        <v>404</v>
      </c>
      <c r="B14" s="20">
        <v>769.0</v>
      </c>
      <c r="D14" s="216" t="s">
        <v>47</v>
      </c>
      <c r="E14" s="20">
        <v>57.0</v>
      </c>
    </row>
    <row r="15">
      <c r="A15" s="216" t="s">
        <v>411</v>
      </c>
      <c r="B15" s="20">
        <v>1132.0</v>
      </c>
      <c r="D15" s="250" t="s">
        <v>120</v>
      </c>
      <c r="E15" s="20">
        <v>58.0</v>
      </c>
    </row>
    <row r="16">
      <c r="A16" s="216" t="s">
        <v>413</v>
      </c>
      <c r="B16" s="20">
        <v>748.0</v>
      </c>
      <c r="D16" s="216" t="s">
        <v>340</v>
      </c>
      <c r="E16" s="20">
        <v>62.0</v>
      </c>
    </row>
    <row r="17">
      <c r="A17" s="250" t="s">
        <v>410</v>
      </c>
      <c r="B17" s="20">
        <v>196.0</v>
      </c>
      <c r="D17" s="216" t="s">
        <v>175</v>
      </c>
      <c r="E17" s="20">
        <v>63.0</v>
      </c>
    </row>
    <row r="18">
      <c r="A18" s="250" t="s">
        <v>421</v>
      </c>
      <c r="B18" s="20">
        <v>291.0</v>
      </c>
      <c r="D18" s="250" t="s">
        <v>286</v>
      </c>
      <c r="E18" s="20">
        <v>66.0</v>
      </c>
    </row>
    <row r="19">
      <c r="A19" s="216" t="s">
        <v>171</v>
      </c>
      <c r="B19" s="20">
        <v>1103.0</v>
      </c>
      <c r="D19" s="216" t="s">
        <v>333</v>
      </c>
      <c r="E19" s="20">
        <v>69.0</v>
      </c>
    </row>
    <row r="20">
      <c r="A20" s="250" t="s">
        <v>151</v>
      </c>
      <c r="B20" s="20">
        <v>26.0</v>
      </c>
      <c r="D20" s="216" t="s">
        <v>118</v>
      </c>
      <c r="E20" s="20">
        <v>72.0</v>
      </c>
    </row>
    <row r="21">
      <c r="A21" s="250" t="s">
        <v>288</v>
      </c>
      <c r="B21" s="20">
        <v>745.0</v>
      </c>
      <c r="D21" s="250" t="s">
        <v>434</v>
      </c>
      <c r="E21" s="20">
        <v>74.0</v>
      </c>
    </row>
    <row r="22">
      <c r="A22" s="250" t="s">
        <v>12</v>
      </c>
      <c r="B22" s="20">
        <v>17.0</v>
      </c>
      <c r="D22" s="216" t="s">
        <v>60</v>
      </c>
      <c r="E22" s="20">
        <v>75.0</v>
      </c>
    </row>
    <row r="23">
      <c r="A23" s="216" t="s">
        <v>280</v>
      </c>
      <c r="B23" s="20">
        <v>767.0</v>
      </c>
      <c r="D23" s="216" t="s">
        <v>241</v>
      </c>
      <c r="E23" s="20">
        <v>84.0</v>
      </c>
    </row>
    <row r="24">
      <c r="A24" s="250" t="s">
        <v>294</v>
      </c>
      <c r="B24" s="20">
        <v>746.0</v>
      </c>
      <c r="D24" s="250" t="s">
        <v>257</v>
      </c>
      <c r="E24" s="20">
        <v>90.0</v>
      </c>
    </row>
    <row r="25">
      <c r="A25" s="216" t="s">
        <v>103</v>
      </c>
      <c r="B25" s="20">
        <v>686.0</v>
      </c>
      <c r="D25" s="216" t="s">
        <v>158</v>
      </c>
      <c r="E25" s="20">
        <v>93.0</v>
      </c>
    </row>
    <row r="26">
      <c r="A26" s="250" t="s">
        <v>16</v>
      </c>
      <c r="B26" s="20">
        <v>1486.0</v>
      </c>
      <c r="D26" s="216" t="s">
        <v>182</v>
      </c>
      <c r="E26" s="20">
        <v>96.0</v>
      </c>
    </row>
    <row r="27">
      <c r="A27" s="250" t="s">
        <v>303</v>
      </c>
      <c r="B27" s="20">
        <v>1972.0</v>
      </c>
      <c r="D27" s="250" t="s">
        <v>363</v>
      </c>
      <c r="E27" s="20">
        <v>98.0</v>
      </c>
    </row>
    <row r="28">
      <c r="A28" s="216" t="s">
        <v>354</v>
      </c>
      <c r="B28" s="20">
        <v>452.0</v>
      </c>
      <c r="D28" s="216" t="s">
        <v>337</v>
      </c>
      <c r="E28" s="20">
        <v>128.0</v>
      </c>
    </row>
    <row r="29">
      <c r="A29" s="216" t="s">
        <v>31</v>
      </c>
      <c r="B29" s="20">
        <v>22.0</v>
      </c>
      <c r="D29" s="216" t="s">
        <v>284</v>
      </c>
      <c r="E29" s="20">
        <v>131.0</v>
      </c>
    </row>
    <row r="30">
      <c r="A30" s="250" t="s">
        <v>82</v>
      </c>
      <c r="B30" s="20">
        <v>154.0</v>
      </c>
      <c r="D30" s="250" t="s">
        <v>276</v>
      </c>
      <c r="E30" s="20">
        <v>132.0</v>
      </c>
    </row>
    <row r="31">
      <c r="A31" s="216" t="s">
        <v>414</v>
      </c>
      <c r="B31" s="20">
        <v>1149.0</v>
      </c>
      <c r="D31" s="216" t="s">
        <v>326</v>
      </c>
      <c r="E31" s="20">
        <v>136.0</v>
      </c>
    </row>
    <row r="32">
      <c r="A32" s="216" t="s">
        <v>38</v>
      </c>
      <c r="B32" s="20">
        <v>1057.0</v>
      </c>
      <c r="D32" s="250" t="s">
        <v>331</v>
      </c>
      <c r="E32" s="20">
        <v>137.0</v>
      </c>
    </row>
    <row r="33">
      <c r="A33" s="250" t="s">
        <v>307</v>
      </c>
      <c r="B33" s="20">
        <v>295.0</v>
      </c>
      <c r="D33" s="250" t="s">
        <v>122</v>
      </c>
      <c r="E33" s="20">
        <v>142.0</v>
      </c>
    </row>
    <row r="34">
      <c r="A34" s="250" t="s">
        <v>64</v>
      </c>
      <c r="B34" s="20">
        <v>1410.0</v>
      </c>
      <c r="D34" s="250" t="s">
        <v>319</v>
      </c>
      <c r="E34" s="20">
        <v>145.0</v>
      </c>
    </row>
    <row r="35">
      <c r="A35" s="216" t="s">
        <v>318</v>
      </c>
      <c r="B35" s="20">
        <v>224.0</v>
      </c>
      <c r="D35" s="250" t="s">
        <v>42</v>
      </c>
      <c r="E35" s="20">
        <v>148.0</v>
      </c>
    </row>
    <row r="36">
      <c r="A36" s="250" t="s">
        <v>298</v>
      </c>
      <c r="B36" s="20">
        <v>675.0</v>
      </c>
      <c r="D36" s="216" t="s">
        <v>353</v>
      </c>
      <c r="E36" s="20">
        <v>149.0</v>
      </c>
    </row>
    <row r="37">
      <c r="A37" s="250" t="s">
        <v>24</v>
      </c>
      <c r="B37" s="20">
        <v>1946.0</v>
      </c>
      <c r="D37" s="250" t="s">
        <v>82</v>
      </c>
      <c r="E37" s="20">
        <v>154.0</v>
      </c>
    </row>
    <row r="38">
      <c r="A38" s="250" t="s">
        <v>329</v>
      </c>
      <c r="B38" s="20">
        <v>1155.0</v>
      </c>
      <c r="D38" s="250" t="s">
        <v>231</v>
      </c>
      <c r="E38" s="20">
        <v>157.0</v>
      </c>
    </row>
    <row r="39">
      <c r="A39" s="216" t="s">
        <v>89</v>
      </c>
      <c r="B39" s="20">
        <v>697.0</v>
      </c>
      <c r="D39" s="250" t="s">
        <v>281</v>
      </c>
      <c r="E39" s="20">
        <v>159.0</v>
      </c>
    </row>
    <row r="40">
      <c r="A40" s="250" t="s">
        <v>75</v>
      </c>
      <c r="B40" s="20">
        <v>712.0</v>
      </c>
      <c r="D40" s="216" t="s">
        <v>330</v>
      </c>
      <c r="E40" s="20">
        <v>163.0</v>
      </c>
    </row>
    <row r="41">
      <c r="A41" s="216" t="s">
        <v>175</v>
      </c>
      <c r="B41" s="20">
        <v>63.0</v>
      </c>
      <c r="D41" s="250" t="s">
        <v>111</v>
      </c>
      <c r="E41" s="20">
        <v>164.0</v>
      </c>
    </row>
    <row r="42">
      <c r="A42" s="216" t="s">
        <v>92</v>
      </c>
      <c r="B42" s="20">
        <v>1061.0</v>
      </c>
      <c r="D42" s="250" t="s">
        <v>100</v>
      </c>
      <c r="E42" s="20">
        <v>170.0</v>
      </c>
    </row>
    <row r="43">
      <c r="A43" s="216" t="s">
        <v>170</v>
      </c>
      <c r="B43" s="20">
        <v>1108.0</v>
      </c>
      <c r="D43" s="250" t="s">
        <v>66</v>
      </c>
      <c r="E43" s="20">
        <v>178.0</v>
      </c>
    </row>
    <row r="44">
      <c r="A44" s="216" t="s">
        <v>417</v>
      </c>
      <c r="B44" s="20">
        <v>1966.0</v>
      </c>
      <c r="D44" s="250" t="s">
        <v>410</v>
      </c>
      <c r="E44" s="20">
        <v>196.0</v>
      </c>
    </row>
    <row r="45">
      <c r="A45" s="250" t="s">
        <v>289</v>
      </c>
      <c r="B45" s="20">
        <v>666.0</v>
      </c>
      <c r="D45" s="216" t="s">
        <v>96</v>
      </c>
      <c r="E45" s="20">
        <v>197.0</v>
      </c>
    </row>
    <row r="46">
      <c r="A46" s="216" t="s">
        <v>208</v>
      </c>
      <c r="B46" s="20">
        <v>25.0</v>
      </c>
      <c r="D46" s="216" t="s">
        <v>458</v>
      </c>
      <c r="E46" s="20">
        <v>209.0</v>
      </c>
    </row>
    <row r="47">
      <c r="A47" s="216" t="s">
        <v>97</v>
      </c>
      <c r="B47" s="20">
        <v>691.0</v>
      </c>
      <c r="D47" s="250" t="s">
        <v>48</v>
      </c>
      <c r="E47" s="20">
        <v>211.0</v>
      </c>
    </row>
    <row r="48">
      <c r="A48" s="250" t="s">
        <v>366</v>
      </c>
      <c r="B48" s="20">
        <v>1934.0</v>
      </c>
      <c r="D48" s="216" t="s">
        <v>222</v>
      </c>
      <c r="E48" s="20">
        <v>217.0</v>
      </c>
    </row>
    <row r="49">
      <c r="A49" s="216" t="s">
        <v>79</v>
      </c>
      <c r="B49" s="20">
        <v>1841.0</v>
      </c>
      <c r="D49" s="250" t="s">
        <v>237</v>
      </c>
      <c r="E49" s="20">
        <v>218.0</v>
      </c>
    </row>
    <row r="50">
      <c r="A50" s="250" t="s">
        <v>51</v>
      </c>
      <c r="B50" s="20">
        <v>1541.0</v>
      </c>
      <c r="D50" s="216" t="s">
        <v>141</v>
      </c>
      <c r="E50" s="20">
        <v>222.0</v>
      </c>
    </row>
    <row r="51">
      <c r="A51" s="250" t="s">
        <v>213</v>
      </c>
      <c r="B51" s="20">
        <v>1692.0</v>
      </c>
      <c r="D51" s="216" t="s">
        <v>318</v>
      </c>
      <c r="E51" s="20">
        <v>224.0</v>
      </c>
    </row>
    <row r="52">
      <c r="A52" s="216" t="s">
        <v>239</v>
      </c>
      <c r="B52" s="20">
        <v>1438.0</v>
      </c>
      <c r="D52" s="216" t="s">
        <v>217</v>
      </c>
      <c r="E52" s="20">
        <v>226.0</v>
      </c>
    </row>
    <row r="53">
      <c r="A53" s="216" t="s">
        <v>187</v>
      </c>
      <c r="B53" s="20">
        <v>1366.0</v>
      </c>
      <c r="D53" s="216" t="s">
        <v>155</v>
      </c>
      <c r="E53" s="20">
        <v>230.0</v>
      </c>
    </row>
    <row r="54">
      <c r="A54" s="250" t="s">
        <v>76</v>
      </c>
      <c r="B54" s="20">
        <v>1023.0</v>
      </c>
      <c r="D54" s="216" t="s">
        <v>352</v>
      </c>
      <c r="E54" s="20">
        <v>232.0</v>
      </c>
    </row>
    <row r="55">
      <c r="A55" s="216" t="s">
        <v>214</v>
      </c>
      <c r="B55" s="216" t="s">
        <v>134</v>
      </c>
      <c r="D55" s="216" t="s">
        <v>211</v>
      </c>
      <c r="E55" s="20">
        <v>233.0</v>
      </c>
    </row>
    <row r="56">
      <c r="A56" s="250" t="s">
        <v>120</v>
      </c>
      <c r="B56" s="20">
        <v>58.0</v>
      </c>
      <c r="D56" s="216" t="s">
        <v>70</v>
      </c>
      <c r="E56" s="20">
        <v>244.0</v>
      </c>
    </row>
    <row r="57">
      <c r="A57" s="216" t="s">
        <v>336</v>
      </c>
      <c r="B57" s="20">
        <v>646.0</v>
      </c>
      <c r="D57" s="216" t="s">
        <v>377</v>
      </c>
      <c r="E57" s="20">
        <v>246.0</v>
      </c>
    </row>
    <row r="58">
      <c r="A58" s="216" t="s">
        <v>80</v>
      </c>
      <c r="B58" s="20">
        <v>567.0</v>
      </c>
      <c r="D58" s="216" t="s">
        <v>449</v>
      </c>
      <c r="E58" s="20">
        <v>256.0</v>
      </c>
    </row>
    <row r="59">
      <c r="A59" s="216" t="s">
        <v>217</v>
      </c>
      <c r="B59" s="20">
        <v>226.0</v>
      </c>
      <c r="D59" s="216" t="s">
        <v>293</v>
      </c>
      <c r="E59" s="20">
        <v>264.0</v>
      </c>
    </row>
    <row r="60">
      <c r="A60" s="250" t="s">
        <v>61</v>
      </c>
      <c r="B60" s="20">
        <v>1926.0</v>
      </c>
      <c r="D60" s="216" t="s">
        <v>235</v>
      </c>
      <c r="E60" s="20">
        <v>269.0</v>
      </c>
    </row>
    <row r="61">
      <c r="A61" s="216" t="s">
        <v>385</v>
      </c>
      <c r="B61" s="20">
        <v>1030.0</v>
      </c>
      <c r="D61" s="216" t="s">
        <v>252</v>
      </c>
      <c r="E61" s="20">
        <v>271.0</v>
      </c>
    </row>
    <row r="62">
      <c r="A62" s="250" t="s">
        <v>308</v>
      </c>
      <c r="B62" s="20">
        <v>1871.0</v>
      </c>
      <c r="D62" s="216" t="s">
        <v>140</v>
      </c>
      <c r="E62" s="20">
        <v>287.0</v>
      </c>
    </row>
    <row r="63">
      <c r="A63" s="216" t="s">
        <v>127</v>
      </c>
      <c r="B63" s="20">
        <v>328.0</v>
      </c>
      <c r="D63" s="250" t="s">
        <v>421</v>
      </c>
      <c r="E63" s="20">
        <v>291.0</v>
      </c>
    </row>
    <row r="64">
      <c r="A64" s="216" t="s">
        <v>315</v>
      </c>
      <c r="B64" s="20">
        <v>1978.0</v>
      </c>
      <c r="D64" s="250" t="s">
        <v>176</v>
      </c>
      <c r="E64" s="20">
        <v>292.0</v>
      </c>
    </row>
    <row r="65">
      <c r="A65" s="250" t="s">
        <v>203</v>
      </c>
      <c r="B65" s="20">
        <v>1831.0</v>
      </c>
      <c r="D65" s="250" t="s">
        <v>114</v>
      </c>
      <c r="E65" s="20">
        <v>293.0</v>
      </c>
    </row>
    <row r="66">
      <c r="A66" s="250" t="s">
        <v>209</v>
      </c>
      <c r="B66" s="20">
        <v>1277.0</v>
      </c>
      <c r="D66" s="250" t="s">
        <v>307</v>
      </c>
      <c r="E66" s="20">
        <v>295.0</v>
      </c>
    </row>
    <row r="67">
      <c r="A67" s="250" t="s">
        <v>57</v>
      </c>
      <c r="B67" s="20">
        <v>414.0</v>
      </c>
      <c r="D67" s="250" t="s">
        <v>310</v>
      </c>
      <c r="E67" s="20">
        <v>301.0</v>
      </c>
    </row>
    <row r="68">
      <c r="A68" s="250" t="s">
        <v>291</v>
      </c>
      <c r="B68" s="20">
        <v>1510.0</v>
      </c>
      <c r="D68" s="216" t="s">
        <v>39</v>
      </c>
      <c r="E68" s="20">
        <v>320.0</v>
      </c>
    </row>
    <row r="69">
      <c r="A69" s="216" t="s">
        <v>332</v>
      </c>
      <c r="B69" s="20">
        <v>688.0</v>
      </c>
      <c r="D69" s="216" t="s">
        <v>127</v>
      </c>
      <c r="E69" s="20">
        <v>328.0</v>
      </c>
    </row>
    <row r="70">
      <c r="A70" s="216" t="s">
        <v>373</v>
      </c>
      <c r="B70" s="20">
        <v>620.0</v>
      </c>
      <c r="D70" s="216" t="s">
        <v>302</v>
      </c>
      <c r="E70" s="20">
        <v>333.0</v>
      </c>
    </row>
    <row r="71">
      <c r="A71" s="250" t="s">
        <v>66</v>
      </c>
      <c r="B71" s="20">
        <v>178.0</v>
      </c>
      <c r="D71" s="250" t="s">
        <v>386</v>
      </c>
      <c r="E71" s="20">
        <v>338.0</v>
      </c>
    </row>
    <row r="72">
      <c r="A72" s="216" t="s">
        <v>340</v>
      </c>
      <c r="B72" s="20">
        <v>62.0</v>
      </c>
      <c r="D72" s="216" t="s">
        <v>179</v>
      </c>
      <c r="E72" s="20">
        <v>344.0</v>
      </c>
    </row>
    <row r="73">
      <c r="A73" s="216" t="s">
        <v>244</v>
      </c>
      <c r="B73" s="20">
        <v>1952.0</v>
      </c>
      <c r="D73" s="250" t="s">
        <v>433</v>
      </c>
      <c r="E73" s="20">
        <v>346.0</v>
      </c>
    </row>
    <row r="74">
      <c r="A74" s="250" t="s">
        <v>364</v>
      </c>
      <c r="B74" s="20">
        <v>1511.0</v>
      </c>
      <c r="D74" s="216" t="s">
        <v>240</v>
      </c>
      <c r="E74" s="20">
        <v>347.0</v>
      </c>
    </row>
    <row r="75">
      <c r="A75" s="250" t="s">
        <v>115</v>
      </c>
      <c r="B75" s="20">
        <v>401.0</v>
      </c>
      <c r="D75" s="216" t="s">
        <v>435</v>
      </c>
      <c r="E75" s="20">
        <v>348.0</v>
      </c>
    </row>
    <row r="76">
      <c r="A76" s="250" t="s">
        <v>386</v>
      </c>
      <c r="B76" s="20">
        <v>338.0</v>
      </c>
      <c r="D76" s="250" t="s">
        <v>440</v>
      </c>
      <c r="E76" s="20">
        <v>352.0</v>
      </c>
    </row>
    <row r="77">
      <c r="A77" s="216" t="s">
        <v>333</v>
      </c>
      <c r="B77" s="20">
        <v>69.0</v>
      </c>
      <c r="D77" s="216" t="s">
        <v>452</v>
      </c>
      <c r="E77" s="20">
        <v>353.0</v>
      </c>
    </row>
    <row r="78">
      <c r="A78" s="250" t="s">
        <v>172</v>
      </c>
      <c r="B78" s="20">
        <v>1478.0</v>
      </c>
      <c r="D78" s="216" t="s">
        <v>456</v>
      </c>
      <c r="E78" s="20">
        <v>357.0</v>
      </c>
    </row>
    <row r="79">
      <c r="A79" s="216" t="s">
        <v>376</v>
      </c>
      <c r="B79" s="20">
        <v>766.0</v>
      </c>
      <c r="D79" s="216" t="s">
        <v>465</v>
      </c>
      <c r="E79" s="20">
        <v>359.0</v>
      </c>
    </row>
    <row r="80">
      <c r="A80" s="216" t="s">
        <v>282</v>
      </c>
      <c r="B80" s="20">
        <v>1323.0</v>
      </c>
      <c r="D80" s="216" t="s">
        <v>204</v>
      </c>
      <c r="E80" s="20">
        <v>362.0</v>
      </c>
    </row>
    <row r="81">
      <c r="A81" s="216" t="s">
        <v>321</v>
      </c>
      <c r="B81" s="20">
        <v>1612.0</v>
      </c>
      <c r="D81" s="250" t="s">
        <v>183</v>
      </c>
      <c r="E81" s="20">
        <v>363.0</v>
      </c>
    </row>
    <row r="82">
      <c r="A82" s="250" t="s">
        <v>18</v>
      </c>
      <c r="B82" s="20">
        <v>749.0</v>
      </c>
      <c r="D82" s="216" t="s">
        <v>279</v>
      </c>
      <c r="E82" s="20">
        <v>380.0</v>
      </c>
    </row>
    <row r="83">
      <c r="A83" s="250" t="s">
        <v>312</v>
      </c>
      <c r="B83" s="20">
        <v>1474.0</v>
      </c>
      <c r="D83" s="250" t="s">
        <v>139</v>
      </c>
      <c r="E83" s="20">
        <v>386.0</v>
      </c>
    </row>
    <row r="84">
      <c r="A84" s="216" t="s">
        <v>419</v>
      </c>
      <c r="B84" s="20">
        <v>1508.0</v>
      </c>
      <c r="D84" s="216" t="s">
        <v>436</v>
      </c>
      <c r="E84" s="20">
        <v>391.0</v>
      </c>
    </row>
    <row r="85">
      <c r="A85" s="216" t="s">
        <v>343</v>
      </c>
      <c r="B85" s="20">
        <v>1483.0</v>
      </c>
      <c r="D85" s="250" t="s">
        <v>115</v>
      </c>
      <c r="E85" s="20">
        <v>401.0</v>
      </c>
    </row>
    <row r="86">
      <c r="A86" s="216" t="s">
        <v>182</v>
      </c>
      <c r="B86" s="20">
        <v>96.0</v>
      </c>
      <c r="D86" s="216" t="s">
        <v>391</v>
      </c>
      <c r="E86" s="20">
        <v>405.0</v>
      </c>
    </row>
    <row r="87">
      <c r="A87" s="250" t="s">
        <v>381</v>
      </c>
      <c r="B87" s="20">
        <v>1273.0</v>
      </c>
      <c r="D87" s="216" t="s">
        <v>45</v>
      </c>
      <c r="E87" s="20">
        <v>407.0</v>
      </c>
    </row>
    <row r="88">
      <c r="A88" s="250" t="s">
        <v>231</v>
      </c>
      <c r="B88" s="20">
        <v>157.0</v>
      </c>
      <c r="D88" s="250" t="s">
        <v>57</v>
      </c>
      <c r="E88" s="20">
        <v>414.0</v>
      </c>
    </row>
    <row r="89">
      <c r="A89" s="216" t="s">
        <v>26</v>
      </c>
      <c r="B89" s="20">
        <v>1611.0</v>
      </c>
      <c r="D89" s="216" t="s">
        <v>407</v>
      </c>
      <c r="E89" s="20">
        <v>415.0</v>
      </c>
    </row>
    <row r="90">
      <c r="A90" s="216" t="s">
        <v>39</v>
      </c>
      <c r="B90" s="20">
        <v>320.0</v>
      </c>
      <c r="D90" s="216" t="s">
        <v>403</v>
      </c>
      <c r="E90" s="20">
        <v>418.0</v>
      </c>
    </row>
    <row r="91">
      <c r="A91" s="250" t="s">
        <v>126</v>
      </c>
      <c r="B91" s="20">
        <v>29.0</v>
      </c>
      <c r="D91" s="216" t="s">
        <v>131</v>
      </c>
      <c r="E91" s="20">
        <v>437.0</v>
      </c>
    </row>
    <row r="92">
      <c r="A92" s="250" t="s">
        <v>389</v>
      </c>
      <c r="B92" s="20">
        <v>1662.0</v>
      </c>
      <c r="D92" s="250" t="s">
        <v>243</v>
      </c>
      <c r="E92" s="20">
        <v>443.0</v>
      </c>
    </row>
    <row r="93">
      <c r="A93" s="216" t="s">
        <v>314</v>
      </c>
      <c r="B93" s="20">
        <v>722.0</v>
      </c>
      <c r="D93" s="216" t="s">
        <v>354</v>
      </c>
      <c r="E93" s="20">
        <v>452.0</v>
      </c>
    </row>
    <row r="94">
      <c r="A94" s="216" t="s">
        <v>90</v>
      </c>
      <c r="B94" s="20">
        <v>750.0</v>
      </c>
      <c r="D94" s="216" t="s">
        <v>443</v>
      </c>
      <c r="E94" s="20">
        <v>468.0</v>
      </c>
    </row>
    <row r="95">
      <c r="A95" s="250" t="s">
        <v>183</v>
      </c>
      <c r="B95" s="20">
        <v>363.0</v>
      </c>
      <c r="D95" s="250" t="s">
        <v>454</v>
      </c>
      <c r="E95" s="20">
        <v>481.0</v>
      </c>
    </row>
    <row r="96">
      <c r="A96" s="216" t="s">
        <v>357</v>
      </c>
      <c r="B96" s="20">
        <v>1529.0</v>
      </c>
      <c r="D96" s="216" t="s">
        <v>102</v>
      </c>
      <c r="E96" s="20">
        <v>492.0</v>
      </c>
    </row>
    <row r="97">
      <c r="A97" s="216" t="s">
        <v>261</v>
      </c>
      <c r="B97" s="20">
        <v>725.0</v>
      </c>
      <c r="D97" s="216" t="s">
        <v>108</v>
      </c>
      <c r="E97" s="20">
        <v>493.0</v>
      </c>
    </row>
    <row r="98">
      <c r="A98" s="250" t="s">
        <v>423</v>
      </c>
      <c r="B98" s="20">
        <v>1294.0</v>
      </c>
      <c r="D98" s="216" t="s">
        <v>335</v>
      </c>
      <c r="E98" s="20">
        <v>494.0</v>
      </c>
    </row>
    <row r="99">
      <c r="A99" s="216" t="s">
        <v>322</v>
      </c>
      <c r="B99" s="20">
        <v>726.0</v>
      </c>
      <c r="D99" s="216" t="s">
        <v>250</v>
      </c>
      <c r="E99" s="20">
        <v>495.0</v>
      </c>
    </row>
    <row r="100">
      <c r="A100" s="216" t="s">
        <v>238</v>
      </c>
      <c r="B100" s="20">
        <v>1719.0</v>
      </c>
      <c r="D100" s="216" t="s">
        <v>268</v>
      </c>
      <c r="E100" s="20">
        <v>496.0</v>
      </c>
    </row>
    <row r="101">
      <c r="A101" s="216" t="s">
        <v>47</v>
      </c>
      <c r="B101" s="20">
        <v>57.0</v>
      </c>
      <c r="D101" s="216" t="s">
        <v>71</v>
      </c>
      <c r="E101" s="20">
        <v>504.0</v>
      </c>
    </row>
    <row r="102">
      <c r="A102" s="216" t="s">
        <v>317</v>
      </c>
      <c r="B102" s="20">
        <v>1489.0</v>
      </c>
      <c r="D102" s="250" t="s">
        <v>380</v>
      </c>
      <c r="E102" s="20">
        <v>512.0</v>
      </c>
    </row>
    <row r="103">
      <c r="A103" s="250" t="s">
        <v>286</v>
      </c>
      <c r="B103" s="20">
        <v>66.0</v>
      </c>
      <c r="D103" s="216" t="s">
        <v>72</v>
      </c>
      <c r="E103" s="20">
        <v>516.0</v>
      </c>
    </row>
    <row r="104">
      <c r="A104" s="216" t="s">
        <v>422</v>
      </c>
      <c r="B104" s="20">
        <v>1798.0</v>
      </c>
      <c r="D104" s="216" t="s">
        <v>220</v>
      </c>
      <c r="E104" s="20">
        <v>518.0</v>
      </c>
    </row>
    <row r="105">
      <c r="A105" s="216" t="s">
        <v>33</v>
      </c>
      <c r="B105" s="20">
        <v>1937.0</v>
      </c>
      <c r="D105" s="216" t="s">
        <v>210</v>
      </c>
      <c r="E105" s="20">
        <v>538.0</v>
      </c>
    </row>
    <row r="106">
      <c r="A106" s="216" t="s">
        <v>146</v>
      </c>
      <c r="B106" s="20">
        <v>1587.0</v>
      </c>
      <c r="D106" s="216" t="s">
        <v>387</v>
      </c>
      <c r="E106" s="20">
        <v>545.0</v>
      </c>
    </row>
    <row r="107">
      <c r="A107" s="216" t="s">
        <v>287</v>
      </c>
      <c r="B107" s="20">
        <v>1608.0</v>
      </c>
      <c r="D107" s="216" t="s">
        <v>227</v>
      </c>
      <c r="E107" s="20">
        <v>549.0</v>
      </c>
    </row>
    <row r="108">
      <c r="A108" s="216" t="s">
        <v>292</v>
      </c>
      <c r="B108" s="20">
        <v>1779.0</v>
      </c>
      <c r="D108" s="216" t="s">
        <v>80</v>
      </c>
      <c r="E108" s="20">
        <v>567.0</v>
      </c>
    </row>
    <row r="109">
      <c r="A109" s="216" t="s">
        <v>210</v>
      </c>
      <c r="B109" s="20">
        <v>538.0</v>
      </c>
      <c r="D109" s="216" t="s">
        <v>400</v>
      </c>
      <c r="E109" s="20">
        <v>568.0</v>
      </c>
    </row>
    <row r="110">
      <c r="A110" s="216" t="s">
        <v>372</v>
      </c>
      <c r="B110" s="216" t="s">
        <v>99</v>
      </c>
      <c r="D110" s="216" t="s">
        <v>277</v>
      </c>
      <c r="E110" s="20">
        <v>575.0</v>
      </c>
    </row>
    <row r="111">
      <c r="A111" s="216" t="s">
        <v>378</v>
      </c>
      <c r="B111" s="20">
        <v>1783.0</v>
      </c>
      <c r="D111" s="216" t="s">
        <v>193</v>
      </c>
      <c r="E111" s="20">
        <v>586.0</v>
      </c>
    </row>
    <row r="112">
      <c r="A112" s="216" t="s">
        <v>367</v>
      </c>
      <c r="B112" s="20">
        <v>1013.0</v>
      </c>
      <c r="D112" s="250" t="s">
        <v>149</v>
      </c>
      <c r="E112" s="20">
        <v>587.0</v>
      </c>
    </row>
    <row r="113">
      <c r="A113" s="250" t="s">
        <v>163</v>
      </c>
      <c r="B113" s="20">
        <v>710.0</v>
      </c>
      <c r="D113" s="250" t="s">
        <v>324</v>
      </c>
      <c r="E113" s="20">
        <v>588.0</v>
      </c>
    </row>
    <row r="114">
      <c r="A114" s="216" t="s">
        <v>248</v>
      </c>
      <c r="B114" s="20">
        <v>1468.0</v>
      </c>
      <c r="D114" s="216" t="s">
        <v>83</v>
      </c>
      <c r="E114" s="20">
        <v>614.0</v>
      </c>
    </row>
    <row r="115">
      <c r="A115" s="216" t="s">
        <v>93</v>
      </c>
      <c r="B115" s="20">
        <v>1387.0</v>
      </c>
      <c r="D115" s="216" t="s">
        <v>110</v>
      </c>
      <c r="E115" s="20">
        <v>615.0</v>
      </c>
    </row>
    <row r="116">
      <c r="A116" s="250" t="s">
        <v>393</v>
      </c>
      <c r="B116" s="20">
        <v>754.0</v>
      </c>
      <c r="D116" s="216" t="s">
        <v>373</v>
      </c>
      <c r="E116" s="20">
        <v>620.0</v>
      </c>
    </row>
    <row r="117">
      <c r="A117" s="216" t="s">
        <v>184</v>
      </c>
      <c r="B117" s="20">
        <v>1320.0</v>
      </c>
      <c r="D117" s="216" t="s">
        <v>355</v>
      </c>
      <c r="E117" s="20">
        <v>621.0</v>
      </c>
    </row>
    <row r="118">
      <c r="A118" s="216" t="s">
        <v>284</v>
      </c>
      <c r="B118" s="20">
        <v>131.0</v>
      </c>
      <c r="D118" s="250" t="s">
        <v>14</v>
      </c>
      <c r="E118" s="20">
        <v>624.0</v>
      </c>
    </row>
    <row r="119">
      <c r="A119" s="216" t="s">
        <v>98</v>
      </c>
      <c r="B119" s="216" t="s">
        <v>99</v>
      </c>
      <c r="D119" s="216" t="s">
        <v>442</v>
      </c>
      <c r="E119" s="20">
        <v>628.0</v>
      </c>
    </row>
    <row r="120">
      <c r="A120" s="216" t="s">
        <v>339</v>
      </c>
      <c r="B120" s="20">
        <v>1973.0</v>
      </c>
      <c r="D120" s="216" t="s">
        <v>36</v>
      </c>
      <c r="E120" s="20">
        <v>630.0</v>
      </c>
    </row>
    <row r="121">
      <c r="A121" s="250" t="s">
        <v>276</v>
      </c>
      <c r="B121" s="20">
        <v>132.0</v>
      </c>
      <c r="D121" s="216" t="s">
        <v>215</v>
      </c>
      <c r="E121" s="20">
        <v>639.0</v>
      </c>
    </row>
    <row r="122">
      <c r="A122" s="250" t="s">
        <v>290</v>
      </c>
      <c r="B122" s="20">
        <v>1873.0</v>
      </c>
      <c r="D122" s="216" t="s">
        <v>336</v>
      </c>
      <c r="E122" s="20">
        <v>646.0</v>
      </c>
    </row>
    <row r="123">
      <c r="A123" s="250" t="s">
        <v>301</v>
      </c>
      <c r="B123" s="20">
        <v>1347.0</v>
      </c>
      <c r="D123" s="216" t="s">
        <v>327</v>
      </c>
      <c r="E123" s="20">
        <v>649.0</v>
      </c>
    </row>
    <row r="124">
      <c r="A124" s="216" t="s">
        <v>190</v>
      </c>
      <c r="B124" s="20">
        <v>1055.0</v>
      </c>
      <c r="D124" s="216" t="s">
        <v>445</v>
      </c>
      <c r="E124" s="20">
        <v>653.0</v>
      </c>
    </row>
    <row r="125">
      <c r="A125" s="216" t="s">
        <v>283</v>
      </c>
      <c r="B125" s="20">
        <v>1411.0</v>
      </c>
      <c r="D125" s="216" t="s">
        <v>28</v>
      </c>
      <c r="E125" s="20">
        <v>660.0</v>
      </c>
    </row>
    <row r="126">
      <c r="A126" s="216" t="s">
        <v>365</v>
      </c>
      <c r="B126" s="20">
        <v>822.0</v>
      </c>
      <c r="D126" s="216" t="s">
        <v>325</v>
      </c>
      <c r="E126" s="20">
        <v>661.0</v>
      </c>
    </row>
    <row r="127">
      <c r="A127" s="250" t="s">
        <v>176</v>
      </c>
      <c r="B127" s="20">
        <v>292.0</v>
      </c>
      <c r="D127" s="216" t="s">
        <v>246</v>
      </c>
      <c r="E127" s="20">
        <v>663.0</v>
      </c>
    </row>
    <row r="128">
      <c r="A128" s="250" t="s">
        <v>237</v>
      </c>
      <c r="B128" s="20">
        <v>218.0</v>
      </c>
      <c r="D128" s="250" t="s">
        <v>289</v>
      </c>
      <c r="E128" s="20">
        <v>666.0</v>
      </c>
    </row>
    <row r="129">
      <c r="A129" s="250" t="s">
        <v>77</v>
      </c>
      <c r="B129" s="20">
        <v>1467.0</v>
      </c>
      <c r="D129" s="250" t="s">
        <v>298</v>
      </c>
      <c r="E129" s="20">
        <v>675.0</v>
      </c>
    </row>
    <row r="130">
      <c r="A130" s="250" t="s">
        <v>278</v>
      </c>
      <c r="B130" s="20">
        <v>1373.0</v>
      </c>
      <c r="D130" s="216" t="s">
        <v>309</v>
      </c>
      <c r="E130" s="20">
        <v>676.0</v>
      </c>
    </row>
    <row r="131">
      <c r="A131" s="216" t="s">
        <v>21</v>
      </c>
      <c r="B131" s="20">
        <v>48.0</v>
      </c>
      <c r="D131" s="216" t="s">
        <v>207</v>
      </c>
      <c r="E131" s="20">
        <v>677.0</v>
      </c>
    </row>
    <row r="132">
      <c r="A132" s="250" t="s">
        <v>121</v>
      </c>
      <c r="B132" s="20">
        <v>1717.0</v>
      </c>
      <c r="D132" s="216" t="s">
        <v>103</v>
      </c>
      <c r="E132" s="20">
        <v>686.0</v>
      </c>
    </row>
    <row r="133">
      <c r="A133" s="250" t="s">
        <v>147</v>
      </c>
      <c r="B133" s="20">
        <v>1786.0</v>
      </c>
      <c r="D133" s="216" t="s">
        <v>332</v>
      </c>
      <c r="E133" s="20">
        <v>688.0</v>
      </c>
    </row>
    <row r="134">
      <c r="A134" s="250" t="s">
        <v>62</v>
      </c>
      <c r="B134" s="20">
        <v>1412.0</v>
      </c>
      <c r="D134" s="216" t="s">
        <v>97</v>
      </c>
      <c r="E134" s="20">
        <v>691.0</v>
      </c>
    </row>
    <row r="135">
      <c r="A135" s="216" t="s">
        <v>326</v>
      </c>
      <c r="B135" s="20">
        <v>136.0</v>
      </c>
      <c r="D135" s="216" t="s">
        <v>89</v>
      </c>
      <c r="E135" s="20">
        <v>697.0</v>
      </c>
    </row>
    <row r="136">
      <c r="A136" s="250" t="s">
        <v>247</v>
      </c>
      <c r="B136" s="20">
        <v>1741.0</v>
      </c>
      <c r="D136" s="250" t="s">
        <v>145</v>
      </c>
      <c r="E136" s="20">
        <v>702.0</v>
      </c>
    </row>
    <row r="137">
      <c r="A137" s="250" t="s">
        <v>331</v>
      </c>
      <c r="B137" s="20">
        <v>137.0</v>
      </c>
      <c r="D137" s="216" t="s">
        <v>267</v>
      </c>
      <c r="E137" s="20">
        <v>707.0</v>
      </c>
    </row>
    <row r="138">
      <c r="A138" s="250" t="s">
        <v>229</v>
      </c>
      <c r="B138" s="20">
        <v>1960.0</v>
      </c>
      <c r="D138" s="216" t="s">
        <v>74</v>
      </c>
      <c r="E138" s="20">
        <v>708.0</v>
      </c>
    </row>
    <row r="139">
      <c r="A139" s="250" t="s">
        <v>269</v>
      </c>
      <c r="B139" s="20">
        <v>1944.0</v>
      </c>
      <c r="D139" s="250" t="s">
        <v>163</v>
      </c>
      <c r="E139" s="20">
        <v>710.0</v>
      </c>
    </row>
    <row r="140">
      <c r="A140" s="216" t="s">
        <v>55</v>
      </c>
      <c r="B140" s="20">
        <v>1594.0</v>
      </c>
      <c r="D140" s="250" t="s">
        <v>75</v>
      </c>
      <c r="E140" s="20">
        <v>712.0</v>
      </c>
    </row>
    <row r="141">
      <c r="A141" s="216" t="s">
        <v>65</v>
      </c>
      <c r="B141" s="20">
        <v>1599.0</v>
      </c>
      <c r="D141" s="216" t="s">
        <v>253</v>
      </c>
      <c r="E141" s="20">
        <v>721.0</v>
      </c>
    </row>
    <row r="142">
      <c r="A142" s="250" t="s">
        <v>256</v>
      </c>
      <c r="B142" s="20">
        <v>1785.0</v>
      </c>
      <c r="D142" s="216" t="s">
        <v>314</v>
      </c>
      <c r="E142" s="20">
        <v>722.0</v>
      </c>
    </row>
    <row r="143">
      <c r="A143" s="216" t="s">
        <v>204</v>
      </c>
      <c r="B143" s="20">
        <v>362.0</v>
      </c>
      <c r="D143" s="216" t="s">
        <v>261</v>
      </c>
      <c r="E143" s="20">
        <v>725.0</v>
      </c>
    </row>
    <row r="144">
      <c r="A144" s="216" t="s">
        <v>158</v>
      </c>
      <c r="B144" s="20">
        <v>93.0</v>
      </c>
      <c r="D144" s="216" t="s">
        <v>322</v>
      </c>
      <c r="E144" s="20">
        <v>726.0</v>
      </c>
    </row>
    <row r="145">
      <c r="A145" s="216" t="s">
        <v>28</v>
      </c>
      <c r="B145" s="20">
        <v>660.0</v>
      </c>
      <c r="D145" s="250" t="s">
        <v>52</v>
      </c>
      <c r="E145" s="20">
        <v>733.0</v>
      </c>
    </row>
    <row r="146">
      <c r="A146" s="216" t="s">
        <v>150</v>
      </c>
      <c r="B146" s="216" t="s">
        <v>99</v>
      </c>
      <c r="D146" s="216" t="s">
        <v>463</v>
      </c>
      <c r="E146" s="20">
        <v>737.0</v>
      </c>
    </row>
    <row r="147">
      <c r="A147" s="250" t="s">
        <v>122</v>
      </c>
      <c r="B147" s="20">
        <v>142.0</v>
      </c>
      <c r="D147" s="216" t="s">
        <v>464</v>
      </c>
      <c r="E147" s="20">
        <v>741.0</v>
      </c>
    </row>
    <row r="148">
      <c r="A148" s="250" t="s">
        <v>319</v>
      </c>
      <c r="B148" s="20">
        <v>145.0</v>
      </c>
      <c r="D148" s="250" t="s">
        <v>288</v>
      </c>
      <c r="E148" s="20">
        <v>745.0</v>
      </c>
    </row>
    <row r="149">
      <c r="A149" s="250" t="s">
        <v>196</v>
      </c>
      <c r="B149" s="20">
        <v>1866.0</v>
      </c>
      <c r="D149" s="250" t="s">
        <v>294</v>
      </c>
      <c r="E149" s="20">
        <v>746.0</v>
      </c>
    </row>
    <row r="150">
      <c r="A150" s="250" t="s">
        <v>160</v>
      </c>
      <c r="B150" s="20">
        <v>1575.0</v>
      </c>
      <c r="D150" s="216" t="s">
        <v>413</v>
      </c>
      <c r="E150" s="20">
        <v>748.0</v>
      </c>
    </row>
    <row r="151">
      <c r="A151" s="216" t="s">
        <v>83</v>
      </c>
      <c r="B151" s="20">
        <v>614.0</v>
      </c>
      <c r="D151" s="250" t="s">
        <v>18</v>
      </c>
      <c r="E151" s="20">
        <v>749.0</v>
      </c>
    </row>
    <row r="152">
      <c r="A152" s="216" t="s">
        <v>356</v>
      </c>
      <c r="B152" s="20">
        <v>1124.0</v>
      </c>
      <c r="D152" s="216" t="s">
        <v>90</v>
      </c>
      <c r="E152" s="20">
        <v>750.0</v>
      </c>
    </row>
    <row r="153">
      <c r="A153" s="250" t="s">
        <v>341</v>
      </c>
      <c r="B153" s="20">
        <v>1875.0</v>
      </c>
      <c r="D153" s="250" t="s">
        <v>393</v>
      </c>
      <c r="E153" s="20">
        <v>754.0</v>
      </c>
    </row>
    <row r="154">
      <c r="A154" s="216" t="s">
        <v>272</v>
      </c>
      <c r="B154" s="20">
        <v>1396.0</v>
      </c>
      <c r="D154" s="216" t="s">
        <v>374</v>
      </c>
      <c r="E154" s="20">
        <v>758.0</v>
      </c>
    </row>
    <row r="155">
      <c r="A155" s="250" t="s">
        <v>67</v>
      </c>
      <c r="B155" s="20">
        <v>1143.0</v>
      </c>
      <c r="D155" s="250" t="s">
        <v>359</v>
      </c>
      <c r="E155" s="20">
        <v>759.0</v>
      </c>
    </row>
    <row r="156">
      <c r="A156" s="216" t="s">
        <v>305</v>
      </c>
      <c r="B156" s="20">
        <v>21.0</v>
      </c>
      <c r="D156" s="250" t="s">
        <v>88</v>
      </c>
      <c r="E156" s="20">
        <v>761.0</v>
      </c>
    </row>
    <row r="157">
      <c r="A157" s="216" t="s">
        <v>249</v>
      </c>
      <c r="B157" s="20">
        <v>1568.0</v>
      </c>
      <c r="D157" s="216" t="s">
        <v>360</v>
      </c>
      <c r="E157" s="20">
        <v>762.0</v>
      </c>
    </row>
    <row r="158">
      <c r="A158" s="250" t="s">
        <v>112</v>
      </c>
      <c r="B158" s="20">
        <v>1542.0</v>
      </c>
      <c r="D158" s="216" t="s">
        <v>415</v>
      </c>
      <c r="E158" s="20">
        <v>765.0</v>
      </c>
    </row>
    <row r="159">
      <c r="A159" s="250" t="s">
        <v>350</v>
      </c>
      <c r="B159" s="20">
        <v>1939.0</v>
      </c>
      <c r="D159" s="216" t="s">
        <v>376</v>
      </c>
      <c r="E159" s="20">
        <v>766.0</v>
      </c>
    </row>
    <row r="160">
      <c r="A160" s="216" t="s">
        <v>279</v>
      </c>
      <c r="B160" s="20">
        <v>380.0</v>
      </c>
      <c r="D160" s="216" t="s">
        <v>280</v>
      </c>
      <c r="E160" s="20">
        <v>767.0</v>
      </c>
    </row>
    <row r="161">
      <c r="A161" s="250" t="s">
        <v>281</v>
      </c>
      <c r="B161" s="20">
        <v>159.0</v>
      </c>
      <c r="D161" s="250" t="s">
        <v>181</v>
      </c>
      <c r="E161" s="20">
        <v>768.0</v>
      </c>
    </row>
    <row r="162">
      <c r="A162" s="250" t="s">
        <v>78</v>
      </c>
      <c r="B162" s="20">
        <v>1797.0</v>
      </c>
      <c r="D162" s="216" t="s">
        <v>404</v>
      </c>
      <c r="E162" s="20">
        <v>769.0</v>
      </c>
    </row>
    <row r="163">
      <c r="A163" s="216" t="s">
        <v>141</v>
      </c>
      <c r="B163" s="20">
        <v>222.0</v>
      </c>
      <c r="D163" s="216" t="s">
        <v>338</v>
      </c>
      <c r="E163" s="20">
        <v>770.0</v>
      </c>
    </row>
    <row r="164">
      <c r="A164" s="216" t="s">
        <v>177</v>
      </c>
      <c r="B164" s="20">
        <v>1079.0</v>
      </c>
      <c r="D164" s="216" t="s">
        <v>266</v>
      </c>
      <c r="E164" s="20">
        <v>773.0</v>
      </c>
    </row>
    <row r="165">
      <c r="A165" s="216" t="s">
        <v>277</v>
      </c>
      <c r="B165" s="20">
        <v>575.0</v>
      </c>
      <c r="D165" s="216" t="s">
        <v>234</v>
      </c>
      <c r="E165" s="20">
        <v>776.0</v>
      </c>
    </row>
    <row r="166">
      <c r="A166" s="216" t="s">
        <v>330</v>
      </c>
      <c r="B166" s="20">
        <v>163.0</v>
      </c>
      <c r="D166" s="216" t="s">
        <v>451</v>
      </c>
      <c r="E166" s="20">
        <v>779.0</v>
      </c>
    </row>
    <row r="167">
      <c r="A167" s="250" t="s">
        <v>159</v>
      </c>
      <c r="B167" s="20">
        <v>1940.0</v>
      </c>
      <c r="D167" s="216" t="s">
        <v>428</v>
      </c>
      <c r="E167" s="20">
        <v>782.0</v>
      </c>
    </row>
    <row r="168">
      <c r="A168" s="250" t="s">
        <v>111</v>
      </c>
      <c r="B168" s="20">
        <v>164.0</v>
      </c>
      <c r="D168" s="216" t="s">
        <v>164</v>
      </c>
      <c r="E168" s="20">
        <v>784.0</v>
      </c>
    </row>
    <row r="169">
      <c r="A169" s="250" t="s">
        <v>109</v>
      </c>
      <c r="B169" s="20">
        <v>1574.0</v>
      </c>
      <c r="D169" s="216" t="s">
        <v>439</v>
      </c>
      <c r="E169" s="20">
        <v>821.0</v>
      </c>
    </row>
    <row r="170">
      <c r="A170" s="250" t="s">
        <v>359</v>
      </c>
      <c r="B170" s="20">
        <v>759.0</v>
      </c>
      <c r="D170" s="216" t="s">
        <v>365</v>
      </c>
      <c r="E170" s="20">
        <v>822.0</v>
      </c>
    </row>
    <row r="171">
      <c r="A171" s="216" t="s">
        <v>285</v>
      </c>
      <c r="B171" s="20">
        <v>6.0</v>
      </c>
      <c r="D171" s="216" t="s">
        <v>392</v>
      </c>
      <c r="E171" s="20">
        <v>824.0</v>
      </c>
    </row>
    <row r="172">
      <c r="A172" s="216" t="s">
        <v>179</v>
      </c>
      <c r="B172" s="20">
        <v>344.0</v>
      </c>
      <c r="D172" s="216" t="s">
        <v>154</v>
      </c>
      <c r="E172" s="20">
        <v>831.0</v>
      </c>
    </row>
    <row r="173">
      <c r="A173" s="250" t="s">
        <v>233</v>
      </c>
      <c r="B173" s="20">
        <v>1579.0</v>
      </c>
      <c r="D173" s="216" t="s">
        <v>68</v>
      </c>
      <c r="E173" s="20">
        <v>833.0</v>
      </c>
    </row>
    <row r="174">
      <c r="A174" s="216" t="s">
        <v>207</v>
      </c>
      <c r="B174" s="20">
        <v>677.0</v>
      </c>
      <c r="D174" s="216" t="s">
        <v>275</v>
      </c>
      <c r="E174" s="20">
        <v>899.0</v>
      </c>
    </row>
    <row r="175">
      <c r="A175" s="216" t="s">
        <v>164</v>
      </c>
      <c r="B175" s="20">
        <v>784.0</v>
      </c>
      <c r="D175" s="216" t="s">
        <v>432</v>
      </c>
      <c r="E175" s="20">
        <v>1000.0</v>
      </c>
    </row>
    <row r="176">
      <c r="A176" s="250" t="s">
        <v>88</v>
      </c>
      <c r="B176" s="20">
        <v>761.0</v>
      </c>
      <c r="D176" s="216" t="s">
        <v>437</v>
      </c>
      <c r="E176" s="20">
        <v>1008.0</v>
      </c>
    </row>
    <row r="177">
      <c r="A177" s="216" t="s">
        <v>96</v>
      </c>
      <c r="B177" s="20">
        <v>197.0</v>
      </c>
      <c r="D177" s="216" t="s">
        <v>95</v>
      </c>
      <c r="E177" s="20">
        <v>1012.0</v>
      </c>
    </row>
    <row r="178">
      <c r="A178" s="216" t="s">
        <v>395</v>
      </c>
      <c r="B178" s="20">
        <v>1850.0</v>
      </c>
      <c r="D178" s="216" t="s">
        <v>367</v>
      </c>
      <c r="E178" s="20">
        <v>1013.0</v>
      </c>
    </row>
    <row r="179">
      <c r="A179" s="250" t="s">
        <v>324</v>
      </c>
      <c r="B179" s="20">
        <v>588.0</v>
      </c>
      <c r="D179" s="250" t="s">
        <v>76</v>
      </c>
      <c r="E179" s="20">
        <v>1023.0</v>
      </c>
    </row>
    <row r="180">
      <c r="A180" s="250" t="s">
        <v>390</v>
      </c>
      <c r="B180" s="20">
        <v>1949.0</v>
      </c>
      <c r="D180" s="216" t="s">
        <v>385</v>
      </c>
      <c r="E180" s="20">
        <v>1030.0</v>
      </c>
    </row>
    <row r="181">
      <c r="A181" s="216" t="s">
        <v>360</v>
      </c>
      <c r="B181" s="20">
        <v>762.0</v>
      </c>
      <c r="D181" s="216" t="s">
        <v>420</v>
      </c>
      <c r="E181" s="20">
        <v>1042.0</v>
      </c>
    </row>
    <row r="182">
      <c r="A182" s="250" t="s">
        <v>128</v>
      </c>
      <c r="B182" s="20">
        <v>1801.0</v>
      </c>
      <c r="D182" s="216" t="s">
        <v>447</v>
      </c>
      <c r="E182" s="20">
        <v>1044.0</v>
      </c>
    </row>
    <row r="183">
      <c r="A183" s="216" t="s">
        <v>168</v>
      </c>
      <c r="B183" s="20">
        <v>1899.0</v>
      </c>
      <c r="D183" s="216" t="s">
        <v>162</v>
      </c>
      <c r="E183" s="20">
        <v>1054.0</v>
      </c>
    </row>
    <row r="184">
      <c r="A184" s="216" t="s">
        <v>118</v>
      </c>
      <c r="B184" s="20">
        <v>72.0</v>
      </c>
      <c r="D184" s="216" t="s">
        <v>190</v>
      </c>
      <c r="E184" s="20">
        <v>1055.0</v>
      </c>
    </row>
    <row r="185">
      <c r="A185" s="250" t="s">
        <v>405</v>
      </c>
      <c r="B185" s="20">
        <v>53.0</v>
      </c>
      <c r="D185" s="216" t="s">
        <v>38</v>
      </c>
      <c r="E185" s="20">
        <v>1057.0</v>
      </c>
    </row>
    <row r="186">
      <c r="A186" s="216" t="s">
        <v>415</v>
      </c>
      <c r="B186" s="20">
        <v>765.0</v>
      </c>
      <c r="D186" s="216" t="s">
        <v>92</v>
      </c>
      <c r="E186" s="20">
        <v>1061.0</v>
      </c>
    </row>
    <row r="187">
      <c r="A187" s="216" t="s">
        <v>412</v>
      </c>
      <c r="B187" s="20">
        <v>1492.0</v>
      </c>
      <c r="D187" s="250" t="s">
        <v>199</v>
      </c>
      <c r="E187" s="20">
        <v>1063.0</v>
      </c>
    </row>
    <row r="188">
      <c r="A188" s="216" t="s">
        <v>406</v>
      </c>
      <c r="B188" s="20">
        <v>1817.0</v>
      </c>
      <c r="D188" s="216" t="s">
        <v>398</v>
      </c>
      <c r="E188" s="20">
        <v>1078.0</v>
      </c>
    </row>
    <row r="189">
      <c r="A189" s="250" t="s">
        <v>408</v>
      </c>
      <c r="B189" s="20">
        <v>1759.0</v>
      </c>
      <c r="D189" s="216" t="s">
        <v>177</v>
      </c>
      <c r="E189" s="20">
        <v>1079.0</v>
      </c>
    </row>
    <row r="190">
      <c r="A190" s="216" t="s">
        <v>400</v>
      </c>
      <c r="B190" s="20">
        <v>568.0</v>
      </c>
      <c r="D190" s="216" t="s">
        <v>461</v>
      </c>
      <c r="E190" s="20">
        <v>1084.0</v>
      </c>
    </row>
    <row r="191">
      <c r="A191" s="216" t="s">
        <v>396</v>
      </c>
      <c r="B191" s="20">
        <v>52.0</v>
      </c>
      <c r="D191" s="216" t="s">
        <v>446</v>
      </c>
      <c r="E191" s="20">
        <v>1091.0</v>
      </c>
    </row>
    <row r="192">
      <c r="A192" s="250" t="s">
        <v>416</v>
      </c>
      <c r="B192" s="20">
        <v>1278.0</v>
      </c>
      <c r="D192" s="216" t="s">
        <v>171</v>
      </c>
      <c r="E192" s="20">
        <v>1103.0</v>
      </c>
    </row>
    <row r="193">
      <c r="A193" s="216" t="s">
        <v>403</v>
      </c>
      <c r="B193" s="20">
        <v>418.0</v>
      </c>
      <c r="D193" s="216" t="s">
        <v>170</v>
      </c>
      <c r="E193" s="20">
        <v>1108.0</v>
      </c>
    </row>
    <row r="194">
      <c r="A194" s="216" t="s">
        <v>394</v>
      </c>
      <c r="B194" s="20">
        <v>1253.0</v>
      </c>
      <c r="D194" s="216" t="s">
        <v>369</v>
      </c>
      <c r="E194" s="20">
        <v>1109.0</v>
      </c>
    </row>
    <row r="195">
      <c r="A195" s="250" t="s">
        <v>397</v>
      </c>
      <c r="B195" s="20">
        <v>1592.0</v>
      </c>
      <c r="D195" s="216" t="s">
        <v>274</v>
      </c>
      <c r="E195" s="20">
        <v>1121.0</v>
      </c>
    </row>
    <row r="196">
      <c r="A196" s="250" t="s">
        <v>418</v>
      </c>
      <c r="B196" s="20">
        <v>1125.0</v>
      </c>
      <c r="D196" s="216" t="s">
        <v>356</v>
      </c>
      <c r="E196" s="20">
        <v>1124.0</v>
      </c>
    </row>
    <row r="197">
      <c r="A197" s="216" t="s">
        <v>242</v>
      </c>
      <c r="B197" s="20">
        <v>1439.0</v>
      </c>
      <c r="D197" s="250" t="s">
        <v>418</v>
      </c>
      <c r="E197" s="20">
        <v>1125.0</v>
      </c>
    </row>
    <row r="198">
      <c r="A198" s="250" t="s">
        <v>243</v>
      </c>
      <c r="B198" s="20">
        <v>443.0</v>
      </c>
      <c r="D198" s="216" t="s">
        <v>411</v>
      </c>
      <c r="E198" s="20">
        <v>1132.0</v>
      </c>
    </row>
    <row r="199">
      <c r="A199" s="216" t="s">
        <v>180</v>
      </c>
      <c r="B199" s="20">
        <v>1888.0</v>
      </c>
      <c r="D199" s="216" t="s">
        <v>143</v>
      </c>
      <c r="E199" s="20">
        <v>1141.0</v>
      </c>
    </row>
    <row r="200">
      <c r="A200" s="216" t="s">
        <v>275</v>
      </c>
      <c r="B200" s="20">
        <v>899.0</v>
      </c>
      <c r="D200" s="250" t="s">
        <v>67</v>
      </c>
      <c r="E200" s="20">
        <v>1143.0</v>
      </c>
    </row>
    <row r="201">
      <c r="A201" s="216" t="s">
        <v>105</v>
      </c>
      <c r="B201" s="20">
        <v>1334.0</v>
      </c>
      <c r="D201" s="216" t="s">
        <v>414</v>
      </c>
      <c r="E201" s="20">
        <v>1149.0</v>
      </c>
    </row>
    <row r="202">
      <c r="A202" s="216" t="s">
        <v>50</v>
      </c>
      <c r="B202" s="20">
        <v>1150.0</v>
      </c>
      <c r="D202" s="216" t="s">
        <v>50</v>
      </c>
      <c r="E202" s="20">
        <v>1150.0</v>
      </c>
    </row>
    <row r="203">
      <c r="A203" s="216" t="s">
        <v>300</v>
      </c>
      <c r="B203" s="20">
        <v>1251.0</v>
      </c>
      <c r="D203" s="250" t="s">
        <v>329</v>
      </c>
      <c r="E203" s="20">
        <v>1155.0</v>
      </c>
    </row>
    <row r="204">
      <c r="A204" s="216" t="s">
        <v>352</v>
      </c>
      <c r="B204" s="20">
        <v>232.0</v>
      </c>
      <c r="D204" s="216" t="s">
        <v>453</v>
      </c>
      <c r="E204" s="20">
        <v>1157.0</v>
      </c>
    </row>
    <row r="205">
      <c r="A205" s="216" t="s">
        <v>140</v>
      </c>
      <c r="B205" s="20">
        <v>287.0</v>
      </c>
      <c r="D205" s="250" t="s">
        <v>399</v>
      </c>
      <c r="E205" s="20">
        <v>1169.0</v>
      </c>
    </row>
    <row r="206">
      <c r="A206" s="216" t="s">
        <v>45</v>
      </c>
      <c r="B206" s="20">
        <v>407.0</v>
      </c>
      <c r="D206" s="216" t="s">
        <v>188</v>
      </c>
      <c r="E206" s="20">
        <v>1184.0</v>
      </c>
    </row>
    <row r="207">
      <c r="A207" s="216" t="s">
        <v>241</v>
      </c>
      <c r="B207" s="20">
        <v>84.0</v>
      </c>
      <c r="D207" s="216" t="s">
        <v>54</v>
      </c>
      <c r="E207" s="20">
        <v>1186.0</v>
      </c>
    </row>
    <row r="208">
      <c r="A208" s="216" t="s">
        <v>401</v>
      </c>
      <c r="B208" s="20">
        <v>1459.0</v>
      </c>
      <c r="D208" s="216" t="s">
        <v>221</v>
      </c>
      <c r="E208" s="20">
        <v>1190.0</v>
      </c>
    </row>
    <row r="209">
      <c r="A209" s="216" t="s">
        <v>228</v>
      </c>
      <c r="B209" s="20">
        <v>1432.0</v>
      </c>
      <c r="D209" s="216" t="s">
        <v>466</v>
      </c>
      <c r="E209" s="20">
        <v>1191.0</v>
      </c>
    </row>
    <row r="210">
      <c r="A210" s="216" t="s">
        <v>222</v>
      </c>
      <c r="B210" s="20">
        <v>217.0</v>
      </c>
      <c r="D210" s="216" t="s">
        <v>455</v>
      </c>
      <c r="E210" s="20">
        <v>1193.0</v>
      </c>
    </row>
    <row r="211">
      <c r="A211" s="216" t="s">
        <v>36</v>
      </c>
      <c r="B211" s="20">
        <v>630.0</v>
      </c>
      <c r="D211" s="216" t="s">
        <v>91</v>
      </c>
      <c r="E211" s="20">
        <v>1203.0</v>
      </c>
    </row>
    <row r="212">
      <c r="A212" s="216" t="s">
        <v>293</v>
      </c>
      <c r="B212" s="20">
        <v>264.0</v>
      </c>
      <c r="D212" s="216" t="s">
        <v>195</v>
      </c>
      <c r="E212" s="20">
        <v>1205.0</v>
      </c>
    </row>
    <row r="213">
      <c r="A213" s="216" t="s">
        <v>188</v>
      </c>
      <c r="B213" s="20">
        <v>1184.0</v>
      </c>
      <c r="D213" s="216" t="s">
        <v>224</v>
      </c>
      <c r="E213" s="20">
        <v>1220.0</v>
      </c>
    </row>
    <row r="214">
      <c r="A214" s="216" t="s">
        <v>346</v>
      </c>
      <c r="B214" s="20">
        <v>1906.0</v>
      </c>
      <c r="D214" s="216" t="s">
        <v>116</v>
      </c>
      <c r="E214" s="20">
        <v>1231.0</v>
      </c>
    </row>
    <row r="215">
      <c r="A215" s="216" t="s">
        <v>295</v>
      </c>
      <c r="B215" s="20">
        <v>1490.0</v>
      </c>
      <c r="D215" s="250" t="s">
        <v>156</v>
      </c>
      <c r="E215" s="20">
        <v>1237.0</v>
      </c>
    </row>
    <row r="216">
      <c r="A216" s="216" t="s">
        <v>362</v>
      </c>
      <c r="B216" s="20">
        <v>1938.0</v>
      </c>
      <c r="D216" s="216" t="s">
        <v>431</v>
      </c>
      <c r="E216" s="20">
        <v>1239.0</v>
      </c>
    </row>
    <row r="217">
      <c r="A217" s="216" t="s">
        <v>71</v>
      </c>
      <c r="B217" s="20">
        <v>504.0</v>
      </c>
      <c r="D217" s="216" t="s">
        <v>300</v>
      </c>
      <c r="E217" s="20">
        <v>1251.0</v>
      </c>
    </row>
    <row r="218">
      <c r="A218" s="216" t="s">
        <v>74</v>
      </c>
      <c r="B218" s="20">
        <v>708.0</v>
      </c>
      <c r="D218" s="216" t="s">
        <v>394</v>
      </c>
      <c r="E218" s="20">
        <v>1253.0</v>
      </c>
    </row>
    <row r="219">
      <c r="A219" s="216" t="s">
        <v>220</v>
      </c>
      <c r="B219" s="20">
        <v>518.0</v>
      </c>
      <c r="D219" s="250" t="s">
        <v>438</v>
      </c>
      <c r="E219" s="20">
        <v>1256.0</v>
      </c>
    </row>
    <row r="220">
      <c r="A220" s="216" t="s">
        <v>227</v>
      </c>
      <c r="B220" s="20">
        <v>549.0</v>
      </c>
      <c r="D220" s="250" t="s">
        <v>381</v>
      </c>
      <c r="E220" s="20">
        <v>1273.0</v>
      </c>
    </row>
    <row r="221">
      <c r="A221" s="250" t="s">
        <v>192</v>
      </c>
      <c r="B221" s="20">
        <v>1742.0</v>
      </c>
      <c r="D221" s="216" t="s">
        <v>226</v>
      </c>
      <c r="E221" s="20">
        <v>1274.0</v>
      </c>
    </row>
    <row r="222">
      <c r="A222" s="216" t="s">
        <v>155</v>
      </c>
      <c r="B222" s="20">
        <v>230.0</v>
      </c>
      <c r="D222" s="250" t="s">
        <v>209</v>
      </c>
      <c r="E222" s="20">
        <v>1277.0</v>
      </c>
    </row>
    <row r="223">
      <c r="A223" s="216" t="s">
        <v>173</v>
      </c>
      <c r="B223" s="20">
        <v>1834.0</v>
      </c>
      <c r="D223" s="250" t="s">
        <v>416</v>
      </c>
      <c r="E223" s="20">
        <v>1278.0</v>
      </c>
    </row>
    <row r="224">
      <c r="A224" s="216" t="s">
        <v>29</v>
      </c>
      <c r="B224" s="20">
        <v>1897.0</v>
      </c>
      <c r="D224" s="250" t="s">
        <v>296</v>
      </c>
      <c r="E224" s="20">
        <v>1292.0</v>
      </c>
    </row>
    <row r="225">
      <c r="A225" s="216" t="s">
        <v>407</v>
      </c>
      <c r="B225" s="20">
        <v>415.0</v>
      </c>
      <c r="D225" s="250" t="s">
        <v>423</v>
      </c>
      <c r="E225" s="20">
        <v>1294.0</v>
      </c>
    </row>
    <row r="226">
      <c r="A226" s="216" t="s">
        <v>211</v>
      </c>
      <c r="B226" s="20">
        <v>233.0</v>
      </c>
      <c r="D226" s="216" t="s">
        <v>371</v>
      </c>
      <c r="E226" s="20">
        <v>1306.0</v>
      </c>
    </row>
    <row r="227">
      <c r="A227" s="216" t="s">
        <v>420</v>
      </c>
      <c r="B227" s="20">
        <v>1042.0</v>
      </c>
      <c r="D227" s="250" t="s">
        <v>245</v>
      </c>
      <c r="E227" s="20">
        <v>1312.0</v>
      </c>
    </row>
    <row r="228">
      <c r="A228" s="250" t="s">
        <v>382</v>
      </c>
      <c r="B228" s="20">
        <v>1832.0</v>
      </c>
      <c r="D228" s="216" t="s">
        <v>444</v>
      </c>
      <c r="E228" s="20">
        <v>1318.0</v>
      </c>
    </row>
    <row r="229">
      <c r="A229" s="216" t="s">
        <v>309</v>
      </c>
      <c r="B229" s="20">
        <v>676.0</v>
      </c>
      <c r="D229" s="216" t="s">
        <v>148</v>
      </c>
      <c r="E229" s="20">
        <v>1319.0</v>
      </c>
    </row>
    <row r="230">
      <c r="A230" s="250" t="s">
        <v>199</v>
      </c>
      <c r="B230" s="20">
        <v>1063.0</v>
      </c>
      <c r="D230" s="216" t="s">
        <v>184</v>
      </c>
      <c r="E230" s="20">
        <v>1320.0</v>
      </c>
    </row>
    <row r="231">
      <c r="A231" s="216" t="s">
        <v>102</v>
      </c>
      <c r="B231" s="20">
        <v>492.0</v>
      </c>
      <c r="D231" s="216" t="s">
        <v>282</v>
      </c>
      <c r="E231" s="20">
        <v>1323.0</v>
      </c>
    </row>
    <row r="232">
      <c r="A232" s="216" t="s">
        <v>377</v>
      </c>
      <c r="B232" s="20">
        <v>246.0</v>
      </c>
      <c r="D232" s="250" t="s">
        <v>58</v>
      </c>
      <c r="E232" s="20">
        <v>1324.0</v>
      </c>
    </row>
    <row r="233">
      <c r="A233" s="216" t="s">
        <v>63</v>
      </c>
      <c r="B233" s="20">
        <v>1495.0</v>
      </c>
      <c r="D233" s="216" t="s">
        <v>41</v>
      </c>
      <c r="E233" s="20">
        <v>1328.0</v>
      </c>
    </row>
    <row r="234">
      <c r="A234" s="216" t="s">
        <v>218</v>
      </c>
      <c r="B234" s="20">
        <v>1659.0</v>
      </c>
      <c r="D234" s="216" t="s">
        <v>105</v>
      </c>
      <c r="E234" s="20">
        <v>1334.0</v>
      </c>
    </row>
    <row r="235">
      <c r="A235" s="216" t="s">
        <v>235</v>
      </c>
      <c r="B235" s="20">
        <v>269.0</v>
      </c>
      <c r="D235" s="250" t="s">
        <v>301</v>
      </c>
      <c r="E235" s="20">
        <v>1347.0</v>
      </c>
    </row>
    <row r="236">
      <c r="A236" s="216" t="s">
        <v>216</v>
      </c>
      <c r="B236" s="20">
        <v>1953.0</v>
      </c>
      <c r="D236" s="216" t="s">
        <v>129</v>
      </c>
      <c r="E236" s="20">
        <v>1355.0</v>
      </c>
    </row>
    <row r="237">
      <c r="A237" s="216" t="s">
        <v>106</v>
      </c>
      <c r="B237" s="20">
        <v>1656.0</v>
      </c>
      <c r="D237" s="216" t="s">
        <v>187</v>
      </c>
      <c r="E237" s="20">
        <v>1366.0</v>
      </c>
    </row>
    <row r="238">
      <c r="A238" s="216" t="s">
        <v>337</v>
      </c>
      <c r="B238" s="20">
        <v>128.0</v>
      </c>
      <c r="D238" s="216" t="s">
        <v>167</v>
      </c>
      <c r="E238" s="20">
        <v>1369.0</v>
      </c>
    </row>
    <row r="239">
      <c r="A239" s="216" t="s">
        <v>215</v>
      </c>
      <c r="B239" s="20">
        <v>639.0</v>
      </c>
      <c r="D239" s="250" t="s">
        <v>278</v>
      </c>
      <c r="E239" s="20">
        <v>1373.0</v>
      </c>
    </row>
    <row r="240">
      <c r="A240" s="216" t="s">
        <v>41</v>
      </c>
      <c r="B240" s="20">
        <v>1328.0</v>
      </c>
      <c r="D240" s="216" t="s">
        <v>93</v>
      </c>
      <c r="E240" s="20">
        <v>1387.0</v>
      </c>
    </row>
    <row r="241">
      <c r="A241" s="216" t="s">
        <v>379</v>
      </c>
      <c r="B241" s="20">
        <v>1827.0</v>
      </c>
      <c r="D241" s="250" t="s">
        <v>40</v>
      </c>
      <c r="E241" s="20">
        <v>1391.0</v>
      </c>
    </row>
    <row r="242">
      <c r="A242" s="216" t="s">
        <v>70</v>
      </c>
      <c r="B242" s="20">
        <v>244.0</v>
      </c>
      <c r="D242" s="216" t="s">
        <v>388</v>
      </c>
      <c r="E242" s="20">
        <v>1393.0</v>
      </c>
    </row>
    <row r="243">
      <c r="A243" s="216" t="s">
        <v>54</v>
      </c>
      <c r="B243" s="20">
        <v>1186.0</v>
      </c>
      <c r="D243" s="216" t="s">
        <v>272</v>
      </c>
      <c r="E243" s="20">
        <v>1396.0</v>
      </c>
    </row>
    <row r="244">
      <c r="A244" s="216" t="s">
        <v>224</v>
      </c>
      <c r="B244" s="20">
        <v>1220.0</v>
      </c>
      <c r="D244" s="216" t="s">
        <v>223</v>
      </c>
      <c r="E244" s="20">
        <v>1399.0</v>
      </c>
    </row>
    <row r="245">
      <c r="A245" s="250" t="s">
        <v>358</v>
      </c>
      <c r="B245" s="20">
        <v>1437.0</v>
      </c>
      <c r="D245" s="250" t="s">
        <v>64</v>
      </c>
      <c r="E245" s="20">
        <v>1410.0</v>
      </c>
    </row>
    <row r="246">
      <c r="A246" s="250" t="s">
        <v>299</v>
      </c>
      <c r="B246" s="20">
        <v>1882.0</v>
      </c>
      <c r="D246" s="216" t="s">
        <v>283</v>
      </c>
      <c r="E246" s="20">
        <v>1411.0</v>
      </c>
    </row>
    <row r="247">
      <c r="A247" s="216" t="s">
        <v>223</v>
      </c>
      <c r="B247" s="20">
        <v>1399.0</v>
      </c>
      <c r="D247" s="250" t="s">
        <v>62</v>
      </c>
      <c r="E247" s="20">
        <v>1412.0</v>
      </c>
    </row>
    <row r="248">
      <c r="A248" s="250" t="s">
        <v>348</v>
      </c>
      <c r="B248" s="20">
        <v>1593.0</v>
      </c>
      <c r="D248" s="250" t="s">
        <v>254</v>
      </c>
      <c r="E248" s="20">
        <v>1415.0</v>
      </c>
    </row>
    <row r="249">
      <c r="A249" s="250" t="s">
        <v>46</v>
      </c>
      <c r="B249" s="20">
        <v>1514.0</v>
      </c>
      <c r="D249" s="216" t="s">
        <v>462</v>
      </c>
      <c r="E249" s="20">
        <v>1416.0</v>
      </c>
    </row>
    <row r="250">
      <c r="A250" s="216" t="s">
        <v>195</v>
      </c>
      <c r="B250" s="20">
        <v>1205.0</v>
      </c>
      <c r="D250" s="216" t="s">
        <v>189</v>
      </c>
      <c r="E250" s="20">
        <v>1424.0</v>
      </c>
    </row>
    <row r="251">
      <c r="A251" s="216" t="s">
        <v>221</v>
      </c>
      <c r="B251" s="20">
        <v>1190.0</v>
      </c>
      <c r="D251" s="216" t="s">
        <v>429</v>
      </c>
      <c r="E251" s="20">
        <v>1425.0</v>
      </c>
    </row>
    <row r="252">
      <c r="A252" s="216" t="s">
        <v>23</v>
      </c>
      <c r="B252" s="20">
        <v>1749.0</v>
      </c>
      <c r="D252" s="216" t="s">
        <v>228</v>
      </c>
      <c r="E252" s="20">
        <v>1432.0</v>
      </c>
    </row>
    <row r="253">
      <c r="A253" s="216" t="s">
        <v>344</v>
      </c>
      <c r="B253" s="20">
        <v>1665.0</v>
      </c>
      <c r="D253" s="250" t="s">
        <v>161</v>
      </c>
      <c r="E253" s="20">
        <v>1433.0</v>
      </c>
    </row>
    <row r="254">
      <c r="A254" s="250" t="s">
        <v>14</v>
      </c>
      <c r="B254" s="20">
        <v>624.0</v>
      </c>
      <c r="D254" s="216" t="s">
        <v>169</v>
      </c>
      <c r="E254" s="20">
        <v>1433.0</v>
      </c>
    </row>
    <row r="255">
      <c r="A255" s="250" t="s">
        <v>85</v>
      </c>
      <c r="B255" s="20">
        <v>1849.0</v>
      </c>
      <c r="D255" s="250" t="s">
        <v>358</v>
      </c>
      <c r="E255" s="20">
        <v>1437.0</v>
      </c>
    </row>
    <row r="256">
      <c r="A256" s="250" t="s">
        <v>219</v>
      </c>
      <c r="B256" s="216" t="s">
        <v>134</v>
      </c>
      <c r="D256" s="216" t="s">
        <v>239</v>
      </c>
      <c r="E256" s="20">
        <v>1438.0</v>
      </c>
    </row>
    <row r="257">
      <c r="A257" s="250" t="s">
        <v>181</v>
      </c>
      <c r="B257" s="20">
        <v>768.0</v>
      </c>
      <c r="D257" s="216" t="s">
        <v>242</v>
      </c>
      <c r="E257" s="20">
        <v>1439.0</v>
      </c>
    </row>
    <row r="258">
      <c r="A258" s="216" t="s">
        <v>212</v>
      </c>
      <c r="B258" s="20">
        <v>1769.0</v>
      </c>
      <c r="D258" s="229" t="s">
        <v>469</v>
      </c>
      <c r="E258" s="22">
        <v>1444.0</v>
      </c>
    </row>
    <row r="259">
      <c r="A259" s="250" t="s">
        <v>296</v>
      </c>
      <c r="B259" s="20">
        <v>1292.0</v>
      </c>
      <c r="D259" s="216" t="s">
        <v>401</v>
      </c>
      <c r="E259" s="20">
        <v>1459.0</v>
      </c>
    </row>
    <row r="260">
      <c r="A260" s="216" t="s">
        <v>302</v>
      </c>
      <c r="B260" s="20">
        <v>333.0</v>
      </c>
      <c r="D260" s="250" t="s">
        <v>77</v>
      </c>
      <c r="E260" s="20">
        <v>1467.0</v>
      </c>
    </row>
    <row r="261">
      <c r="A261" s="216" t="s">
        <v>327</v>
      </c>
      <c r="B261" s="20">
        <v>649.0</v>
      </c>
      <c r="D261" s="216" t="s">
        <v>248</v>
      </c>
      <c r="E261" s="20">
        <v>1468.0</v>
      </c>
    </row>
    <row r="262">
      <c r="A262" s="250" t="s">
        <v>320</v>
      </c>
      <c r="B262" s="20">
        <v>1877.0</v>
      </c>
      <c r="D262" s="216" t="s">
        <v>448</v>
      </c>
      <c r="E262" s="20">
        <v>1470.0</v>
      </c>
    </row>
    <row r="263">
      <c r="A263" s="216" t="s">
        <v>388</v>
      </c>
      <c r="B263" s="20">
        <v>1393.0</v>
      </c>
      <c r="D263" s="250" t="s">
        <v>312</v>
      </c>
      <c r="E263" s="20">
        <v>1474.0</v>
      </c>
    </row>
    <row r="264">
      <c r="A264" s="250" t="s">
        <v>73</v>
      </c>
      <c r="B264" s="20">
        <v>1845.0</v>
      </c>
      <c r="D264" s="216" t="s">
        <v>304</v>
      </c>
      <c r="E264" s="20">
        <v>1475.0</v>
      </c>
    </row>
    <row r="265">
      <c r="A265" s="250" t="s">
        <v>349</v>
      </c>
      <c r="B265" s="20">
        <v>19.0</v>
      </c>
      <c r="D265" s="250" t="s">
        <v>172</v>
      </c>
      <c r="E265" s="20">
        <v>1478.0</v>
      </c>
    </row>
    <row r="266">
      <c r="A266" s="216" t="s">
        <v>258</v>
      </c>
      <c r="B266" s="20">
        <v>1802.0</v>
      </c>
      <c r="D266" s="216" t="s">
        <v>345</v>
      </c>
      <c r="E266" s="20">
        <v>1479.0</v>
      </c>
    </row>
    <row r="267">
      <c r="A267" s="216" t="s">
        <v>119</v>
      </c>
      <c r="B267" s="20">
        <v>1838.0</v>
      </c>
      <c r="D267" s="216" t="s">
        <v>343</v>
      </c>
      <c r="E267" s="20">
        <v>1483.0</v>
      </c>
    </row>
    <row r="268">
      <c r="A268" s="250" t="s">
        <v>368</v>
      </c>
      <c r="B268" s="20">
        <v>1746.0</v>
      </c>
      <c r="D268" s="250" t="s">
        <v>16</v>
      </c>
      <c r="E268" s="20">
        <v>1486.0</v>
      </c>
    </row>
    <row r="269">
      <c r="A269" s="250" t="s">
        <v>363</v>
      </c>
      <c r="B269" s="20">
        <v>98.0</v>
      </c>
      <c r="D269" s="250" t="s">
        <v>136</v>
      </c>
      <c r="E269" s="20">
        <v>1487.0</v>
      </c>
    </row>
    <row r="270">
      <c r="A270" s="216" t="s">
        <v>133</v>
      </c>
      <c r="B270" s="216" t="s">
        <v>134</v>
      </c>
      <c r="D270" s="216" t="s">
        <v>317</v>
      </c>
      <c r="E270" s="20">
        <v>1489.0</v>
      </c>
    </row>
    <row r="271">
      <c r="A271" s="250" t="s">
        <v>149</v>
      </c>
      <c r="B271" s="20">
        <v>587.0</v>
      </c>
      <c r="D271" s="216" t="s">
        <v>295</v>
      </c>
      <c r="E271" s="20">
        <v>1490.0</v>
      </c>
    </row>
    <row r="272">
      <c r="A272" s="216" t="s">
        <v>328</v>
      </c>
      <c r="B272" s="20">
        <v>1762.0</v>
      </c>
      <c r="D272" s="216" t="s">
        <v>205</v>
      </c>
      <c r="E272" s="20">
        <v>1491.0</v>
      </c>
    </row>
    <row r="273">
      <c r="A273" s="216" t="s">
        <v>338</v>
      </c>
      <c r="B273" s="20">
        <v>770.0</v>
      </c>
      <c r="D273" s="216" t="s">
        <v>412</v>
      </c>
      <c r="E273" s="20">
        <v>1492.0</v>
      </c>
    </row>
    <row r="274">
      <c r="A274" s="216" t="s">
        <v>201</v>
      </c>
      <c r="B274" s="20">
        <v>1860.0</v>
      </c>
      <c r="D274" s="216" t="s">
        <v>63</v>
      </c>
      <c r="E274" s="20">
        <v>1495.0</v>
      </c>
    </row>
    <row r="275">
      <c r="A275" s="216" t="s">
        <v>232</v>
      </c>
      <c r="B275" s="20">
        <v>1836.0</v>
      </c>
      <c r="D275" s="216" t="s">
        <v>342</v>
      </c>
      <c r="E275" s="20">
        <v>1496.0</v>
      </c>
    </row>
    <row r="276">
      <c r="A276" s="250" t="s">
        <v>380</v>
      </c>
      <c r="B276" s="20">
        <v>512.0</v>
      </c>
      <c r="D276" s="216" t="s">
        <v>419</v>
      </c>
      <c r="E276" s="20">
        <v>1508.0</v>
      </c>
    </row>
    <row r="277">
      <c r="A277" s="216" t="s">
        <v>345</v>
      </c>
      <c r="B277" s="20">
        <v>1479.0</v>
      </c>
      <c r="D277" s="250" t="s">
        <v>291</v>
      </c>
      <c r="E277" s="20">
        <v>1510.0</v>
      </c>
    </row>
    <row r="278">
      <c r="A278" s="250" t="s">
        <v>48</v>
      </c>
      <c r="B278" s="20">
        <v>211.0</v>
      </c>
      <c r="D278" s="250" t="s">
        <v>364</v>
      </c>
      <c r="E278" s="20">
        <v>1511.0</v>
      </c>
    </row>
    <row r="279">
      <c r="A279" s="216" t="s">
        <v>313</v>
      </c>
      <c r="B279" s="20">
        <v>1826.0</v>
      </c>
      <c r="D279" s="216" t="s">
        <v>132</v>
      </c>
      <c r="E279" s="20">
        <v>1513.0</v>
      </c>
    </row>
    <row r="280">
      <c r="A280" s="216" t="s">
        <v>148</v>
      </c>
      <c r="B280" s="20">
        <v>1319.0</v>
      </c>
      <c r="D280" s="250" t="s">
        <v>46</v>
      </c>
      <c r="E280" s="20">
        <v>1514.0</v>
      </c>
    </row>
    <row r="281">
      <c r="A281" s="250" t="s">
        <v>130</v>
      </c>
      <c r="B281" s="20">
        <v>1688.0</v>
      </c>
      <c r="D281" s="216" t="s">
        <v>357</v>
      </c>
      <c r="E281" s="20">
        <v>1529.0</v>
      </c>
    </row>
    <row r="282">
      <c r="A282" s="216" t="s">
        <v>409</v>
      </c>
      <c r="B282" s="20">
        <v>1757.0</v>
      </c>
      <c r="D282" s="216" t="s">
        <v>468</v>
      </c>
      <c r="E282" s="20">
        <v>1530.0</v>
      </c>
    </row>
    <row r="283">
      <c r="A283" s="216" t="s">
        <v>402</v>
      </c>
      <c r="B283" s="20">
        <v>1771.0</v>
      </c>
      <c r="D283" s="216" t="s">
        <v>86</v>
      </c>
      <c r="E283" s="20">
        <v>1538.0</v>
      </c>
    </row>
    <row r="284">
      <c r="A284" s="250" t="s">
        <v>206</v>
      </c>
      <c r="B284" s="216" t="s">
        <v>134</v>
      </c>
      <c r="D284" s="250" t="s">
        <v>51</v>
      </c>
      <c r="E284" s="20">
        <v>1541.0</v>
      </c>
    </row>
    <row r="285">
      <c r="A285" s="216" t="s">
        <v>369</v>
      </c>
      <c r="B285" s="20">
        <v>1109.0</v>
      </c>
      <c r="D285" s="250" t="s">
        <v>112</v>
      </c>
      <c r="E285" s="20">
        <v>1542.0</v>
      </c>
    </row>
    <row r="286">
      <c r="A286" s="250" t="s">
        <v>230</v>
      </c>
      <c r="B286" s="20">
        <v>1716.0</v>
      </c>
      <c r="D286" s="216" t="s">
        <v>84</v>
      </c>
      <c r="E286" s="20">
        <v>1543.0</v>
      </c>
    </row>
    <row r="287">
      <c r="A287" s="250" t="s">
        <v>399</v>
      </c>
      <c r="B287" s="20">
        <v>1169.0</v>
      </c>
      <c r="D287" s="216" t="s">
        <v>424</v>
      </c>
      <c r="E287" s="20">
        <v>1565.0</v>
      </c>
    </row>
    <row r="288">
      <c r="A288" s="250" t="s">
        <v>311</v>
      </c>
      <c r="B288" s="20">
        <v>1908.0</v>
      </c>
      <c r="D288" s="216" t="s">
        <v>249</v>
      </c>
      <c r="E288" s="20">
        <v>1568.0</v>
      </c>
    </row>
    <row r="289">
      <c r="A289" s="216" t="s">
        <v>60</v>
      </c>
      <c r="B289" s="20">
        <v>75.0</v>
      </c>
      <c r="D289" s="216" t="s">
        <v>194</v>
      </c>
      <c r="E289" s="20">
        <v>1572.0</v>
      </c>
    </row>
    <row r="290">
      <c r="A290" s="250" t="s">
        <v>186</v>
      </c>
      <c r="B290" s="20">
        <v>1941.0</v>
      </c>
      <c r="D290" s="250" t="s">
        <v>109</v>
      </c>
      <c r="E290" s="20">
        <v>1574.0</v>
      </c>
    </row>
    <row r="291">
      <c r="A291" s="216" t="s">
        <v>144</v>
      </c>
      <c r="B291" s="20">
        <v>1891.0</v>
      </c>
      <c r="D291" s="250" t="s">
        <v>160</v>
      </c>
      <c r="E291" s="20">
        <v>1575.0</v>
      </c>
    </row>
    <row r="292">
      <c r="A292" s="250" t="s">
        <v>42</v>
      </c>
      <c r="B292" s="20">
        <v>148.0</v>
      </c>
      <c r="D292" s="216" t="s">
        <v>459</v>
      </c>
      <c r="E292" s="20">
        <v>1578.0</v>
      </c>
    </row>
    <row r="293">
      <c r="A293" s="250" t="s">
        <v>310</v>
      </c>
      <c r="B293" s="20">
        <v>301.0</v>
      </c>
      <c r="D293" s="250" t="s">
        <v>233</v>
      </c>
      <c r="E293" s="20">
        <v>1579.0</v>
      </c>
    </row>
    <row r="294">
      <c r="A294" s="216" t="s">
        <v>355</v>
      </c>
      <c r="B294" s="20">
        <v>621.0</v>
      </c>
      <c r="D294" s="216" t="s">
        <v>146</v>
      </c>
      <c r="E294" s="20">
        <v>1587.0</v>
      </c>
    </row>
    <row r="295">
      <c r="A295" s="250" t="s">
        <v>273</v>
      </c>
      <c r="B295" s="20">
        <v>1703.0</v>
      </c>
      <c r="D295" s="250" t="s">
        <v>397</v>
      </c>
      <c r="E295" s="20">
        <v>1592.0</v>
      </c>
    </row>
    <row r="296">
      <c r="A296" s="216" t="s">
        <v>374</v>
      </c>
      <c r="B296" s="20">
        <v>758.0</v>
      </c>
      <c r="D296" s="250" t="s">
        <v>348</v>
      </c>
      <c r="E296" s="20">
        <v>1593.0</v>
      </c>
    </row>
    <row r="297">
      <c r="A297" s="250" t="s">
        <v>58</v>
      </c>
      <c r="B297" s="20">
        <v>1324.0</v>
      </c>
      <c r="D297" s="216" t="s">
        <v>55</v>
      </c>
      <c r="E297" s="20">
        <v>1594.0</v>
      </c>
    </row>
    <row r="298">
      <c r="A298" s="250" t="s">
        <v>59</v>
      </c>
      <c r="B298" s="20">
        <v>1881.0</v>
      </c>
      <c r="D298" s="216" t="s">
        <v>65</v>
      </c>
      <c r="E298" s="20">
        <v>1599.0</v>
      </c>
    </row>
    <row r="299">
      <c r="A299" s="250" t="s">
        <v>347</v>
      </c>
      <c r="B299" s="20">
        <v>1697.0</v>
      </c>
      <c r="D299" s="216" t="s">
        <v>153</v>
      </c>
      <c r="E299" s="20">
        <v>1600.0</v>
      </c>
    </row>
    <row r="300">
      <c r="A300" s="216" t="s">
        <v>44</v>
      </c>
      <c r="B300" s="20">
        <v>1772.0</v>
      </c>
      <c r="D300" s="216" t="s">
        <v>287</v>
      </c>
      <c r="E300" s="20">
        <v>1608.0</v>
      </c>
    </row>
    <row r="301">
      <c r="A301" s="216" t="s">
        <v>185</v>
      </c>
      <c r="B301" s="20">
        <v>1753.0</v>
      </c>
      <c r="D301" s="216" t="s">
        <v>26</v>
      </c>
      <c r="E301" s="20">
        <v>1611.0</v>
      </c>
    </row>
    <row r="302">
      <c r="A302" s="216" t="s">
        <v>32</v>
      </c>
      <c r="B302" s="20">
        <v>0.0</v>
      </c>
      <c r="D302" s="216" t="s">
        <v>321</v>
      </c>
      <c r="E302" s="20">
        <v>1612.0</v>
      </c>
    </row>
    <row r="303">
      <c r="A303" s="250" t="s">
        <v>35</v>
      </c>
      <c r="B303" s="20">
        <v>1663.0</v>
      </c>
      <c r="D303" s="250" t="s">
        <v>104</v>
      </c>
      <c r="E303" s="20">
        <v>1646.0</v>
      </c>
    </row>
    <row r="304">
      <c r="A304" s="216" t="s">
        <v>154</v>
      </c>
      <c r="B304" s="20">
        <v>831.0</v>
      </c>
      <c r="D304" s="216" t="s">
        <v>117</v>
      </c>
      <c r="E304" s="20">
        <v>1652.0</v>
      </c>
    </row>
    <row r="305">
      <c r="A305" s="216" t="s">
        <v>263</v>
      </c>
      <c r="B305" s="20">
        <v>1830.0</v>
      </c>
      <c r="D305" s="250" t="s">
        <v>157</v>
      </c>
      <c r="E305" s="20">
        <v>1653.0</v>
      </c>
    </row>
    <row r="306">
      <c r="A306" s="216" t="s">
        <v>152</v>
      </c>
      <c r="B306" s="20">
        <v>1681.0</v>
      </c>
      <c r="D306" s="216" t="s">
        <v>165</v>
      </c>
      <c r="E306" s="20">
        <v>1655.0</v>
      </c>
    </row>
    <row r="307">
      <c r="A307" s="216" t="s">
        <v>297</v>
      </c>
      <c r="B307" s="20">
        <v>1835.0</v>
      </c>
      <c r="D307" s="216" t="s">
        <v>106</v>
      </c>
      <c r="E307" s="20">
        <v>1656.0</v>
      </c>
    </row>
    <row r="308">
      <c r="A308" s="216" t="s">
        <v>316</v>
      </c>
      <c r="B308" s="20">
        <v>1702.0</v>
      </c>
      <c r="D308" s="216" t="s">
        <v>218</v>
      </c>
      <c r="E308" s="20">
        <v>1659.0</v>
      </c>
    </row>
    <row r="309">
      <c r="A309" s="216" t="s">
        <v>361</v>
      </c>
      <c r="B309" s="20">
        <v>1857.0</v>
      </c>
      <c r="D309" s="250" t="s">
        <v>389</v>
      </c>
      <c r="E309" s="20">
        <v>1662.0</v>
      </c>
    </row>
    <row r="310">
      <c r="A310" s="250" t="s">
        <v>370</v>
      </c>
      <c r="B310" s="20">
        <v>1905.0</v>
      </c>
      <c r="D310" s="250" t="s">
        <v>35</v>
      </c>
      <c r="E310" s="20">
        <v>1663.0</v>
      </c>
    </row>
    <row r="311">
      <c r="A311" s="216" t="s">
        <v>375</v>
      </c>
      <c r="B311" s="20">
        <v>1748.0</v>
      </c>
      <c r="D311" s="216" t="s">
        <v>344</v>
      </c>
      <c r="E311" s="20">
        <v>1665.0</v>
      </c>
    </row>
    <row r="312">
      <c r="A312" s="216" t="s">
        <v>108</v>
      </c>
      <c r="B312" s="20">
        <v>493.0</v>
      </c>
      <c r="D312" s="216" t="s">
        <v>135</v>
      </c>
      <c r="E312" s="20">
        <v>1672.0</v>
      </c>
    </row>
    <row r="313">
      <c r="A313" s="250" t="s">
        <v>104</v>
      </c>
      <c r="B313" s="20">
        <v>1646.0</v>
      </c>
      <c r="D313" s="216" t="s">
        <v>94</v>
      </c>
      <c r="E313" s="20">
        <v>1674.0</v>
      </c>
    </row>
    <row r="314">
      <c r="A314" s="250" t="s">
        <v>81</v>
      </c>
      <c r="B314" s="218">
        <v>1876.0</v>
      </c>
      <c r="D314" s="216" t="s">
        <v>152</v>
      </c>
      <c r="E314" s="218">
        <v>1681.0</v>
      </c>
    </row>
    <row r="315">
      <c r="A315" s="259" t="s">
        <v>270</v>
      </c>
      <c r="B315" s="262" t="s">
        <v>271</v>
      </c>
      <c r="D315" s="263" t="s">
        <v>130</v>
      </c>
      <c r="E315" s="218">
        <v>1688.0</v>
      </c>
    </row>
    <row r="316">
      <c r="A316" s="216" t="s">
        <v>53</v>
      </c>
      <c r="B316" s="20">
        <v>1878.0</v>
      </c>
      <c r="D316" s="250" t="s">
        <v>213</v>
      </c>
      <c r="E316" s="20">
        <v>1692.0</v>
      </c>
    </row>
    <row r="317">
      <c r="A317" s="216" t="s">
        <v>94</v>
      </c>
      <c r="B317" s="20">
        <v>1674.0</v>
      </c>
      <c r="D317" s="216" t="s">
        <v>125</v>
      </c>
      <c r="E317" s="20">
        <v>1694.0</v>
      </c>
    </row>
    <row r="318">
      <c r="A318" s="250" t="s">
        <v>334</v>
      </c>
      <c r="B318" s="20">
        <v>1943.0</v>
      </c>
      <c r="D318" s="250" t="s">
        <v>347</v>
      </c>
      <c r="E318" s="20">
        <v>1697.0</v>
      </c>
    </row>
    <row r="319">
      <c r="A319" s="216" t="s">
        <v>259</v>
      </c>
      <c r="B319" s="20">
        <v>1795.0</v>
      </c>
      <c r="D319" s="216" t="s">
        <v>316</v>
      </c>
      <c r="E319" s="20">
        <v>1702.0</v>
      </c>
    </row>
    <row r="320">
      <c r="A320" s="216" t="s">
        <v>265</v>
      </c>
      <c r="B320" s="20">
        <v>1879.0</v>
      </c>
      <c r="D320" s="250" t="s">
        <v>273</v>
      </c>
      <c r="E320" s="20">
        <v>1703.0</v>
      </c>
    </row>
    <row r="321">
      <c r="A321" s="250" t="s">
        <v>306</v>
      </c>
      <c r="B321" s="20">
        <v>1880.0</v>
      </c>
      <c r="D321" s="250" t="s">
        <v>230</v>
      </c>
      <c r="E321" s="20">
        <v>1716.0</v>
      </c>
    </row>
    <row r="322">
      <c r="A322" s="216" t="s">
        <v>225</v>
      </c>
      <c r="B322" s="20">
        <v>1896.0</v>
      </c>
      <c r="D322" s="250" t="s">
        <v>121</v>
      </c>
      <c r="E322" s="20">
        <v>1717.0</v>
      </c>
    </row>
    <row r="323">
      <c r="A323" s="250" t="s">
        <v>174</v>
      </c>
      <c r="B323" s="20">
        <v>1948.0</v>
      </c>
      <c r="D323" s="216" t="s">
        <v>238</v>
      </c>
      <c r="E323" s="20">
        <v>1719.0</v>
      </c>
    </row>
    <row r="324">
      <c r="A324" s="250" t="s">
        <v>20</v>
      </c>
      <c r="B324" s="20">
        <v>1950.0</v>
      </c>
      <c r="D324" s="250" t="s">
        <v>247</v>
      </c>
      <c r="E324" s="20">
        <v>1741.0</v>
      </c>
    </row>
    <row r="325">
      <c r="A325" s="250" t="s">
        <v>114</v>
      </c>
      <c r="B325" s="20">
        <v>293.0</v>
      </c>
      <c r="D325" s="250" t="s">
        <v>192</v>
      </c>
      <c r="E325" s="20">
        <v>1742.0</v>
      </c>
    </row>
    <row r="326">
      <c r="A326" s="250" t="s">
        <v>191</v>
      </c>
      <c r="B326" s="20">
        <v>1822.0</v>
      </c>
      <c r="D326" s="250" t="s">
        <v>368</v>
      </c>
      <c r="E326" s="20">
        <v>1746.0</v>
      </c>
    </row>
    <row r="327">
      <c r="A327" s="216" t="s">
        <v>205</v>
      </c>
      <c r="B327" s="20">
        <v>1491.0</v>
      </c>
      <c r="D327" s="216" t="s">
        <v>375</v>
      </c>
      <c r="E327" s="20">
        <v>1748.0</v>
      </c>
    </row>
    <row r="328">
      <c r="A328" s="216" t="s">
        <v>240</v>
      </c>
      <c r="B328" s="20">
        <v>347.0</v>
      </c>
      <c r="D328" s="216" t="s">
        <v>23</v>
      </c>
      <c r="E328" s="20">
        <v>1749.0</v>
      </c>
    </row>
    <row r="329">
      <c r="A329" s="250" t="s">
        <v>260</v>
      </c>
      <c r="B329" s="20">
        <v>1775.0</v>
      </c>
      <c r="D329" s="216" t="s">
        <v>185</v>
      </c>
      <c r="E329" s="20">
        <v>1753.0</v>
      </c>
    </row>
    <row r="330">
      <c r="A330" s="216" t="s">
        <v>135</v>
      </c>
      <c r="B330" s="20">
        <v>1672.0</v>
      </c>
      <c r="D330" s="216" t="s">
        <v>441</v>
      </c>
      <c r="E330" s="20">
        <v>1754.0</v>
      </c>
    </row>
    <row r="331">
      <c r="A331" s="250" t="s">
        <v>100</v>
      </c>
      <c r="B331" s="20">
        <v>170.0</v>
      </c>
      <c r="D331" s="216" t="s">
        <v>409</v>
      </c>
      <c r="E331" s="20">
        <v>1757.0</v>
      </c>
    </row>
    <row r="332">
      <c r="A332" s="216" t="s">
        <v>138</v>
      </c>
      <c r="B332" s="20">
        <v>1818.0</v>
      </c>
      <c r="D332" s="250" t="s">
        <v>113</v>
      </c>
      <c r="E332" s="20">
        <v>1758.0</v>
      </c>
    </row>
    <row r="333">
      <c r="A333" s="216" t="s">
        <v>56</v>
      </c>
      <c r="B333" s="20">
        <v>1929.0</v>
      </c>
      <c r="D333" s="250" t="s">
        <v>408</v>
      </c>
      <c r="E333" s="20">
        <v>1759.0</v>
      </c>
    </row>
    <row r="334">
      <c r="A334" s="250" t="s">
        <v>257</v>
      </c>
      <c r="B334" s="20">
        <v>90.0</v>
      </c>
      <c r="D334" s="216" t="s">
        <v>328</v>
      </c>
      <c r="E334" s="20">
        <v>1762.0</v>
      </c>
    </row>
    <row r="335">
      <c r="A335" s="250" t="s">
        <v>136</v>
      </c>
      <c r="B335" s="20">
        <v>1487.0</v>
      </c>
      <c r="D335" s="216" t="s">
        <v>427</v>
      </c>
      <c r="E335" s="20">
        <v>1763.0</v>
      </c>
    </row>
    <row r="336">
      <c r="A336" s="250" t="s">
        <v>145</v>
      </c>
      <c r="B336" s="20">
        <v>702.0</v>
      </c>
      <c r="D336" s="216" t="s">
        <v>323</v>
      </c>
      <c r="E336" s="20">
        <v>1766.0</v>
      </c>
    </row>
    <row r="337">
      <c r="A337" s="216" t="s">
        <v>323</v>
      </c>
      <c r="B337" s="20">
        <v>1766.0</v>
      </c>
      <c r="D337" s="216" t="s">
        <v>212</v>
      </c>
      <c r="E337" s="20">
        <v>1769.0</v>
      </c>
    </row>
    <row r="338">
      <c r="A338" s="216" t="s">
        <v>255</v>
      </c>
      <c r="B338" s="216" t="s">
        <v>99</v>
      </c>
      <c r="D338" s="216" t="s">
        <v>402</v>
      </c>
      <c r="E338" s="20">
        <v>1771.0</v>
      </c>
    </row>
    <row r="339">
      <c r="A339" s="216" t="s">
        <v>325</v>
      </c>
      <c r="B339" s="20">
        <v>661.0</v>
      </c>
      <c r="D339" s="216" t="s">
        <v>44</v>
      </c>
      <c r="E339" s="20">
        <v>1772.0</v>
      </c>
    </row>
    <row r="340">
      <c r="A340" s="216" t="s">
        <v>264</v>
      </c>
      <c r="B340" s="20">
        <v>1828.0</v>
      </c>
      <c r="D340" s="216" t="s">
        <v>123</v>
      </c>
      <c r="E340" s="20">
        <v>1773.0</v>
      </c>
    </row>
    <row r="341">
      <c r="A341" s="216" t="s">
        <v>72</v>
      </c>
      <c r="B341" s="20">
        <v>516.0</v>
      </c>
      <c r="D341" s="216" t="s">
        <v>467</v>
      </c>
      <c r="E341" s="20">
        <v>1774.0</v>
      </c>
    </row>
    <row r="342">
      <c r="A342" s="250" t="s">
        <v>49</v>
      </c>
      <c r="B342" s="20">
        <v>1951.0</v>
      </c>
      <c r="D342" s="250" t="s">
        <v>260</v>
      </c>
      <c r="E342" s="20">
        <v>1775.0</v>
      </c>
    </row>
    <row r="343">
      <c r="A343" s="216" t="s">
        <v>267</v>
      </c>
      <c r="B343" s="20">
        <v>707.0</v>
      </c>
      <c r="D343" s="250" t="s">
        <v>197</v>
      </c>
      <c r="E343" s="20">
        <v>1777.0</v>
      </c>
    </row>
    <row r="344">
      <c r="A344" s="216" t="s">
        <v>274</v>
      </c>
      <c r="B344" s="20">
        <v>1121.0</v>
      </c>
      <c r="D344" s="216" t="s">
        <v>292</v>
      </c>
      <c r="E344" s="20">
        <v>1779.0</v>
      </c>
    </row>
    <row r="345">
      <c r="A345" s="250" t="s">
        <v>178</v>
      </c>
      <c r="B345" s="20">
        <v>1859.0</v>
      </c>
      <c r="D345" s="216" t="s">
        <v>378</v>
      </c>
      <c r="E345" s="20">
        <v>1783.0</v>
      </c>
    </row>
    <row r="346">
      <c r="A346" s="216" t="s">
        <v>153</v>
      </c>
      <c r="B346" s="20">
        <v>1600.0</v>
      </c>
      <c r="D346" s="250" t="s">
        <v>256</v>
      </c>
      <c r="E346" s="20">
        <v>1785.0</v>
      </c>
    </row>
    <row r="347">
      <c r="A347" s="250" t="s">
        <v>156</v>
      </c>
      <c r="B347" s="20">
        <v>1237.0</v>
      </c>
      <c r="D347" s="250" t="s">
        <v>147</v>
      </c>
      <c r="E347" s="20">
        <v>1786.0</v>
      </c>
    </row>
    <row r="348">
      <c r="A348" s="250" t="s">
        <v>40</v>
      </c>
      <c r="B348" s="20">
        <v>1391.0</v>
      </c>
      <c r="D348" s="216" t="s">
        <v>460</v>
      </c>
      <c r="E348" s="20">
        <v>1792.0</v>
      </c>
    </row>
    <row r="349">
      <c r="A349" s="216" t="s">
        <v>117</v>
      </c>
      <c r="B349" s="20">
        <v>1652.0</v>
      </c>
      <c r="D349" s="216" t="s">
        <v>259</v>
      </c>
      <c r="E349" s="20">
        <v>1795.0</v>
      </c>
    </row>
    <row r="350">
      <c r="A350" s="250" t="s">
        <v>157</v>
      </c>
      <c r="B350" s="20">
        <v>1653.0</v>
      </c>
      <c r="D350" s="250" t="s">
        <v>78</v>
      </c>
      <c r="E350" s="20">
        <v>1797.0</v>
      </c>
    </row>
    <row r="351">
      <c r="A351" s="250" t="s">
        <v>351</v>
      </c>
      <c r="B351" s="20">
        <v>1839.0</v>
      </c>
      <c r="D351" s="216" t="s">
        <v>422</v>
      </c>
      <c r="E351" s="20">
        <v>1798.0</v>
      </c>
    </row>
    <row r="352">
      <c r="A352" s="216" t="s">
        <v>189</v>
      </c>
      <c r="B352" s="20">
        <v>1424.0</v>
      </c>
      <c r="D352" s="216" t="s">
        <v>450</v>
      </c>
      <c r="E352" s="20">
        <v>1800.0</v>
      </c>
    </row>
    <row r="353">
      <c r="A353" s="216" t="s">
        <v>268</v>
      </c>
      <c r="B353" s="20">
        <v>496.0</v>
      </c>
      <c r="D353" s="250" t="s">
        <v>128</v>
      </c>
      <c r="E353" s="20">
        <v>1801.0</v>
      </c>
    </row>
    <row r="354">
      <c r="A354" s="216" t="s">
        <v>198</v>
      </c>
      <c r="B354" s="20">
        <v>1945.0</v>
      </c>
      <c r="D354" s="216" t="s">
        <v>258</v>
      </c>
      <c r="E354" s="20">
        <v>1802.0</v>
      </c>
    </row>
    <row r="355">
      <c r="A355" s="216" t="s">
        <v>123</v>
      </c>
      <c r="B355" s="20">
        <v>1773.0</v>
      </c>
      <c r="D355" s="216" t="s">
        <v>251</v>
      </c>
      <c r="E355" s="20">
        <v>1816.0</v>
      </c>
    </row>
    <row r="356">
      <c r="A356" s="216" t="s">
        <v>84</v>
      </c>
      <c r="B356" s="20">
        <v>1543.0</v>
      </c>
      <c r="D356" s="216" t="s">
        <v>406</v>
      </c>
      <c r="E356" s="20">
        <v>1817.0</v>
      </c>
    </row>
    <row r="357">
      <c r="A357" s="216" t="s">
        <v>342</v>
      </c>
      <c r="B357" s="20">
        <v>1496.0</v>
      </c>
      <c r="D357" s="216" t="s">
        <v>138</v>
      </c>
      <c r="E357" s="20">
        <v>1818.0</v>
      </c>
    </row>
    <row r="358">
      <c r="A358" s="216" t="s">
        <v>95</v>
      </c>
      <c r="B358" s="20">
        <v>1012.0</v>
      </c>
      <c r="D358" s="250" t="s">
        <v>236</v>
      </c>
      <c r="E358" s="20">
        <v>1819.0</v>
      </c>
    </row>
    <row r="359">
      <c r="A359" s="216" t="s">
        <v>253</v>
      </c>
      <c r="B359" s="20">
        <v>721.0</v>
      </c>
      <c r="D359" s="250" t="s">
        <v>191</v>
      </c>
      <c r="E359" s="20">
        <v>1822.0</v>
      </c>
    </row>
    <row r="360">
      <c r="A360" s="216" t="s">
        <v>68</v>
      </c>
      <c r="B360" s="20">
        <v>833.0</v>
      </c>
      <c r="D360" s="216" t="s">
        <v>313</v>
      </c>
      <c r="E360" s="20">
        <v>1826.0</v>
      </c>
    </row>
    <row r="361">
      <c r="A361" s="216" t="s">
        <v>304</v>
      </c>
      <c r="B361" s="20">
        <v>1475.0</v>
      </c>
      <c r="D361" s="216" t="s">
        <v>379</v>
      </c>
      <c r="E361" s="20">
        <v>1827.0</v>
      </c>
    </row>
    <row r="362">
      <c r="A362" s="216" t="s">
        <v>131</v>
      </c>
      <c r="B362" s="20">
        <v>437.0</v>
      </c>
      <c r="D362" s="216" t="s">
        <v>264</v>
      </c>
      <c r="E362" s="20">
        <v>1828.0</v>
      </c>
    </row>
    <row r="363">
      <c r="A363" s="216" t="s">
        <v>250</v>
      </c>
      <c r="B363" s="20">
        <v>495.0</v>
      </c>
      <c r="D363" s="216" t="s">
        <v>107</v>
      </c>
      <c r="E363" s="20">
        <v>1829.0</v>
      </c>
    </row>
    <row r="364">
      <c r="A364" s="216" t="s">
        <v>226</v>
      </c>
      <c r="B364" s="20">
        <v>1274.0</v>
      </c>
      <c r="D364" s="216" t="s">
        <v>263</v>
      </c>
      <c r="E364" s="20">
        <v>1830.0</v>
      </c>
    </row>
    <row r="365">
      <c r="A365" s="216" t="s">
        <v>353</v>
      </c>
      <c r="B365" s="20">
        <v>149.0</v>
      </c>
      <c r="D365" s="250" t="s">
        <v>203</v>
      </c>
      <c r="E365" s="20">
        <v>1831.0</v>
      </c>
    </row>
    <row r="366">
      <c r="A366" s="250" t="s">
        <v>254</v>
      </c>
      <c r="B366" s="20">
        <v>1415.0</v>
      </c>
      <c r="D366" s="250" t="s">
        <v>382</v>
      </c>
      <c r="E366" s="20">
        <v>1832.0</v>
      </c>
    </row>
    <row r="367">
      <c r="A367" s="216" t="s">
        <v>266</v>
      </c>
      <c r="B367" s="20">
        <v>773.0</v>
      </c>
      <c r="D367" s="216" t="s">
        <v>173</v>
      </c>
      <c r="E367" s="20">
        <v>1834.0</v>
      </c>
    </row>
    <row r="368">
      <c r="A368" s="250" t="s">
        <v>87</v>
      </c>
      <c r="B368" s="20">
        <v>1974.0</v>
      </c>
      <c r="D368" s="216" t="s">
        <v>297</v>
      </c>
      <c r="E368" s="20">
        <v>1835.0</v>
      </c>
    </row>
    <row r="369">
      <c r="A369" s="216" t="s">
        <v>110</v>
      </c>
      <c r="B369" s="20">
        <v>615.0</v>
      </c>
      <c r="D369" s="216" t="s">
        <v>232</v>
      </c>
      <c r="E369" s="20">
        <v>1836.0</v>
      </c>
    </row>
    <row r="370">
      <c r="A370" s="216" t="s">
        <v>252</v>
      </c>
      <c r="B370" s="20">
        <v>271.0</v>
      </c>
      <c r="D370" s="216" t="s">
        <v>119</v>
      </c>
      <c r="E370" s="20">
        <v>1838.0</v>
      </c>
    </row>
    <row r="371">
      <c r="A371" s="250" t="s">
        <v>52</v>
      </c>
      <c r="B371" s="20">
        <v>733.0</v>
      </c>
      <c r="D371" s="250" t="s">
        <v>351</v>
      </c>
      <c r="E371" s="20">
        <v>1839.0</v>
      </c>
    </row>
    <row r="372">
      <c r="A372" s="250" t="s">
        <v>139</v>
      </c>
      <c r="B372" s="20">
        <v>386.0</v>
      </c>
      <c r="D372" s="216" t="s">
        <v>79</v>
      </c>
      <c r="E372" s="20">
        <v>1841.0</v>
      </c>
    </row>
    <row r="373">
      <c r="A373" s="216" t="s">
        <v>194</v>
      </c>
      <c r="B373" s="20">
        <v>1572.0</v>
      </c>
      <c r="D373" s="250" t="s">
        <v>73</v>
      </c>
      <c r="E373" s="20">
        <v>1845.0</v>
      </c>
    </row>
    <row r="374">
      <c r="A374" s="216" t="s">
        <v>125</v>
      </c>
      <c r="B374" s="20">
        <v>1694.0</v>
      </c>
      <c r="D374" s="250" t="s">
        <v>85</v>
      </c>
      <c r="E374" s="20">
        <v>1849.0</v>
      </c>
    </row>
    <row r="375">
      <c r="A375" s="216" t="s">
        <v>107</v>
      </c>
      <c r="B375" s="20">
        <v>1829.0</v>
      </c>
      <c r="D375" s="216" t="s">
        <v>395</v>
      </c>
      <c r="E375" s="20">
        <v>1850.0</v>
      </c>
    </row>
    <row r="376">
      <c r="A376" s="250" t="s">
        <v>262</v>
      </c>
      <c r="B376" s="20">
        <v>1883.0</v>
      </c>
      <c r="D376" s="216" t="s">
        <v>361</v>
      </c>
      <c r="E376" s="20">
        <v>1857.0</v>
      </c>
    </row>
    <row r="377">
      <c r="A377" s="216" t="s">
        <v>371</v>
      </c>
      <c r="B377" s="20">
        <v>1306.0</v>
      </c>
      <c r="D377" s="250" t="s">
        <v>178</v>
      </c>
      <c r="E377" s="20">
        <v>1859.0</v>
      </c>
    </row>
    <row r="378">
      <c r="A378" s="216" t="s">
        <v>246</v>
      </c>
      <c r="B378" s="20">
        <v>663.0</v>
      </c>
      <c r="D378" s="216" t="s">
        <v>201</v>
      </c>
      <c r="E378" s="20">
        <v>1860.0</v>
      </c>
    </row>
    <row r="379">
      <c r="A379" s="250" t="s">
        <v>197</v>
      </c>
      <c r="B379" s="20">
        <v>1777.0</v>
      </c>
      <c r="D379" s="250" t="s">
        <v>196</v>
      </c>
      <c r="E379" s="20">
        <v>1866.0</v>
      </c>
    </row>
    <row r="380">
      <c r="A380" s="216" t="s">
        <v>234</v>
      </c>
      <c r="B380" s="20">
        <v>776.0</v>
      </c>
      <c r="D380" s="250" t="s">
        <v>308</v>
      </c>
      <c r="E380" s="20">
        <v>1871.0</v>
      </c>
    </row>
    <row r="381">
      <c r="A381" s="216" t="s">
        <v>193</v>
      </c>
      <c r="B381" s="20">
        <v>586.0</v>
      </c>
      <c r="D381" s="250" t="s">
        <v>290</v>
      </c>
      <c r="E381" s="20">
        <v>1873.0</v>
      </c>
    </row>
    <row r="382">
      <c r="A382" s="216" t="s">
        <v>200</v>
      </c>
      <c r="B382" s="20">
        <v>1954.0</v>
      </c>
      <c r="D382" s="250" t="s">
        <v>341</v>
      </c>
      <c r="E382" s="20">
        <v>1875.0</v>
      </c>
    </row>
    <row r="383">
      <c r="A383" s="216" t="s">
        <v>143</v>
      </c>
      <c r="B383" s="20">
        <v>1141.0</v>
      </c>
      <c r="D383" s="250" t="s">
        <v>81</v>
      </c>
      <c r="E383" s="20">
        <v>1876.0</v>
      </c>
    </row>
    <row r="384">
      <c r="A384" s="216" t="s">
        <v>335</v>
      </c>
      <c r="B384" s="20">
        <v>494.0</v>
      </c>
      <c r="D384" s="250" t="s">
        <v>320</v>
      </c>
      <c r="E384" s="20">
        <v>1877.0</v>
      </c>
    </row>
    <row r="385">
      <c r="A385" s="216" t="s">
        <v>251</v>
      </c>
      <c r="B385" s="20">
        <v>1816.0</v>
      </c>
      <c r="D385" s="216" t="s">
        <v>53</v>
      </c>
      <c r="E385" s="20">
        <v>1878.0</v>
      </c>
    </row>
    <row r="386">
      <c r="A386" s="216" t="s">
        <v>86</v>
      </c>
      <c r="B386" s="20">
        <v>1538.0</v>
      </c>
      <c r="D386" s="216" t="s">
        <v>265</v>
      </c>
      <c r="E386" s="20">
        <v>1879.0</v>
      </c>
    </row>
    <row r="387">
      <c r="A387" s="216" t="s">
        <v>116</v>
      </c>
      <c r="B387" s="20">
        <v>1231.0</v>
      </c>
      <c r="D387" s="250" t="s">
        <v>306</v>
      </c>
      <c r="E387" s="20">
        <v>1880.0</v>
      </c>
    </row>
    <row r="388">
      <c r="A388" s="250" t="s">
        <v>137</v>
      </c>
      <c r="B388" s="20">
        <v>1957.0</v>
      </c>
      <c r="D388" s="250" t="s">
        <v>59</v>
      </c>
      <c r="E388" s="20">
        <v>1881.0</v>
      </c>
    </row>
    <row r="389">
      <c r="A389" s="216" t="s">
        <v>101</v>
      </c>
      <c r="B389" s="20">
        <v>1961.0</v>
      </c>
      <c r="D389" s="250" t="s">
        <v>299</v>
      </c>
      <c r="E389" s="20">
        <v>1882.0</v>
      </c>
    </row>
    <row r="390">
      <c r="A390" s="216" t="s">
        <v>398</v>
      </c>
      <c r="B390" s="20">
        <v>1078.0</v>
      </c>
      <c r="D390" s="250" t="s">
        <v>262</v>
      </c>
      <c r="E390" s="20">
        <v>1883.0</v>
      </c>
    </row>
    <row r="391">
      <c r="A391" s="216" t="s">
        <v>387</v>
      </c>
      <c r="B391" s="20">
        <v>545.0</v>
      </c>
      <c r="D391" s="216" t="s">
        <v>457</v>
      </c>
      <c r="E391" s="20">
        <v>1886.0</v>
      </c>
    </row>
    <row r="392">
      <c r="A392" s="216" t="s">
        <v>383</v>
      </c>
      <c r="B392" s="216" t="s">
        <v>384</v>
      </c>
      <c r="D392" s="216" t="s">
        <v>180</v>
      </c>
      <c r="E392" s="20">
        <v>1888.0</v>
      </c>
    </row>
    <row r="393">
      <c r="A393" s="216" t="s">
        <v>129</v>
      </c>
      <c r="B393" s="20">
        <v>1355.0</v>
      </c>
      <c r="D393" s="216" t="s">
        <v>144</v>
      </c>
      <c r="E393" s="20">
        <v>1891.0</v>
      </c>
    </row>
    <row r="394">
      <c r="A394" s="250" t="s">
        <v>113</v>
      </c>
      <c r="B394" s="20">
        <v>1758.0</v>
      </c>
      <c r="D394" s="216" t="s">
        <v>225</v>
      </c>
      <c r="E394" s="20">
        <v>1896.0</v>
      </c>
    </row>
    <row r="395">
      <c r="A395" s="250" t="s">
        <v>236</v>
      </c>
      <c r="B395" s="20">
        <v>1819.0</v>
      </c>
      <c r="D395" s="216" t="s">
        <v>29</v>
      </c>
      <c r="E395" s="20">
        <v>1897.0</v>
      </c>
    </row>
    <row r="396">
      <c r="A396" s="216" t="s">
        <v>142</v>
      </c>
      <c r="B396" s="20">
        <v>1942.0</v>
      </c>
      <c r="D396" s="216" t="s">
        <v>168</v>
      </c>
      <c r="E396" s="20">
        <v>1899.0</v>
      </c>
    </row>
    <row r="397">
      <c r="A397" s="216" t="s">
        <v>425</v>
      </c>
      <c r="B397" s="20">
        <v>1967.0</v>
      </c>
      <c r="D397" s="250" t="s">
        <v>370</v>
      </c>
      <c r="E397" s="20">
        <v>1905.0</v>
      </c>
    </row>
    <row r="398">
      <c r="A398" s="216" t="s">
        <v>426</v>
      </c>
      <c r="B398" s="20">
        <v>1975.0</v>
      </c>
      <c r="D398" s="216" t="s">
        <v>346</v>
      </c>
      <c r="E398" s="20">
        <v>1906.0</v>
      </c>
    </row>
    <row r="399">
      <c r="A399" s="216" t="s">
        <v>427</v>
      </c>
      <c r="B399" s="20">
        <v>1763.0</v>
      </c>
      <c r="D399" s="250" t="s">
        <v>311</v>
      </c>
      <c r="E399" s="20">
        <v>1908.0</v>
      </c>
    </row>
    <row r="400">
      <c r="A400" s="216" t="s">
        <v>428</v>
      </c>
      <c r="B400" s="20">
        <v>782.0</v>
      </c>
      <c r="D400" s="250" t="s">
        <v>61</v>
      </c>
      <c r="E400" s="20">
        <v>1926.0</v>
      </c>
    </row>
    <row r="401">
      <c r="A401" s="216" t="s">
        <v>429</v>
      </c>
      <c r="B401" s="20">
        <v>1425.0</v>
      </c>
      <c r="D401" s="216" t="s">
        <v>56</v>
      </c>
      <c r="E401" s="20">
        <v>1929.0</v>
      </c>
    </row>
    <row r="402">
      <c r="A402" s="216" t="s">
        <v>430</v>
      </c>
      <c r="B402" s="216" t="s">
        <v>99</v>
      </c>
      <c r="D402" s="250" t="s">
        <v>366</v>
      </c>
      <c r="E402" s="20">
        <v>1934.0</v>
      </c>
    </row>
    <row r="403">
      <c r="A403" s="216" t="s">
        <v>431</v>
      </c>
      <c r="B403" s="20">
        <v>1239.0</v>
      </c>
      <c r="D403" s="216" t="s">
        <v>33</v>
      </c>
      <c r="E403" s="20">
        <v>1937.0</v>
      </c>
    </row>
    <row r="404">
      <c r="A404" s="216" t="s">
        <v>432</v>
      </c>
      <c r="B404" s="20">
        <v>1000.0</v>
      </c>
      <c r="D404" s="216" t="s">
        <v>362</v>
      </c>
      <c r="E404" s="20">
        <v>1938.0</v>
      </c>
    </row>
    <row r="405">
      <c r="A405" s="250" t="s">
        <v>433</v>
      </c>
      <c r="B405" s="20">
        <v>346.0</v>
      </c>
      <c r="D405" s="250" t="s">
        <v>350</v>
      </c>
      <c r="E405" s="20">
        <v>1939.0</v>
      </c>
    </row>
    <row r="406">
      <c r="A406" s="250" t="s">
        <v>434</v>
      </c>
      <c r="B406" s="20">
        <v>74.0</v>
      </c>
      <c r="D406" s="250" t="s">
        <v>159</v>
      </c>
      <c r="E406" s="20">
        <v>1940.0</v>
      </c>
    </row>
    <row r="407">
      <c r="A407" s="216" t="s">
        <v>435</v>
      </c>
      <c r="B407" s="20">
        <v>348.0</v>
      </c>
      <c r="D407" s="250" t="s">
        <v>186</v>
      </c>
      <c r="E407" s="20">
        <v>1941.0</v>
      </c>
    </row>
    <row r="408">
      <c r="A408" s="216" t="s">
        <v>436</v>
      </c>
      <c r="B408" s="20">
        <v>391.0</v>
      </c>
      <c r="D408" s="216" t="s">
        <v>142</v>
      </c>
      <c r="E408" s="20">
        <v>1942.0</v>
      </c>
    </row>
    <row r="409">
      <c r="A409" s="216" t="s">
        <v>437</v>
      </c>
      <c r="B409" s="20">
        <v>1008.0</v>
      </c>
      <c r="D409" s="250" t="s">
        <v>334</v>
      </c>
      <c r="E409" s="20">
        <v>1943.0</v>
      </c>
    </row>
    <row r="410">
      <c r="A410" s="250" t="s">
        <v>438</v>
      </c>
      <c r="B410" s="20">
        <v>1256.0</v>
      </c>
      <c r="D410" s="250" t="s">
        <v>269</v>
      </c>
      <c r="E410" s="20">
        <v>1944.0</v>
      </c>
    </row>
    <row r="411">
      <c r="A411" s="216" t="s">
        <v>439</v>
      </c>
      <c r="B411" s="20">
        <v>821.0</v>
      </c>
      <c r="D411" s="216" t="s">
        <v>198</v>
      </c>
      <c r="E411" s="20">
        <v>1945.0</v>
      </c>
    </row>
    <row r="412">
      <c r="A412" s="250" t="s">
        <v>440</v>
      </c>
      <c r="B412" s="20">
        <v>352.0</v>
      </c>
      <c r="D412" s="250" t="s">
        <v>24</v>
      </c>
      <c r="E412" s="20">
        <v>1946.0</v>
      </c>
    </row>
    <row r="413">
      <c r="A413" s="216" t="s">
        <v>441</v>
      </c>
      <c r="B413" s="20">
        <v>1754.0</v>
      </c>
      <c r="D413" s="250" t="s">
        <v>174</v>
      </c>
      <c r="E413" s="20">
        <v>1948.0</v>
      </c>
    </row>
    <row r="414">
      <c r="A414" s="216" t="s">
        <v>442</v>
      </c>
      <c r="B414" s="20">
        <v>628.0</v>
      </c>
      <c r="D414" s="250" t="s">
        <v>390</v>
      </c>
      <c r="E414" s="20">
        <v>1949.0</v>
      </c>
    </row>
    <row r="415">
      <c r="A415" s="216" t="s">
        <v>443</v>
      </c>
      <c r="B415" s="20">
        <v>468.0</v>
      </c>
      <c r="D415" s="250" t="s">
        <v>20</v>
      </c>
      <c r="E415" s="20">
        <v>1950.0</v>
      </c>
    </row>
    <row r="416">
      <c r="A416" s="216" t="s">
        <v>444</v>
      </c>
      <c r="B416" s="20">
        <v>1318.0</v>
      </c>
      <c r="D416" s="250" t="s">
        <v>49</v>
      </c>
      <c r="E416" s="20">
        <v>1951.0</v>
      </c>
    </row>
    <row r="417">
      <c r="A417" s="216" t="s">
        <v>445</v>
      </c>
      <c r="B417" s="20">
        <v>653.0</v>
      </c>
      <c r="D417" s="216" t="s">
        <v>244</v>
      </c>
      <c r="E417" s="20">
        <v>1952.0</v>
      </c>
    </row>
    <row r="418">
      <c r="A418" s="216" t="s">
        <v>446</v>
      </c>
      <c r="B418" s="20">
        <v>1091.0</v>
      </c>
      <c r="D418" s="216" t="s">
        <v>216</v>
      </c>
      <c r="E418" s="20">
        <v>1953.0</v>
      </c>
    </row>
    <row r="419">
      <c r="A419" s="216" t="s">
        <v>447</v>
      </c>
      <c r="B419" s="20">
        <v>1044.0</v>
      </c>
      <c r="D419" s="216" t="s">
        <v>200</v>
      </c>
      <c r="E419" s="20">
        <v>1954.0</v>
      </c>
    </row>
    <row r="420">
      <c r="A420" s="216" t="s">
        <v>448</v>
      </c>
      <c r="B420" s="20">
        <v>1470.0</v>
      </c>
      <c r="D420" s="250" t="s">
        <v>137</v>
      </c>
      <c r="E420" s="20">
        <v>1957.0</v>
      </c>
    </row>
    <row r="421">
      <c r="A421" s="216" t="s">
        <v>449</v>
      </c>
      <c r="B421" s="20">
        <v>256.0</v>
      </c>
      <c r="D421" s="250" t="s">
        <v>202</v>
      </c>
      <c r="E421" s="20">
        <v>1958.0</v>
      </c>
    </row>
    <row r="422">
      <c r="A422" s="216" t="s">
        <v>450</v>
      </c>
      <c r="B422" s="20">
        <v>1800.0</v>
      </c>
      <c r="D422" s="250" t="s">
        <v>229</v>
      </c>
      <c r="E422" s="20">
        <v>1960.0</v>
      </c>
    </row>
    <row r="423">
      <c r="A423" s="216" t="s">
        <v>451</v>
      </c>
      <c r="B423" s="20">
        <v>779.0</v>
      </c>
      <c r="D423" s="216" t="s">
        <v>101</v>
      </c>
      <c r="E423" s="20">
        <v>1961.0</v>
      </c>
    </row>
    <row r="424">
      <c r="A424" s="216" t="s">
        <v>452</v>
      </c>
      <c r="B424" s="20">
        <v>353.0</v>
      </c>
      <c r="D424" s="216" t="s">
        <v>417</v>
      </c>
      <c r="E424" s="20">
        <v>1966.0</v>
      </c>
    </row>
    <row r="425">
      <c r="A425" s="216" t="s">
        <v>453</v>
      </c>
      <c r="B425" s="20">
        <v>1157.0</v>
      </c>
      <c r="D425" s="216" t="s">
        <v>425</v>
      </c>
      <c r="E425" s="20">
        <v>1967.0</v>
      </c>
    </row>
    <row r="426">
      <c r="A426" s="250" t="s">
        <v>454</v>
      </c>
      <c r="B426" s="20">
        <v>481.0</v>
      </c>
      <c r="D426" s="250" t="s">
        <v>303</v>
      </c>
      <c r="E426" s="20">
        <v>1972.0</v>
      </c>
    </row>
    <row r="427">
      <c r="A427" s="216" t="s">
        <v>455</v>
      </c>
      <c r="B427" s="20">
        <v>1193.0</v>
      </c>
      <c r="D427" s="216" t="s">
        <v>339</v>
      </c>
      <c r="E427" s="20">
        <v>1973.0</v>
      </c>
    </row>
    <row r="428">
      <c r="A428" s="216" t="s">
        <v>456</v>
      </c>
      <c r="B428" s="20">
        <v>357.0</v>
      </c>
      <c r="D428" s="250" t="s">
        <v>87</v>
      </c>
      <c r="E428" s="20">
        <v>1974.0</v>
      </c>
    </row>
    <row r="429">
      <c r="A429" s="216" t="s">
        <v>457</v>
      </c>
      <c r="B429" s="20">
        <v>1886.0</v>
      </c>
      <c r="D429" s="216" t="s">
        <v>426</v>
      </c>
      <c r="E429" s="20">
        <v>1975.0</v>
      </c>
    </row>
    <row r="430">
      <c r="A430" s="216" t="s">
        <v>458</v>
      </c>
      <c r="B430" s="20">
        <v>209.0</v>
      </c>
      <c r="D430" s="216" t="s">
        <v>315</v>
      </c>
      <c r="E430" s="20">
        <v>1978.0</v>
      </c>
    </row>
    <row r="431">
      <c r="A431" s="216" t="s">
        <v>459</v>
      </c>
      <c r="B431" s="20">
        <v>1578.0</v>
      </c>
      <c r="D431" s="216" t="s">
        <v>270</v>
      </c>
      <c r="E431" s="264" t="s">
        <v>271</v>
      </c>
    </row>
    <row r="432">
      <c r="A432" s="216" t="s">
        <v>460</v>
      </c>
      <c r="B432" s="20">
        <v>1792.0</v>
      </c>
      <c r="D432" s="216" t="s">
        <v>214</v>
      </c>
      <c r="E432" s="216" t="s">
        <v>134</v>
      </c>
    </row>
    <row r="433">
      <c r="A433" s="216" t="s">
        <v>461</v>
      </c>
      <c r="B433" s="20">
        <v>1084.0</v>
      </c>
      <c r="D433" s="216" t="s">
        <v>372</v>
      </c>
      <c r="E433" s="216" t="s">
        <v>99</v>
      </c>
    </row>
    <row r="434">
      <c r="A434" s="216" t="s">
        <v>462</v>
      </c>
      <c r="B434" s="20">
        <v>1416.0</v>
      </c>
      <c r="D434" s="216" t="s">
        <v>98</v>
      </c>
      <c r="E434" s="216" t="s">
        <v>99</v>
      </c>
    </row>
    <row r="435">
      <c r="A435" s="216" t="s">
        <v>463</v>
      </c>
      <c r="B435" s="20">
        <v>737.0</v>
      </c>
      <c r="D435" s="216" t="s">
        <v>150</v>
      </c>
      <c r="E435" s="216" t="s">
        <v>99</v>
      </c>
    </row>
    <row r="436">
      <c r="A436" s="216" t="s">
        <v>464</v>
      </c>
      <c r="B436" s="20">
        <v>741.0</v>
      </c>
      <c r="D436" s="250" t="s">
        <v>219</v>
      </c>
      <c r="E436" s="216" t="s">
        <v>134</v>
      </c>
    </row>
    <row r="437">
      <c r="A437" s="216" t="s">
        <v>465</v>
      </c>
      <c r="B437" s="20">
        <v>359.0</v>
      </c>
      <c r="D437" s="216" t="s">
        <v>133</v>
      </c>
      <c r="E437" s="216" t="s">
        <v>134</v>
      </c>
    </row>
    <row r="438">
      <c r="A438" s="259" t="s">
        <v>466</v>
      </c>
      <c r="B438" s="218">
        <v>1191.0</v>
      </c>
      <c r="D438" s="263" t="s">
        <v>206</v>
      </c>
      <c r="E438" s="259" t="s">
        <v>134</v>
      </c>
    </row>
    <row r="439">
      <c r="A439" s="259" t="s">
        <v>467</v>
      </c>
      <c r="B439" s="218">
        <v>1774.0</v>
      </c>
      <c r="D439" s="259" t="s">
        <v>255</v>
      </c>
      <c r="E439" s="259" t="s">
        <v>99</v>
      </c>
    </row>
    <row r="440">
      <c r="A440" s="259" t="s">
        <v>468</v>
      </c>
      <c r="B440" s="218">
        <v>1530.0</v>
      </c>
      <c r="D440" s="259" t="s">
        <v>383</v>
      </c>
      <c r="E440" s="259" t="s">
        <v>384</v>
      </c>
    </row>
    <row r="441">
      <c r="A441" s="229" t="s">
        <v>469</v>
      </c>
      <c r="B441" s="22">
        <v>1444.0</v>
      </c>
      <c r="D441" s="216" t="s">
        <v>430</v>
      </c>
      <c r="E441" s="216" t="s">
        <v>99</v>
      </c>
    </row>
  </sheetData>
  <autoFilter ref="$D$1:$E$441">
    <sortState ref="D1:E441">
      <sortCondition ref="E1:E441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2021-07-21T23:49:35Z</dcterms:created>
</cp:coreProperties>
</file>