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381752DF-8D5D-4F24-BC8A-78035762F7BD}" xr6:coauthVersionLast="47" xr6:coauthVersionMax="47" xr10:uidLastSave="{00000000-0000-0000-0000-000000000000}"/>
  <bookViews>
    <workbookView xWindow="-120" yWindow="-120" windowWidth="29040" windowHeight="15720" tabRatio="708" activeTab="2" xr2:uid="{00000000-000D-0000-FFFF-FFFF00000000}"/>
  </bookViews>
  <sheets>
    <sheet name="INSTRUCTIVO " sheetId="32" r:id="rId1"/>
    <sheet name="INDICADORES" sheetId="30" r:id="rId2"/>
    <sheet name="CPN 2023" sheetId="5" r:id="rId3"/>
    <sheet name="Pendientes Agosto." sheetId="34" r:id="rId4"/>
  </sheets>
  <externalReferences>
    <externalReference r:id="rId5"/>
  </externalReferences>
  <definedNames>
    <definedName name="_06_05_2011" localSheetId="0">'[1]CPN 2022'!#REF!</definedName>
    <definedName name="_06_05_2011">'CPN 2023'!#REF!</definedName>
    <definedName name="_29_11_1984" localSheetId="0">'[1]CPN 2022'!#REF!</definedName>
    <definedName name="_29_11_1984">'CPN 2023'!#REF!</definedName>
    <definedName name="_xlnm._FilterDatabase" localSheetId="2" hidden="1">'CPN 2023'!$NY$2:$RY$248</definedName>
    <definedName name="AIC" localSheetId="0">'[1]CPN 2022'!#REF!</definedName>
    <definedName name="AIC">'CPN 2023'!#REF!</definedName>
    <definedName name="AIDA" localSheetId="0">'[1]CPN 2022'!#REF!</definedName>
    <definedName name="AIDA">'CPN 2023'!#REF!</definedName>
    <definedName name="CC" localSheetId="0">'[1]CPN 2022'!#REF!</definedName>
    <definedName name="CC">'CPN 2023'!#REF!</definedName>
    <definedName name="CCC" localSheetId="0">'[1]CPN 2022'!#REF!</definedName>
    <definedName name="CCC">'CPN 2023'!#REF!</definedName>
    <definedName name="CHOCUE" localSheetId="0">'[1]CPN 2022'!#REF!</definedName>
    <definedName name="CHOCUE">'CPN 2023'!#REF!</definedName>
    <definedName name="EL_HOGAR" localSheetId="0">'[1]CPN 2022'!#REF!</definedName>
    <definedName name="EL_HOGAR">'CPN 2023'!#REF!</definedName>
    <definedName name="INDIGENA" localSheetId="0">'[1]CPN 2022'!#REF!</definedName>
    <definedName name="INDIGENA">'CPN 2023'!#REF!</definedName>
    <definedName name="LA_PLAYA_MIRASOLES" localSheetId="0">'[1]CPN 2022'!#REF!</definedName>
    <definedName name="LA_PLAYA_MIRASOLES">'CPN 2023'!#REF!</definedName>
    <definedName name="LORENA" localSheetId="0">'[1]CPN 2022'!#REF!</definedName>
    <definedName name="LORENA">'CPN 2023'!#REF!</definedName>
    <definedName name="MESTIZA" localSheetId="0">'[1]CPN 2022'!#REF!</definedName>
    <definedName name="MESTIZA">'CPN 2023'!#REF!</definedName>
    <definedName name="RIVERA" localSheetId="0">'[1]CPN 2022'!#REF!</definedName>
    <definedName name="RIVERA">'CPN 2023'!#REF!</definedName>
    <definedName name="RURAL" localSheetId="0">'[1]CPN 2022'!#REF!</definedName>
    <definedName name="RURAL">'CPN 2023'!#REF!</definedName>
    <definedName name="SIN_RIESGO_POR_EDAD" localSheetId="0">'[1]CPN 2022'!#REF!</definedName>
    <definedName name="SIN_RIESGO_POR_EDAD">'CPN 2023'!#REF!</definedName>
    <definedName name="SUB" localSheetId="0">'[1]CPN 2022'!#REF!</definedName>
    <definedName name="SUB">'CPN 2023'!#REF!</definedName>
    <definedName name="UNION_L" localSheetId="0">'[1]CPN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2" i="5"/>
  <c r="CK15" i="5"/>
  <c r="CK16" i="5"/>
  <c r="CK20" i="5"/>
  <c r="CK28" i="5"/>
  <c r="CK31" i="5"/>
  <c r="CK32" i="5"/>
  <c r="CK36" i="5"/>
  <c r="CK44" i="5"/>
  <c r="CK47" i="5"/>
  <c r="CK48" i="5"/>
  <c r="CK52" i="5"/>
  <c r="CK60"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NF242" i="5"/>
  <c r="NF243"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8" i="5" l="1"/>
  <c r="NF241" i="5"/>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DZ189" i="5"/>
  <c r="DW189" i="5" s="1"/>
  <c r="IG181" i="5"/>
  <c r="DZ181" i="5"/>
  <c r="DW181" i="5" s="1"/>
  <c r="IG166" i="5"/>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FO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DZ140" i="5"/>
  <c r="DW140" i="5" s="1"/>
  <c r="IG132" i="5"/>
  <c r="DZ132" i="5"/>
  <c r="DW132" i="5" s="1"/>
  <c r="IG122" i="5"/>
  <c r="BT122" i="5" s="1"/>
  <c r="DZ122" i="5"/>
  <c r="DW122" i="5" s="1"/>
  <c r="IG114" i="5"/>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DZ145" i="5"/>
  <c r="DW145" i="5" s="1"/>
  <c r="IG128" i="5"/>
  <c r="BT128" i="5" s="1"/>
  <c r="DZ128" i="5"/>
  <c r="DW128" i="5" s="1"/>
  <c r="IG113" i="5"/>
  <c r="DZ113" i="5"/>
  <c r="DW113" i="5" s="1"/>
  <c r="IG103" i="5"/>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DZ161" i="5"/>
  <c r="DW161" i="5" s="1"/>
  <c r="IG153" i="5"/>
  <c r="BT153" i="5" s="1"/>
  <c r="DZ153" i="5"/>
  <c r="DW153" i="5" s="1"/>
  <c r="IG138" i="5"/>
  <c r="DZ138" i="5"/>
  <c r="DW138" i="5" s="1"/>
  <c r="IG127" i="5"/>
  <c r="DZ127" i="5"/>
  <c r="DW127" i="5" s="1"/>
  <c r="IG120" i="5"/>
  <c r="DZ120" i="5"/>
  <c r="DW120" i="5" s="1"/>
  <c r="IG112" i="5"/>
  <c r="BT112" i="5" s="1"/>
  <c r="DZ112" i="5"/>
  <c r="DW112" i="5" s="1"/>
  <c r="IG102" i="5"/>
  <c r="BT102" i="5" s="1"/>
  <c r="DZ102" i="5"/>
  <c r="DW102" i="5" s="1"/>
  <c r="IG92" i="5"/>
  <c r="DZ92" i="5"/>
  <c r="DW92" i="5" s="1"/>
  <c r="IG82" i="5"/>
  <c r="DZ82" i="5"/>
  <c r="DW82" i="5" s="1"/>
  <c r="IG72" i="5"/>
  <c r="BT72" i="5" s="1"/>
  <c r="DZ72" i="5"/>
  <c r="DW72" i="5" s="1"/>
  <c r="IG64" i="5"/>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DZ183" i="5"/>
  <c r="DW183" i="5" s="1"/>
  <c r="IG175" i="5"/>
  <c r="DZ175" i="5"/>
  <c r="DW175" i="5" s="1"/>
  <c r="DZ160" i="5"/>
  <c r="DW160" i="5" s="1"/>
  <c r="IG152" i="5"/>
  <c r="BT152" i="5" s="1"/>
  <c r="DZ152" i="5"/>
  <c r="DW152" i="5" s="1"/>
  <c r="IG137" i="5"/>
  <c r="BT137" i="5" s="1"/>
  <c r="DZ137" i="5"/>
  <c r="DW137" i="5" s="1"/>
  <c r="IG126" i="5"/>
  <c r="BT126" i="5" s="1"/>
  <c r="DZ126" i="5"/>
  <c r="DW126" i="5" s="1"/>
  <c r="IG119" i="5"/>
  <c r="BT119" i="5" s="1"/>
  <c r="DZ119" i="5"/>
  <c r="DW119" i="5" s="1"/>
  <c r="IG111" i="5"/>
  <c r="BT111" i="5" s="1"/>
  <c r="DZ111" i="5"/>
  <c r="DW111" i="5" s="1"/>
  <c r="IG81" i="5"/>
  <c r="BT81" i="5" s="1"/>
  <c r="DZ81" i="5"/>
  <c r="DW81" i="5" s="1"/>
  <c r="IG71" i="5"/>
  <c r="DZ71" i="5"/>
  <c r="DW71" i="5" s="1"/>
  <c r="IG63" i="5"/>
  <c r="BT63" i="5" s="1"/>
  <c r="DZ63" i="5"/>
  <c r="DW63" i="5" s="1"/>
  <c r="IG50" i="5"/>
  <c r="BT50" i="5" s="1"/>
  <c r="DZ50" i="5"/>
  <c r="DW50" i="5" s="1"/>
  <c r="IG38" i="5"/>
  <c r="BT38" i="5" s="1"/>
  <c r="DZ38" i="5"/>
  <c r="DW38" i="5" s="1"/>
  <c r="IG27" i="5"/>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45" i="5"/>
  <c r="BT118" i="5"/>
  <c r="BT98" i="5"/>
  <c r="BT82" i="5"/>
  <c r="BT68" i="5"/>
  <c r="BT179" i="5"/>
  <c r="BT140" i="5"/>
  <c r="BT103" i="5"/>
  <c r="BT97" i="5"/>
  <c r="BT89" i="5"/>
  <c r="CN59" i="5"/>
  <c r="DC59" i="5" s="1"/>
  <c r="HL59" i="5" s="1"/>
  <c r="CN50" i="5"/>
  <c r="DC50" i="5" s="1"/>
  <c r="HL50" i="5" s="1"/>
  <c r="CN41" i="5"/>
  <c r="BT24" i="5"/>
  <c r="CN24" i="5"/>
  <c r="BT5" i="5"/>
  <c r="BT184" i="5"/>
  <c r="BT161" i="5"/>
  <c r="BT127" i="5"/>
  <c r="BT66" i="5"/>
  <c r="BT58" i="5"/>
  <c r="BT49" i="5"/>
  <c r="CN49" i="5"/>
  <c r="BT40" i="5"/>
  <c r="BT32" i="5"/>
  <c r="BT4" i="5"/>
  <c r="BT189" i="5"/>
  <c r="BT183" i="5"/>
  <c r="BT171" i="5"/>
  <c r="BT166" i="5"/>
  <c r="BT148" i="5"/>
  <c r="BT138" i="5"/>
  <c r="BT132" i="5"/>
  <c r="BT109" i="5"/>
  <c r="BT87" i="5"/>
  <c r="BT71" i="5"/>
  <c r="BT56" i="5"/>
  <c r="CN56" i="5"/>
  <c r="BT48" i="5"/>
  <c r="CN48" i="5"/>
  <c r="CN38" i="5"/>
  <c r="DC38" i="5" s="1"/>
  <c r="HL38" i="5" s="1"/>
  <c r="BT10" i="5"/>
  <c r="CN10" i="5"/>
  <c r="BT188" i="5"/>
  <c r="BT182" i="5"/>
  <c r="BT147" i="5"/>
  <c r="CN137" i="5"/>
  <c r="DC137" i="5" s="1"/>
  <c r="HL137" i="5" s="1"/>
  <c r="BT120" i="5"/>
  <c r="BT114" i="5"/>
  <c r="BT100" i="5"/>
  <c r="BT92" i="5"/>
  <c r="BT77" i="5"/>
  <c r="BT64" i="5"/>
  <c r="BT55" i="5"/>
  <c r="CN37" i="5"/>
  <c r="BT18" i="5"/>
  <c r="BT181" i="5"/>
  <c r="BT175" i="5"/>
  <c r="BT136" i="5"/>
  <c r="BT125" i="5"/>
  <c r="BT113" i="5"/>
  <c r="BT76" i="5"/>
  <c r="BT46" i="5"/>
  <c r="BT27"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18" i="5" l="1"/>
  <c r="CN97" i="5"/>
  <c r="DC97" i="5" s="1"/>
  <c r="HL97" i="5" s="1"/>
  <c r="CN66" i="5"/>
  <c r="DC66" i="5" s="1"/>
  <c r="HL66" i="5" s="1"/>
  <c r="CN5" i="5"/>
  <c r="CN63" i="5"/>
  <c r="DC63" i="5" s="1"/>
  <c r="HL63" i="5" s="1"/>
  <c r="CN72" i="5"/>
  <c r="CN43" i="5"/>
  <c r="CN175" i="5"/>
  <c r="DC175" i="5" s="1"/>
  <c r="HL175" i="5" s="1"/>
  <c r="CN79" i="5"/>
  <c r="DC79" i="5" s="1"/>
  <c r="HL79" i="5" s="1"/>
  <c r="HM246" i="5"/>
  <c r="CN40" i="5"/>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N61" i="5"/>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HJ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HJ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J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HJ197" i="5" s="1"/>
  <c r="GA197" i="5"/>
  <c r="FL197" i="5"/>
  <c r="HZ197" i="5"/>
  <c r="FC197" i="5"/>
  <c r="ET197" i="5"/>
  <c r="IH197" i="5"/>
  <c r="II197" i="5" s="1"/>
  <c r="FO197" i="5"/>
  <c r="GG197" i="5"/>
  <c r="FC196" i="5"/>
  <c r="IE196" i="5"/>
  <c r="GP196" i="5"/>
  <c r="FL196" i="5"/>
  <c r="FX196" i="5"/>
  <c r="GD196" i="5"/>
  <c r="GA196" i="5"/>
  <c r="DU196" i="5"/>
  <c r="HZ196" i="5"/>
  <c r="FI196" i="5"/>
  <c r="FG196" i="5" s="1"/>
  <c r="HJ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HJ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W40" i="5"/>
  <c r="CZ40" i="5"/>
  <c r="CZ72" i="5"/>
  <c r="CW122" i="5"/>
  <c r="CZ122" i="5"/>
  <c r="CZ8" i="5"/>
  <c r="CZ37" i="5"/>
  <c r="CZ70" i="5"/>
  <c r="CZ41" i="5"/>
  <c r="CW61" i="5"/>
  <c r="CZ61" i="5"/>
  <c r="CZ38" i="5"/>
  <c r="CZ49" i="5"/>
  <c r="CZ79" i="5"/>
  <c r="CZ53" i="5"/>
  <c r="CZ137" i="5"/>
  <c r="CZ5" i="5"/>
  <c r="CZ50" i="5"/>
  <c r="CZ35" i="5"/>
  <c r="CZ175" i="5"/>
  <c r="CZ10" i="5"/>
  <c r="CZ48" i="5"/>
  <c r="CW21" i="5"/>
  <c r="CZ21" i="5"/>
  <c r="CZ63" i="5"/>
  <c r="CZ18" i="5"/>
  <c r="CZ24" i="5"/>
  <c r="CZ59" i="5"/>
  <c r="CW43" i="5"/>
  <c r="CZ43" i="5"/>
  <c r="CZ56" i="5"/>
  <c r="CZ87" i="5"/>
  <c r="CZ32" i="5"/>
  <c r="CZ66" i="5"/>
  <c r="CZ167" i="5"/>
  <c r="CZ69" i="5"/>
  <c r="CZ28" i="5"/>
  <c r="CZ67" i="5"/>
  <c r="CZ97" i="5"/>
  <c r="CW123"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IE111" i="5" l="1"/>
  <c r="IE117" i="5"/>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HJ198" i="5"/>
  <c r="CZ198" i="5"/>
  <c r="CW198" i="5"/>
  <c r="CW197" i="5"/>
  <c r="CZ197" i="5"/>
  <c r="CW196" i="5"/>
  <c r="CZ196" i="5"/>
  <c r="CZ195" i="5"/>
  <c r="CW195" i="5"/>
  <c r="HZ194" i="5"/>
  <c r="GU194" i="5"/>
  <c r="GV194" i="5" s="1"/>
  <c r="GP194" i="5"/>
  <c r="FX194" i="5"/>
  <c r="EO194" i="5"/>
  <c r="EQ194" i="5" s="1"/>
  <c r="FI194" i="5"/>
  <c r="FG194" i="5" s="1"/>
  <c r="HJ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OX36" i="5"/>
  <c r="PG36" i="5"/>
  <c r="PA36" i="5"/>
  <c r="PG102" i="5"/>
  <c r="PG98" i="5"/>
  <c r="PA98" i="5"/>
  <c r="PH83" i="5"/>
  <c r="PG83" i="5"/>
  <c r="OX72" i="5"/>
  <c r="OZ72"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W64" i="5"/>
  <c r="PA64" i="5"/>
  <c r="PE64" i="5"/>
  <c r="OT64" i="5"/>
  <c r="OX64" i="5"/>
  <c r="PB64" i="5"/>
  <c r="PF64" i="5"/>
  <c r="OU64" i="5"/>
  <c r="OY64" i="5"/>
  <c r="PC64" i="5"/>
  <c r="PG64" i="5"/>
  <c r="PD64" i="5"/>
  <c r="PH64" i="5"/>
  <c r="OV64"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T81" i="5"/>
  <c r="OX81" i="5"/>
  <c r="PB81" i="5"/>
  <c r="PF81" i="5"/>
  <c r="OU81" i="5"/>
  <c r="OY81" i="5"/>
  <c r="PC81" i="5"/>
  <c r="PG81" i="5"/>
  <c r="OV81" i="5"/>
  <c r="OZ81" i="5"/>
  <c r="PD81" i="5"/>
  <c r="PH81" i="5"/>
  <c r="PE81" i="5"/>
  <c r="OW81" i="5"/>
  <c r="PA81" i="5"/>
  <c r="OY78"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W19" i="5"/>
  <c r="PA19" i="5"/>
  <c r="PE19" i="5"/>
  <c r="OT19" i="5"/>
  <c r="OX19" i="5"/>
  <c r="PB19" i="5"/>
  <c r="PF19" i="5"/>
  <c r="OU19" i="5"/>
  <c r="OY19" i="5"/>
  <c r="PC19" i="5"/>
  <c r="PG19" i="5"/>
  <c r="OV19" i="5"/>
  <c r="OZ19" i="5"/>
  <c r="PD19" i="5"/>
  <c r="PH19" i="5"/>
  <c r="OX8" i="5"/>
  <c r="PF7" i="5"/>
  <c r="OJ102" i="5"/>
  <c r="ON102" i="5"/>
  <c r="OL102" i="5"/>
  <c r="OP102" i="5"/>
  <c r="OD102" i="5"/>
  <c r="ON100" i="5"/>
  <c r="OP100" i="5"/>
  <c r="OR98" i="5"/>
  <c r="OL98" i="5"/>
  <c r="OC98" i="5"/>
  <c r="OH83" i="5"/>
  <c r="OI83" i="5"/>
  <c r="ON83" i="5"/>
  <c r="OK83" i="5"/>
  <c r="OC83" i="5"/>
  <c r="OF72" i="5"/>
  <c r="OH72" i="5"/>
  <c r="OC72"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F7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J64" i="5"/>
  <c r="ON64" i="5"/>
  <c r="OR64" i="5"/>
  <c r="OG64" i="5"/>
  <c r="OK64" i="5"/>
  <c r="OO64" i="5"/>
  <c r="OS64" i="5"/>
  <c r="OH64" i="5"/>
  <c r="OL64" i="5"/>
  <c r="OP64" i="5"/>
  <c r="OQ64" i="5"/>
  <c r="OI64" i="5"/>
  <c r="OE64" i="5"/>
  <c r="OM64" i="5"/>
  <c r="OB64" i="5"/>
  <c r="OC64" i="5"/>
  <c r="OD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H81" i="5"/>
  <c r="OL81" i="5"/>
  <c r="OP81" i="5"/>
  <c r="OI81" i="5"/>
  <c r="OM81" i="5"/>
  <c r="OQ81" i="5"/>
  <c r="OF81" i="5"/>
  <c r="OJ81" i="5"/>
  <c r="ON81" i="5"/>
  <c r="OR81" i="5"/>
  <c r="OS81" i="5"/>
  <c r="OG81" i="5"/>
  <c r="OK81" i="5"/>
  <c r="OO81" i="5"/>
  <c r="OE81" i="5"/>
  <c r="OB81" i="5"/>
  <c r="OC81" i="5"/>
  <c r="OD81" i="5"/>
  <c r="OL78"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L19" i="5"/>
  <c r="OP19" i="5"/>
  <c r="OI19" i="5"/>
  <c r="OM19" i="5"/>
  <c r="OQ19" i="5"/>
  <c r="OF19" i="5"/>
  <c r="OJ19" i="5"/>
  <c r="ON19" i="5"/>
  <c r="OR19" i="5"/>
  <c r="OG19" i="5"/>
  <c r="OK19" i="5"/>
  <c r="OO19" i="5"/>
  <c r="OE19" i="5"/>
  <c r="OB19" i="5"/>
  <c r="OS19" i="5"/>
  <c r="OC19" i="5"/>
  <c r="OD19" i="5"/>
  <c r="OP8"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P32"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61"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L8" i="5" l="1"/>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HJ247" i="5"/>
  <c r="BU174" i="5"/>
  <c r="RX174" i="5"/>
  <c r="RY174" i="5" s="1"/>
  <c r="BU234" i="5"/>
  <c r="RX234" i="5"/>
  <c r="RY234" i="5" s="1"/>
  <c r="BU176" i="5"/>
  <c r="RX176" i="5"/>
  <c r="RY176" i="5" s="1"/>
  <c r="HJ245" i="5"/>
  <c r="HJ244" i="5"/>
  <c r="BS99" i="5"/>
  <c r="RW99" i="5"/>
  <c r="BU175" i="5"/>
  <c r="RX175" i="5"/>
  <c r="RY175" i="5" s="1"/>
  <c r="BU242" i="5"/>
  <c r="RX242" i="5"/>
  <c r="RY242" i="5" s="1"/>
  <c r="BU162" i="5"/>
  <c r="RX162" i="5"/>
  <c r="RY162" i="5" s="1"/>
  <c r="HJ241" i="5"/>
  <c r="HJ238" i="5"/>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HJ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HJ235"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HJ221" i="5"/>
  <c r="HJ220" i="5"/>
  <c r="HJ217" i="5"/>
  <c r="HJ216" i="5"/>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HJ61" i="5"/>
  <c r="HJ166" i="5"/>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J191" i="5"/>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HJ111" i="5" s="1"/>
  <c r="MR230" i="5"/>
  <c r="MS18" i="5"/>
  <c r="MS236" i="5"/>
  <c r="MR218" i="5"/>
  <c r="HJ218" i="5" s="1"/>
  <c r="MS123" i="5"/>
  <c r="MR66" i="5"/>
  <c r="MS180" i="5"/>
  <c r="MR177" i="5"/>
  <c r="MR123" i="5"/>
  <c r="HJ123" i="5" s="1"/>
  <c r="MR117" i="5"/>
  <c r="HJ117" i="5" s="1"/>
  <c r="MS238" i="5"/>
  <c r="MS186" i="5"/>
  <c r="MS58" i="5"/>
  <c r="MS55" i="5"/>
  <c r="MS185" i="5"/>
  <c r="MS168" i="5"/>
  <c r="MS54" i="5"/>
  <c r="MR54" i="5"/>
  <c r="MR239" i="5"/>
  <c r="HJ239" i="5" s="1"/>
  <c r="MS239" i="5"/>
  <c r="MR224" i="5"/>
  <c r="MS224" i="5"/>
  <c r="NE82" i="5"/>
  <c r="MS82" i="5"/>
  <c r="MS242" i="5"/>
  <c r="MR242" i="5"/>
  <c r="MS209" i="5"/>
  <c r="NE150" i="5"/>
  <c r="MR150" i="5"/>
  <c r="MS105" i="5"/>
  <c r="NE105" i="5"/>
  <c r="MR105" i="5"/>
  <c r="MR93" i="5"/>
  <c r="MS93" i="5"/>
  <c r="MR248" i="5"/>
  <c r="HJ248" i="5" s="1"/>
  <c r="MS248" i="5"/>
  <c r="MR226" i="5"/>
  <c r="MS226" i="5"/>
  <c r="MS211" i="5"/>
  <c r="MS165" i="5"/>
  <c r="MS36" i="5"/>
  <c r="MR36" i="5"/>
  <c r="MS232" i="5"/>
  <c r="MS220" i="5"/>
  <c r="MR215" i="5"/>
  <c r="HJ215" i="5" s="1"/>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HJ119" i="5" s="1"/>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HJ118" i="5" s="1"/>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HJ43" i="5" s="1"/>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HJ202" i="5" s="1"/>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HJ40" i="5" s="1"/>
  <c r="MS16" i="5"/>
  <c r="MR16" i="5"/>
  <c r="MS28" i="5"/>
  <c r="MR28" i="5"/>
  <c r="MS167" i="5"/>
  <c r="MR167" i="5"/>
  <c r="ND167" i="5" s="1"/>
  <c r="HI167" i="5" s="1"/>
  <c r="MS116" i="5"/>
  <c r="MR116" i="5"/>
  <c r="MR246" i="5"/>
  <c r="HJ246" i="5" s="1"/>
  <c r="MS246" i="5"/>
  <c r="MR240" i="5"/>
  <c r="HJ240" i="5" s="1"/>
  <c r="MS240" i="5"/>
  <c r="MR234" i="5"/>
  <c r="MS234" i="5"/>
  <c r="MR228" i="5"/>
  <c r="MS228" i="5"/>
  <c r="MR222" i="5"/>
  <c r="MS222" i="5"/>
  <c r="MR208" i="5"/>
  <c r="MS208" i="5"/>
  <c r="MS149" i="5"/>
  <c r="MR149" i="5"/>
  <c r="MR193" i="5"/>
  <c r="MS193" i="5"/>
  <c r="MR243" i="5"/>
  <c r="HJ243" i="5" s="1"/>
  <c r="MS243" i="5"/>
  <c r="MR237" i="5"/>
  <c r="HJ237" i="5" s="1"/>
  <c r="MS237" i="5"/>
  <c r="MR231" i="5"/>
  <c r="MS231" i="5"/>
  <c r="MR225" i="5"/>
  <c r="MS225" i="5"/>
  <c r="MR219" i="5"/>
  <c r="MS219" i="5"/>
  <c r="MS184" i="5"/>
  <c r="MR184" i="5"/>
  <c r="ND184" i="5" s="1"/>
  <c r="MS133" i="5"/>
  <c r="MR133" i="5"/>
  <c r="MS216" i="5"/>
  <c r="MR205" i="5"/>
  <c r="MR190" i="5"/>
  <c r="MR172" i="5"/>
  <c r="MR155" i="5"/>
  <c r="MR139" i="5"/>
  <c r="MR122" i="5"/>
  <c r="HJ122" i="5" s="1"/>
  <c r="MR107" i="5"/>
  <c r="MS107" i="5"/>
  <c r="MR98" i="5"/>
  <c r="MS98" i="5"/>
  <c r="MR89" i="5"/>
  <c r="MS89" i="5"/>
  <c r="MR80" i="5"/>
  <c r="MS80" i="5"/>
  <c r="MR71" i="5"/>
  <c r="MS71" i="5"/>
  <c r="MR62" i="5"/>
  <c r="MS62" i="5"/>
  <c r="MR53" i="5"/>
  <c r="MS53" i="5"/>
  <c r="MR207" i="5"/>
  <c r="MR192" i="5"/>
  <c r="HJ192" i="5" s="1"/>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HJ214" i="5" s="1"/>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J4" i="5"/>
  <c r="HK10" i="5"/>
  <c r="HR10" i="5" s="1"/>
  <c r="HK79" i="5"/>
  <c r="HR79" i="5" s="1"/>
  <c r="HK122" i="5"/>
  <c r="HR122" i="5" s="1"/>
  <c r="HK147" i="5"/>
  <c r="HR147" i="5" s="1"/>
  <c r="HK158" i="5"/>
  <c r="HR158" i="5" s="1"/>
  <c r="HK176" i="5"/>
  <c r="HR176" i="5" s="1"/>
  <c r="HK188" i="5"/>
  <c r="HR188" i="5" s="1"/>
  <c r="HK13" i="5"/>
  <c r="HR13" i="5" s="1"/>
  <c r="HK111" i="5"/>
  <c r="HR111" i="5" s="1"/>
  <c r="PA107" i="5"/>
  <c r="CJ107" i="5"/>
  <c r="HJ5"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J167" i="5"/>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J178" i="5"/>
  <c r="HK18" i="5"/>
  <c r="HR18" i="5" s="1"/>
  <c r="HK33" i="5"/>
  <c r="HR33" i="5" s="1"/>
  <c r="HK96" i="5"/>
  <c r="HR96" i="5" s="1"/>
  <c r="HK106" i="5"/>
  <c r="HR106" i="5" s="1"/>
  <c r="HK115" i="5"/>
  <c r="HR115" i="5" s="1"/>
  <c r="HK143" i="5"/>
  <c r="HR143" i="5" s="1"/>
  <c r="HK173" i="5"/>
  <c r="HR17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J187" i="5"/>
  <c r="HJ141" i="5"/>
  <c r="HJ147"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J160" i="5"/>
  <c r="HJ161" i="5"/>
  <c r="HJ163" i="5"/>
  <c r="HJ151" i="5"/>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J182" i="5"/>
  <c r="HK37" i="5"/>
  <c r="HR37" i="5" s="1"/>
  <c r="HK76" i="5"/>
  <c r="HR76" i="5" s="1"/>
  <c r="HK100" i="5"/>
  <c r="HR100" i="5" s="1"/>
  <c r="HK145" i="5"/>
  <c r="HR145" i="5" s="1"/>
  <c r="HK155" i="5"/>
  <c r="HR155" i="5" s="1"/>
  <c r="HK174" i="5"/>
  <c r="HK183" i="5"/>
  <c r="HI183" i="5" s="1"/>
  <c r="HK88" i="5"/>
  <c r="HR88" i="5" s="1"/>
  <c r="HK150" i="5"/>
  <c r="HR150" i="5" s="1"/>
  <c r="OL14" i="5"/>
  <c r="CJ14" i="5"/>
  <c r="HJ7" i="5"/>
  <c r="IG84" i="5"/>
  <c r="BT84" i="5" s="1"/>
  <c r="DZ84" i="5"/>
  <c r="DW84" i="5" s="1"/>
  <c r="IG86" i="5"/>
  <c r="BT86" i="5" s="1"/>
  <c r="DZ86" i="5"/>
  <c r="DW86" i="5" s="1"/>
  <c r="IG16" i="5"/>
  <c r="BT16" i="5" s="1"/>
  <c r="DZ16" i="5"/>
  <c r="DW16" i="5" s="1"/>
  <c r="HJ186" i="5"/>
  <c r="HJ183" i="5"/>
  <c r="HJ184" i="5"/>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HJ112" i="5" s="1"/>
  <c r="NN112" i="5"/>
  <c r="NF149" i="5"/>
  <c r="RV149" i="5"/>
  <c r="MM149" i="5"/>
  <c r="NZ149" i="5"/>
  <c r="OJ16" i="5"/>
  <c r="OG57" i="5"/>
  <c r="OB80" i="5"/>
  <c r="OO80" i="5"/>
  <c r="NX142" i="5"/>
  <c r="NR142" i="5"/>
  <c r="NO142" i="5"/>
  <c r="MY142" i="5"/>
  <c r="HJ142" i="5" s="1"/>
  <c r="NN142" i="5"/>
  <c r="OB107" i="5"/>
  <c r="OX107" i="5"/>
  <c r="OE16" i="5"/>
  <c r="OS16" i="5"/>
  <c r="PE16" i="5"/>
  <c r="OK52" i="5"/>
  <c r="OM107" i="5"/>
  <c r="OI80" i="5"/>
  <c r="PB80" i="5"/>
  <c r="OI107" i="5"/>
  <c r="OA107" i="5"/>
  <c r="OR80" i="5"/>
  <c r="OO107" i="5"/>
  <c r="OC80" i="5"/>
  <c r="OZ107" i="5"/>
  <c r="OG107" i="5"/>
  <c r="OO57" i="5"/>
  <c r="OY57" i="5"/>
  <c r="OD22" i="5"/>
  <c r="OK22" i="5"/>
  <c r="NN105" i="5"/>
  <c r="MY10" i="5"/>
  <c r="HJ10" i="5" s="1"/>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HJ72" i="5" s="1"/>
  <c r="NN72" i="5"/>
  <c r="NO72" i="5"/>
  <c r="NX137" i="5"/>
  <c r="NO137" i="5"/>
  <c r="NR137" i="5"/>
  <c r="MY137" i="5"/>
  <c r="HJ137" i="5" s="1"/>
  <c r="NN137" i="5"/>
  <c r="NN91" i="5"/>
  <c r="MY91" i="5"/>
  <c r="NO91" i="5"/>
  <c r="NR91" i="5"/>
  <c r="NX38" i="5"/>
  <c r="NO38" i="5"/>
  <c r="MY38" i="5"/>
  <c r="HJ38" i="5" s="1"/>
  <c r="NR38" i="5"/>
  <c r="NN38" i="5"/>
  <c r="NZ9" i="5"/>
  <c r="CJ9" i="5" s="1"/>
  <c r="NX63" i="5"/>
  <c r="NX81" i="5"/>
  <c r="NF129" i="5"/>
  <c r="RV129" i="5"/>
  <c r="MM129" i="5"/>
  <c r="NX35" i="5"/>
  <c r="NN35" i="5"/>
  <c r="NO35" i="5"/>
  <c r="NR35" i="5"/>
  <c r="MY35" i="5"/>
  <c r="HJ35" i="5" s="1"/>
  <c r="RV12" i="5"/>
  <c r="NF12" i="5"/>
  <c r="MM12" i="5"/>
  <c r="NX55" i="5"/>
  <c r="NR55" i="5"/>
  <c r="NN55" i="5"/>
  <c r="MY55" i="5"/>
  <c r="HJ55" i="5" s="1"/>
  <c r="NO55" i="5"/>
  <c r="NX126" i="5"/>
  <c r="NR126" i="5"/>
  <c r="NN126" i="5"/>
  <c r="NO126" i="5"/>
  <c r="MY126" i="5"/>
  <c r="HJ126" i="5" s="1"/>
  <c r="NX92" i="5"/>
  <c r="NO92" i="5"/>
  <c r="MY92" i="5"/>
  <c r="HJ92" i="5" s="1"/>
  <c r="NR92" i="5"/>
  <c r="NN92" i="5"/>
  <c r="NX127" i="5"/>
  <c r="NO127" i="5"/>
  <c r="MY127" i="5"/>
  <c r="HJ127" i="5" s="1"/>
  <c r="NR127" i="5"/>
  <c r="NN127" i="5"/>
  <c r="NR99" i="5"/>
  <c r="NR134" i="5"/>
  <c r="MY134" i="5"/>
  <c r="NN134" i="5"/>
  <c r="NO134" i="5"/>
  <c r="NX70" i="5"/>
  <c r="NO70" i="5"/>
  <c r="NR70" i="5"/>
  <c r="MY70" i="5"/>
  <c r="HJ70" i="5" s="1"/>
  <c r="NN70" i="5"/>
  <c r="NO106" i="5"/>
  <c r="NR106" i="5"/>
  <c r="NN106" i="5"/>
  <c r="MY106" i="5"/>
  <c r="NZ129" i="5"/>
  <c r="NX157" i="5"/>
  <c r="NO157" i="5"/>
  <c r="MY157" i="5"/>
  <c r="HJ157" i="5" s="1"/>
  <c r="NR157" i="5"/>
  <c r="NN157" i="5"/>
  <c r="OD57" i="5"/>
  <c r="OS57" i="5"/>
  <c r="OM57" i="5"/>
  <c r="OC22" i="5"/>
  <c r="OP22" i="5"/>
  <c r="OG22" i="5"/>
  <c r="PD57" i="5"/>
  <c r="OU57" i="5"/>
  <c r="PG22" i="5"/>
  <c r="OX22" i="5"/>
  <c r="PD22" i="5"/>
  <c r="OL52" i="5"/>
  <c r="CJ52" i="5" s="1"/>
  <c r="PA95" i="5"/>
  <c r="NZ12" i="5"/>
  <c r="CJ12" i="5" s="1"/>
  <c r="NX78" i="5"/>
  <c r="NR78" i="5"/>
  <c r="NO78" i="5"/>
  <c r="MY78" i="5"/>
  <c r="HJ78" i="5" s="1"/>
  <c r="NN78" i="5"/>
  <c r="NO96" i="5"/>
  <c r="NR96" i="5"/>
  <c r="MY96" i="5"/>
  <c r="NN96" i="5"/>
  <c r="NX114" i="5"/>
  <c r="NR114" i="5"/>
  <c r="NN114" i="5"/>
  <c r="NO114" i="5"/>
  <c r="MY114" i="5"/>
  <c r="HJ114" i="5" s="1"/>
  <c r="NX153" i="5"/>
  <c r="NO153" i="5"/>
  <c r="MY153" i="5"/>
  <c r="HJ153" i="5" s="1"/>
  <c r="NR153" i="5"/>
  <c r="NN153" i="5"/>
  <c r="NX97" i="5"/>
  <c r="NR97" i="5"/>
  <c r="NN97" i="5"/>
  <c r="NO97" i="5"/>
  <c r="MY97" i="5"/>
  <c r="HJ97" i="5" s="1"/>
  <c r="NX68" i="5"/>
  <c r="NN68" i="5"/>
  <c r="MY68" i="5"/>
  <c r="HJ68" i="5" s="1"/>
  <c r="NR68" i="5"/>
  <c r="NO68" i="5"/>
  <c r="NX33" i="5"/>
  <c r="NX69" i="5"/>
  <c r="NX105" i="5"/>
  <c r="NX41" i="5"/>
  <c r="NN41" i="5"/>
  <c r="NO41" i="5"/>
  <c r="MY41" i="5"/>
  <c r="HJ41" i="5" s="1"/>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HJ132" i="5" s="1"/>
  <c r="NN154" i="5"/>
  <c r="NO154" i="5"/>
  <c r="NR154" i="5"/>
  <c r="MY154" i="5"/>
  <c r="NX110" i="5"/>
  <c r="NN110" i="5"/>
  <c r="MY110" i="5"/>
  <c r="HJ110" i="5" s="1"/>
  <c r="NO110" i="5"/>
  <c r="NR110" i="5"/>
  <c r="NR155" i="5"/>
  <c r="NX51" i="5"/>
  <c r="MY51" i="5"/>
  <c r="HJ51" i="5" s="1"/>
  <c r="NR51" i="5"/>
  <c r="NN51" i="5"/>
  <c r="NO51" i="5"/>
  <c r="NX87" i="5"/>
  <c r="NR87" i="5"/>
  <c r="NN87" i="5"/>
  <c r="NO87" i="5"/>
  <c r="MY87" i="5"/>
  <c r="HJ87" i="5" s="1"/>
  <c r="NX140" i="5"/>
  <c r="MY140" i="5"/>
  <c r="HJ140" i="5" s="1"/>
  <c r="NN140" i="5"/>
  <c r="NO140" i="5"/>
  <c r="NR173" i="5"/>
  <c r="MY173" i="5"/>
  <c r="NN173" i="5"/>
  <c r="NO173" i="5"/>
  <c r="NX46" i="5"/>
  <c r="NR46" i="5"/>
  <c r="NN46" i="5"/>
  <c r="NO46" i="5"/>
  <c r="MY46" i="5"/>
  <c r="HJ46" i="5" s="1"/>
  <c r="NR88" i="5"/>
  <c r="NO124" i="5"/>
  <c r="MY124" i="5"/>
  <c r="NR124" i="5"/>
  <c r="NN124" i="5"/>
  <c r="NX135" i="5"/>
  <c r="NO135" i="5"/>
  <c r="MY135" i="5"/>
  <c r="HJ135" i="5" s="1"/>
  <c r="NR135" i="5"/>
  <c r="NN135" i="5"/>
  <c r="NX59" i="5"/>
  <c r="NR59" i="5"/>
  <c r="NN59" i="5"/>
  <c r="MY59" i="5"/>
  <c r="HJ59" i="5" s="1"/>
  <c r="NO59" i="5"/>
  <c r="NX113" i="5"/>
  <c r="NR113" i="5"/>
  <c r="NN113" i="5"/>
  <c r="MY113" i="5"/>
  <c r="HJ113" i="5" s="1"/>
  <c r="NO113" i="5"/>
  <c r="NZ130" i="5"/>
  <c r="NX158" i="5"/>
  <c r="MY158" i="5"/>
  <c r="HJ158" i="5" s="1"/>
  <c r="NN158" i="5"/>
  <c r="NR158" i="5"/>
  <c r="NO158" i="5"/>
  <c r="OB57" i="5"/>
  <c r="ON57" i="5"/>
  <c r="OP57" i="5"/>
  <c r="OE22" i="5"/>
  <c r="OH22" i="5"/>
  <c r="ON22" i="5"/>
  <c r="PE57" i="5"/>
  <c r="OV57" i="5"/>
  <c r="PB57" i="5"/>
  <c r="OY22" i="5"/>
  <c r="PE22" i="5"/>
  <c r="OV22" i="5"/>
  <c r="PE80" i="5"/>
  <c r="NX66" i="5"/>
  <c r="NN66" i="5"/>
  <c r="NO66" i="5"/>
  <c r="NR66" i="5"/>
  <c r="MY66" i="5"/>
  <c r="HJ66" i="5" s="1"/>
  <c r="NX102" i="5"/>
  <c r="NR102" i="5"/>
  <c r="MY102" i="5"/>
  <c r="HJ102" i="5" s="1"/>
  <c r="NN102" i="5"/>
  <c r="NO102" i="5"/>
  <c r="NX120" i="5"/>
  <c r="NO120" i="5"/>
  <c r="NR120" i="5"/>
  <c r="MY120" i="5"/>
  <c r="HJ120" i="5" s="1"/>
  <c r="NN120" i="5"/>
  <c r="NZ131" i="5"/>
  <c r="NR131" i="5"/>
  <c r="NX159" i="5"/>
  <c r="NO159" i="5"/>
  <c r="NR159" i="5"/>
  <c r="MY159" i="5"/>
  <c r="HJ159" i="5" s="1"/>
  <c r="NN159" i="5"/>
  <c r="NN103" i="5"/>
  <c r="NO103" i="5"/>
  <c r="NR103" i="5"/>
  <c r="MY103" i="5"/>
  <c r="NX32" i="5"/>
  <c r="NN32" i="5"/>
  <c r="NO32" i="5"/>
  <c r="NR32" i="5"/>
  <c r="MY32" i="5"/>
  <c r="HJ32" i="5" s="1"/>
  <c r="NX50" i="5"/>
  <c r="NO50" i="5"/>
  <c r="NR50" i="5"/>
  <c r="NN50" i="5"/>
  <c r="MY50" i="5"/>
  <c r="HJ50" i="5" s="1"/>
  <c r="NX10" i="5"/>
  <c r="NR10" i="5"/>
  <c r="NX11" i="5"/>
  <c r="MY11" i="5"/>
  <c r="HJ11" i="5" s="1"/>
  <c r="NR11" i="5"/>
  <c r="NN11" i="5"/>
  <c r="NO11" i="5"/>
  <c r="OA57" i="5"/>
  <c r="OE57" i="5"/>
  <c r="OJ57" i="5"/>
  <c r="OL57" i="5"/>
  <c r="OI22" i="5"/>
  <c r="OS22" i="5"/>
  <c r="OJ22" i="5"/>
  <c r="PA57" i="5"/>
  <c r="PG57" i="5"/>
  <c r="OX57" i="5"/>
  <c r="OU22" i="5"/>
  <c r="PA22" i="5"/>
  <c r="OZ14" i="5"/>
  <c r="OX84" i="5"/>
  <c r="NX49" i="5"/>
  <c r="NN49" i="5"/>
  <c r="NR49" i="5"/>
  <c r="NO49" i="5"/>
  <c r="MY49" i="5"/>
  <c r="HJ49" i="5" s="1"/>
  <c r="NX138" i="5"/>
  <c r="NN138" i="5"/>
  <c r="NO138" i="5"/>
  <c r="NR138" i="5"/>
  <c r="MY138" i="5"/>
  <c r="HJ138" i="5" s="1"/>
  <c r="NX189" i="5"/>
  <c r="NN189" i="5"/>
  <c r="NR189" i="5"/>
  <c r="NO189" i="5"/>
  <c r="MY189" i="5"/>
  <c r="HJ189" i="5" s="1"/>
  <c r="NX116" i="5"/>
  <c r="NR116" i="5"/>
  <c r="NO116" i="5"/>
  <c r="MY116" i="5"/>
  <c r="HJ116" i="5" s="1"/>
  <c r="NN116" i="5"/>
  <c r="NO139" i="5"/>
  <c r="MY139" i="5"/>
  <c r="NR139" i="5"/>
  <c r="NN139" i="5"/>
  <c r="RV9" i="5"/>
  <c r="NF9" i="5"/>
  <c r="MM9" i="5"/>
  <c r="NX128" i="5"/>
  <c r="NR128" i="5"/>
  <c r="MY128" i="5"/>
  <c r="HJ128" i="5" s="1"/>
  <c r="NN128" i="5"/>
  <c r="NO128" i="5"/>
  <c r="NX28" i="5"/>
  <c r="NN28" i="5"/>
  <c r="NO28" i="5"/>
  <c r="MY28" i="5"/>
  <c r="HJ28" i="5" s="1"/>
  <c r="NR28" i="5"/>
  <c r="NX100" i="5"/>
  <c r="NR100" i="5"/>
  <c r="MY100" i="5"/>
  <c r="HJ100" i="5" s="1"/>
  <c r="NN100" i="5"/>
  <c r="NO100" i="5"/>
  <c r="NX145" i="5"/>
  <c r="NO145" i="5"/>
  <c r="MY145" i="5"/>
  <c r="HJ145" i="5" s="1"/>
  <c r="NR145" i="5"/>
  <c r="NN145" i="5"/>
  <c r="NX65" i="5"/>
  <c r="NN65" i="5"/>
  <c r="NO65" i="5"/>
  <c r="NR65" i="5"/>
  <c r="MY65" i="5"/>
  <c r="HJ65" i="5" s="1"/>
  <c r="NX125" i="5"/>
  <c r="NN125" i="5"/>
  <c r="MY125" i="5"/>
  <c r="HJ125" i="5" s="1"/>
  <c r="NR125" i="5"/>
  <c r="NO125" i="5"/>
  <c r="NX136" i="5"/>
  <c r="NR136" i="5"/>
  <c r="NN136" i="5"/>
  <c r="MY136" i="5"/>
  <c r="HJ136" i="5" s="1"/>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HJ13" i="5" s="1"/>
  <c r="NR17" i="5"/>
  <c r="NS47" i="5"/>
  <c r="NU47" i="5" s="1"/>
  <c r="MY36" i="5"/>
  <c r="HJ36" i="5" s="1"/>
  <c r="NS19" i="5"/>
  <c r="NU19" i="5" s="1"/>
  <c r="MY73" i="5"/>
  <c r="HJ73" i="5" s="1"/>
  <c r="MY26" i="5"/>
  <c r="HJ26" i="5" s="1"/>
  <c r="MY67" i="5"/>
  <c r="HJ67" i="5" s="1"/>
  <c r="MY85" i="5"/>
  <c r="HJ85" i="5" s="1"/>
  <c r="MY98" i="5"/>
  <c r="HJ98" i="5" s="1"/>
  <c r="MY56" i="5"/>
  <c r="HJ56" i="5" s="1"/>
  <c r="MY48" i="5"/>
  <c r="HJ48" i="5" s="1"/>
  <c r="MY83" i="5"/>
  <c r="HJ83" i="5" s="1"/>
  <c r="MY109" i="5"/>
  <c r="HJ109" i="5" s="1"/>
  <c r="MY19" i="5"/>
  <c r="HJ19" i="5" s="1"/>
  <c r="MY27" i="5"/>
  <c r="HJ27" i="5" s="1"/>
  <c r="MY53" i="5"/>
  <c r="HJ53" i="5" s="1"/>
  <c r="MY17" i="5"/>
  <c r="MY47" i="5"/>
  <c r="HJ47" i="5" s="1"/>
  <c r="MY18" i="5"/>
  <c r="HJ18" i="5" s="1"/>
  <c r="MY64" i="5"/>
  <c r="HJ64" i="5" s="1"/>
  <c r="MY24" i="5"/>
  <c r="HJ24" i="5" s="1"/>
  <c r="MY77" i="5"/>
  <c r="HJ77" i="5" s="1"/>
  <c r="MY37" i="5"/>
  <c r="HJ37" i="5" s="1"/>
  <c r="MY76" i="5"/>
  <c r="HJ76" i="5" s="1"/>
  <c r="MY82" i="5"/>
  <c r="HJ82" i="5" s="1"/>
  <c r="MY58" i="5"/>
  <c r="HJ58" i="5" s="1"/>
  <c r="MY79" i="5"/>
  <c r="HJ79" i="5" s="1"/>
  <c r="MY89" i="5"/>
  <c r="HJ89" i="5" s="1"/>
  <c r="MY74" i="5"/>
  <c r="HJ74" i="5" s="1"/>
  <c r="MY29" i="5"/>
  <c r="HJ29" i="5" s="1"/>
  <c r="MY115" i="5"/>
  <c r="HJ115" i="5" s="1"/>
  <c r="MY71" i="5"/>
  <c r="HJ71" i="5" s="1"/>
  <c r="NR8" i="5"/>
  <c r="NN8" i="5"/>
  <c r="NO8" i="5"/>
  <c r="RX9" i="5"/>
  <c r="RY9" i="5" s="1"/>
  <c r="NX8" i="5"/>
  <c r="MY8" i="5"/>
  <c r="HJ8" i="5" s="1"/>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HJ69" i="5" s="1"/>
  <c r="MY105" i="5"/>
  <c r="HJ105" i="5" s="1"/>
  <c r="MY21" i="5"/>
  <c r="HJ21" i="5" s="1"/>
  <c r="MY33" i="5"/>
  <c r="HJ33" i="5" s="1"/>
  <c r="MY81" i="5"/>
  <c r="HJ81" i="5" s="1"/>
  <c r="MY63" i="5"/>
  <c r="HJ63" i="5" s="1"/>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HJ174" i="5"/>
  <c r="ND234" i="5"/>
  <c r="HI234" i="5" s="1"/>
  <c r="HJ234" i="5"/>
  <c r="HJ176" i="5"/>
  <c r="ND176" i="5"/>
  <c r="HI176" i="5" s="1"/>
  <c r="BT209" i="5"/>
  <c r="GA209" i="5" s="1"/>
  <c r="HJ106" i="5"/>
  <c r="NS175" i="5"/>
  <c r="NU175" i="5" s="1"/>
  <c r="NT175" i="5"/>
  <c r="NV175" i="5" s="1"/>
  <c r="HJ175" i="5"/>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HJ242" i="5"/>
  <c r="NN143" i="5"/>
  <c r="NN121" i="5"/>
  <c r="HJ162" i="5"/>
  <c r="NS162" i="5"/>
  <c r="NU162" i="5" s="1"/>
  <c r="ND162" i="5"/>
  <c r="HI162" i="5" s="1"/>
  <c r="NP96" i="5"/>
  <c r="BT139" i="5"/>
  <c r="EY139" i="5" s="1"/>
  <c r="NP17" i="5"/>
  <c r="HJ154" i="5"/>
  <c r="MY121" i="5"/>
  <c r="MY143" i="5"/>
  <c r="NO143" i="5"/>
  <c r="NR143" i="5"/>
  <c r="NN155" i="5"/>
  <c r="NO88" i="5"/>
  <c r="NN88" i="5"/>
  <c r="MY88" i="5"/>
  <c r="HJ134" i="5"/>
  <c r="HJ103"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HJ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HJ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HJ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HJ212" i="5"/>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HJ230"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HJ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HJ181" i="5"/>
  <c r="NT204" i="5"/>
  <c r="NV204" i="5" s="1"/>
  <c r="CN129" i="5"/>
  <c r="DU233" i="5"/>
  <c r="GD233" i="5"/>
  <c r="NT225" i="5"/>
  <c r="NV225" i="5" s="1"/>
  <c r="NT230" i="5"/>
  <c r="NV230" i="5" s="1"/>
  <c r="NT150" i="5"/>
  <c r="NV150" i="5" s="1"/>
  <c r="NS150" i="5"/>
  <c r="NU150" i="5" s="1"/>
  <c r="NT181" i="5"/>
  <c r="NV181" i="5" s="1"/>
  <c r="NS204" i="5"/>
  <c r="NU204" i="5" s="1"/>
  <c r="HJ150" i="5"/>
  <c r="HR233" i="5"/>
  <c r="CN131" i="5"/>
  <c r="CZ131" i="5" s="1"/>
  <c r="GG233" i="5"/>
  <c r="NS223" i="5"/>
  <c r="NU223" i="5" s="1"/>
  <c r="NT227" i="5"/>
  <c r="NV227" i="5" s="1"/>
  <c r="NS229" i="5"/>
  <c r="NU229" i="5" s="1"/>
  <c r="ND181" i="5"/>
  <c r="HI181" i="5" s="1"/>
  <c r="HJ204" i="5"/>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HJ231" i="5"/>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HJ229" i="5"/>
  <c r="ND228" i="5"/>
  <c r="HI228" i="5" s="1"/>
  <c r="HJ228" i="5"/>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HJ227" i="5"/>
  <c r="HJ226" i="5"/>
  <c r="ND226" i="5"/>
  <c r="HI226" i="5" s="1"/>
  <c r="NS219" i="5"/>
  <c r="NU219" i="5" s="1"/>
  <c r="NS222" i="5"/>
  <c r="NU222" i="5" s="1"/>
  <c r="ND225" i="5"/>
  <c r="HI225" i="5" s="1"/>
  <c r="HJ225" i="5"/>
  <c r="HJ224" i="5"/>
  <c r="ND224" i="5"/>
  <c r="HI224" i="5" s="1"/>
  <c r="NT219" i="5"/>
  <c r="NV219" i="5" s="1"/>
  <c r="HI61" i="5"/>
  <c r="ND223" i="5"/>
  <c r="HI223" i="5" s="1"/>
  <c r="HJ223" i="5"/>
  <c r="HJ222" i="5"/>
  <c r="ND222" i="5"/>
  <c r="HI222" i="5" s="1"/>
  <c r="ND219" i="5"/>
  <c r="HI219" i="5" s="1"/>
  <c r="HJ219" i="5"/>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HJ180" i="5"/>
  <c r="GG211" i="5"/>
  <c r="EZ207" i="5"/>
  <c r="FO211" i="5"/>
  <c r="ET211" i="5"/>
  <c r="GA211" i="5"/>
  <c r="GD211" i="5"/>
  <c r="CN12" i="5"/>
  <c r="CZ12" i="5" s="1"/>
  <c r="FL211" i="5"/>
  <c r="ND171" i="5"/>
  <c r="HI171" i="5" s="1"/>
  <c r="HJ171" i="5"/>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HJ210" i="5" s="1"/>
  <c r="GP210" i="5"/>
  <c r="EO210" i="5"/>
  <c r="EQ210" i="5" s="1"/>
  <c r="HZ210" i="5"/>
  <c r="FX210" i="5"/>
  <c r="IH210" i="5"/>
  <c r="II210" i="5" s="1"/>
  <c r="HJ190" i="5"/>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HJ208" i="5"/>
  <c r="ND208" i="5"/>
  <c r="HI208" i="5" s="1"/>
  <c r="HJ148" i="5"/>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HJ206" i="5"/>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HJ179" i="5"/>
  <c r="ND188" i="5"/>
  <c r="HI188" i="5" s="1"/>
  <c r="HJ188" i="5"/>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HJ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HJ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HJ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HJ139" i="5" s="1"/>
  <c r="CW130" i="5"/>
  <c r="DC130" i="5"/>
  <c r="HL130" i="5" s="1"/>
  <c r="NS96" i="5"/>
  <c r="NU96" i="5" s="1"/>
  <c r="NS108" i="5"/>
  <c r="NU108" i="5" s="1"/>
  <c r="NT96" i="5"/>
  <c r="NV96" i="5" s="1"/>
  <c r="CZ239" i="5"/>
  <c r="CW239" i="5"/>
  <c r="DX239" i="5"/>
  <c r="HM239" i="5"/>
  <c r="HJ108"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HJ156"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HJ90"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HJ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HJ233" i="5"/>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HJ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HJ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HJ211" i="5"/>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HJ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HJ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HJ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HJ144"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HJ101"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HJ86" i="5"/>
  <c r="ND131" i="5"/>
  <c r="EO130" i="5"/>
  <c r="EQ130" i="5" s="1"/>
  <c r="FI130" i="5"/>
  <c r="FG130" i="5" s="1"/>
  <c r="HJ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HJ149" i="5" s="1"/>
  <c r="EY149" i="5"/>
  <c r="FC149" i="5"/>
  <c r="EO149" i="5"/>
  <c r="EQ149" i="5" s="1"/>
  <c r="GD149" i="5"/>
  <c r="ET149" i="5"/>
  <c r="GA149" i="5"/>
  <c r="DU149" i="5"/>
  <c r="FR149" i="5"/>
  <c r="FO149" i="5"/>
  <c r="FL149" i="5"/>
  <c r="GG149" i="5"/>
  <c r="IE39" i="5"/>
  <c r="NX39" i="5" s="1"/>
  <c r="NX9" i="5"/>
  <c r="NX16" i="5"/>
  <c r="HJ131" i="5"/>
  <c r="DX107" i="5"/>
  <c r="HM107" i="5"/>
  <c r="DX80" i="5"/>
  <c r="HM80" i="5"/>
  <c r="DX131" i="5"/>
  <c r="HM131" i="5"/>
  <c r="HJ60" i="5"/>
  <c r="HJ95" i="5"/>
  <c r="DX75" i="5"/>
  <c r="HM75" i="5"/>
  <c r="DX14" i="5"/>
  <c r="HM14" i="5"/>
  <c r="DX95" i="5"/>
  <c r="HM95" i="5"/>
  <c r="DX31" i="5"/>
  <c r="HM31" i="5"/>
  <c r="HJ107" i="5"/>
  <c r="HJ80" i="5"/>
  <c r="HJ20" i="5"/>
  <c r="HJ31" i="5"/>
  <c r="DX42" i="5"/>
  <c r="HM42" i="5"/>
  <c r="DX39" i="5"/>
  <c r="HM39" i="5"/>
  <c r="DX60" i="5"/>
  <c r="HM60" i="5"/>
  <c r="DX23" i="5"/>
  <c r="HM23" i="5"/>
  <c r="HJ57" i="5"/>
  <c r="DX62" i="5"/>
  <c r="HM62" i="5"/>
  <c r="DX25" i="5"/>
  <c r="HM25" i="5"/>
  <c r="DX93" i="5"/>
  <c r="HM93" i="5"/>
  <c r="HJ62" i="5"/>
  <c r="HJ129" i="5"/>
  <c r="HJ39" i="5"/>
  <c r="HJ45" i="5"/>
  <c r="HJ42" i="5"/>
  <c r="HJ22" i="5"/>
  <c r="DX34" i="5"/>
  <c r="HM34" i="5"/>
  <c r="DX6" i="5"/>
  <c r="HM6" i="5"/>
  <c r="DX52" i="5"/>
  <c r="HM52" i="5"/>
  <c r="DX129" i="5"/>
  <c r="HM129" i="5"/>
  <c r="HJ9" i="5"/>
  <c r="DX22" i="5"/>
  <c r="HM22" i="5"/>
  <c r="DX86" i="5"/>
  <c r="HM86" i="5"/>
  <c r="DX104" i="5"/>
  <c r="HM104" i="5"/>
  <c r="DX57" i="5"/>
  <c r="HM57" i="5"/>
  <c r="DX30" i="5"/>
  <c r="HM30" i="5"/>
  <c r="DX54" i="5"/>
  <c r="HM54" i="5"/>
  <c r="DX9" i="5"/>
  <c r="HM9" i="5"/>
  <c r="DX130" i="5"/>
  <c r="HM130" i="5"/>
  <c r="DX149" i="5"/>
  <c r="HM149" i="5"/>
  <c r="HJ75" i="5"/>
  <c r="HJ6" i="5"/>
  <c r="HJ93" i="5"/>
  <c r="HJ30" i="5"/>
  <c r="HJ16" i="5"/>
  <c r="HJ25" i="5"/>
  <c r="HJ15" i="5"/>
  <c r="DX45" i="5"/>
  <c r="HM45" i="5"/>
  <c r="DX15" i="5"/>
  <c r="HM15" i="5"/>
  <c r="DX44" i="5"/>
  <c r="HM44" i="5"/>
  <c r="DX16" i="5"/>
  <c r="HM16" i="5"/>
  <c r="DX12" i="5"/>
  <c r="HM12" i="5"/>
  <c r="HJ104" i="5"/>
  <c r="HJ54" i="5"/>
  <c r="DX20" i="5"/>
  <c r="HM20" i="5"/>
  <c r="DX84" i="5"/>
  <c r="HM84" i="5"/>
  <c r="HJ34" i="5"/>
  <c r="HJ14" i="5"/>
  <c r="HJ52" i="5"/>
  <c r="HJ84" i="5"/>
  <c r="HJ23" i="5"/>
  <c r="HJ4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CQ129" i="5"/>
  <c r="NS99" i="5"/>
  <c r="NU99" i="5" s="1"/>
  <c r="NT99" i="5"/>
  <c r="NV99" i="5" s="1"/>
  <c r="HJ99" i="5"/>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HJ143" i="5"/>
  <c r="ND143" i="5"/>
  <c r="HI143" i="5" s="1"/>
  <c r="NT213" i="5"/>
  <c r="NV213" i="5" s="1"/>
  <c r="ND213" i="5"/>
  <c r="HI213" i="5" s="1"/>
  <c r="HJ213" i="5"/>
  <c r="NT88" i="5"/>
  <c r="NV88" i="5" s="1"/>
  <c r="NS173" i="5"/>
  <c r="NU173" i="5" s="1"/>
  <c r="HJ173" i="5"/>
  <c r="ND173" i="5"/>
  <c r="NS124" i="5"/>
  <c r="NU124" i="5" s="1"/>
  <c r="HJ124" i="5"/>
  <c r="ND124" i="5"/>
  <c r="CO96" i="5"/>
  <c r="HH96" i="5" s="1"/>
  <c r="HI96" i="5" s="1"/>
  <c r="NT121" i="5"/>
  <c r="NV121" i="5" s="1"/>
  <c r="CQ88" i="5"/>
  <c r="NS143" i="5"/>
  <c r="NU143" i="5" s="1"/>
  <c r="NS88" i="5"/>
  <c r="NU88" i="5" s="1"/>
  <c r="NT124" i="5"/>
  <c r="NV124" i="5" s="1"/>
  <c r="HJ121" i="5"/>
  <c r="ND121" i="5"/>
  <c r="HI121" i="5" s="1"/>
  <c r="NT143" i="5"/>
  <c r="NV143" i="5" s="1"/>
  <c r="ND88" i="5"/>
  <c r="HI88" i="5" s="1"/>
  <c r="HJ88" i="5"/>
  <c r="NS213" i="5"/>
  <c r="NU213" i="5" s="1"/>
  <c r="HJ172" i="5"/>
  <c r="NT172" i="5"/>
  <c r="NV172" i="5" s="1"/>
  <c r="NS172" i="5"/>
  <c r="NU172" i="5" s="1"/>
  <c r="CO149" i="5"/>
  <c r="HH149" i="5" s="1"/>
  <c r="CQ149" i="5"/>
  <c r="CQ107" i="5"/>
  <c r="CQ211" i="5"/>
  <c r="NT133" i="5"/>
  <c r="NV133" i="5" s="1"/>
  <c r="HJ133" i="5"/>
  <c r="ND133" i="5"/>
  <c r="HI133" i="5" s="1"/>
  <c r="NS133" i="5"/>
  <c r="NU133" i="5" s="1"/>
  <c r="HI108" i="5"/>
  <c r="CO101" i="5"/>
  <c r="HH101" i="5" s="1"/>
  <c r="HI101" i="5" s="1"/>
  <c r="CO185" i="5"/>
  <c r="HH185" i="5" s="1"/>
  <c r="CQ185" i="5"/>
  <c r="NS131" i="5"/>
  <c r="NU131" i="5" s="1"/>
  <c r="CO156" i="5"/>
  <c r="HH156" i="5" s="1"/>
  <c r="HI156" i="5" s="1"/>
  <c r="CQ156" i="5"/>
  <c r="NT94" i="5"/>
  <c r="NV94" i="5" s="1"/>
  <c r="NS94" i="5"/>
  <c r="NU94" i="5" s="1"/>
  <c r="HJ94" i="5"/>
  <c r="ND94" i="5"/>
  <c r="HI94" i="5" s="1"/>
  <c r="NT131" i="5"/>
  <c r="NV131" i="5" s="1"/>
  <c r="NT155" i="5"/>
  <c r="NV155" i="5" s="1"/>
  <c r="NS155" i="5"/>
  <c r="NU155" i="5" s="1"/>
  <c r="ND155" i="5"/>
  <c r="HI155" i="5" s="1"/>
  <c r="HJ155" i="5"/>
  <c r="NT164" i="5"/>
  <c r="NV164" i="5" s="1"/>
  <c r="NS164" i="5"/>
  <c r="NU164" i="5" s="1"/>
  <c r="HJ164" i="5"/>
  <c r="ND164" i="5"/>
  <c r="HI164" i="5" s="1"/>
  <c r="CQ90" i="5"/>
  <c r="NT168" i="5"/>
  <c r="NV168" i="5" s="1"/>
  <c r="ND168" i="5"/>
  <c r="HI168" i="5" s="1"/>
  <c r="HJ168" i="5"/>
  <c r="NS168" i="5"/>
  <c r="NU168" i="5" s="1"/>
  <c r="CQ177" i="5"/>
  <c r="NS207" i="5"/>
  <c r="NU207" i="5" s="1"/>
  <c r="CO60" i="5"/>
  <c r="HH60" i="5" s="1"/>
  <c r="CQ60" i="5"/>
  <c r="NT207" i="5"/>
  <c r="NV207" i="5" s="1"/>
  <c r="NS12" i="5"/>
  <c r="NU12" i="5" s="1"/>
  <c r="NT12" i="5"/>
  <c r="NV12" i="5" s="1"/>
  <c r="CO170" i="5"/>
  <c r="HH170" i="5" s="1"/>
  <c r="ND12" i="5"/>
  <c r="NS170" i="5"/>
  <c r="NU170" i="5" s="1"/>
  <c r="HJ170" i="5"/>
  <c r="ND170" i="5"/>
  <c r="NT170" i="5"/>
  <c r="NV170" i="5" s="1"/>
  <c r="CQ203" i="5"/>
  <c r="CO203" i="5"/>
  <c r="HH203" i="5" s="1"/>
  <c r="NT169" i="5"/>
  <c r="NV169" i="5" s="1"/>
  <c r="NS169" i="5"/>
  <c r="NU169" i="5" s="1"/>
  <c r="HJ169" i="5"/>
  <c r="ND169" i="5"/>
  <c r="HI169" i="5" s="1"/>
  <c r="CO130" i="5"/>
  <c r="HH130" i="5" s="1"/>
  <c r="CQ130" i="5"/>
  <c r="NS203" i="5"/>
  <c r="NU203" i="5" s="1"/>
  <c r="NT185" i="5"/>
  <c r="NV185" i="5" s="1"/>
  <c r="NS185" i="5"/>
  <c r="NU185" i="5" s="1"/>
  <c r="ND185" i="5"/>
  <c r="HJ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HJ205"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<sst xmlns="http://schemas.openxmlformats.org/spreadsheetml/2006/main" count="24402" uniqueCount="2062">
  <si>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</si>
  <si>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</si>
  <si>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</si>
  <si>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</si>
  <si>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</si>
  <si>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</si>
  <si>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</si>
  <si>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</si>
  <si>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</si>
  <si>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</si>
  <si>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</si>
  <si>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</si>
  <si>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</si>
  <si>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</si>
  <si>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</si>
  <si>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</si>
  <si>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</si>
  <si>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</si>
  <si>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</si>
  <si>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</si>
  <si>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</si>
  <si>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</si>
  <si>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</si>
  <si>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</si>
  <si>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</si>
  <si>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</si>
  <si>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</si>
  <si>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</si>
  <si>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</si>
  <si>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</si>
  <si>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</si>
  <si>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</si>
  <si>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</si>
  <si>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</si>
  <si>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</si>
  <si>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</si>
  <si>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</si>
  <si>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</si>
  <si>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</si>
  <si>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</si>
  <si>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</si>
  <si>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</si>
  <si>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</si>
  <si>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</si>
  <si>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</si>
  <si>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</si>
  <si>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</si>
  <si>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</si>
  <si>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</si>
  <si>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</si>
  <si>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</si>
  <si>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</si>
  <si>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</si>
  <si>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</si>
  <si>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</si>
  <si>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</si>
  <si>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</si>
  <si>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</si>
  <si>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</si>
  <si>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</si>
  <si>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</si>
  <si>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</si>
  <si>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</si>
  <si>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</si>
  <si>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</si>
  <si>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</si>
  <si>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</si>
  <si>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</si>
  <si>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</si>
  <si>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</si>
  <si>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</si>
  <si>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</si>
  <si>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</si>
  <si>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</si>
  <si>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</si>
  <si>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</si>
  <si>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</si>
  <si>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</si>
  <si>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</si>
  <si>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</si>
  <si>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</si>
  <si>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</si>
  <si>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</si>
  <si>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</si>
  <si>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</si>
  <si>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</si>
  <si>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</si>
  <si>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</si>
  <si>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</si>
  <si>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</si>
  <si>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</si>
  <si>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</si>
  <si>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</si>
  <si>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</si>
  <si>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</si>
  <si>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</si>
  <si>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</si>
  <si>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</si>
  <si>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</si>
  <si>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</si>
  <si>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</si>
  <si>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</si>
  <si>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</si>
  <si>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</si>
  <si>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</si>
  <si>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</si>
  <si>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</si>
  <si>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</si>
  <si>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</si>
  <si>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</si>
  <si>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</si>
  <si>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</si>
  <si>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</si>
  <si>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</si>
  <si>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</si>
  <si>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</si>
  <si>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</si>
  <si>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</si>
  <si>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</si>
  <si>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</si>
  <si>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</si>
  <si>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</si>
  <si>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</si>
  <si>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</si>
  <si>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</si>
  <si>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</si>
  <si>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</si>
  <si>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</si>
  <si>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</si>
  <si>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</si>
  <si>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</si>
  <si>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</si>
  <si>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</si>
  <si>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</si>
  <si>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</si>
  <si>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</si>
  <si>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</si>
  <si>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</si>
  <si>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</si>
  <si>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</si>
  <si>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</si>
  <si>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</si>
  <si>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</si>
  <si>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</si>
  <si>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</si>
  <si>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</si>
  <si>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</si>
  <si>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</si>
  <si>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</si>
  <si>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</si>
  <si>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</si>
  <si>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</si>
  <si>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</si>
  <si>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</si>
  <si>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</si>
  <si>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</si>
  <si>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</si>
  <si>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</si>
  <si>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</si>
  <si>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</si>
  <si>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</si>
  <si>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</si>
  <si>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</si>
  <si>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</si>
  <si>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</si>
  <si>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</si>
  <si>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</si>
  <si>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</si>
  <si>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</si>
  <si>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</si>
  <si>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</si>
  <si>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</si>
  <si>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</si>
  <si>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</si>
  <si>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</si>
  <si>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</si>
  <si>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</si>
  <si>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</si>
  <si>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</si>
  <si>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</si>
  <si>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</si>
  <si>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</si>
  <si>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</si>
  <si>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</si>
  <si>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</si>
  <si>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</si>
  <si>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</si>
  <si>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</si>
  <si>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</si>
  <si>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</si>
  <si>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</si>
  <si>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</si>
  <si>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</si>
  <si>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</si>
  <si>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</si>
  <si>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</si>
  <si>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</si>
  <si>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</si>
  <si>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</si>
  <si>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</si>
  <si>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</si>
  <si>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</si>
  <si>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</si>
  <si>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</si>
  <si>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</si>
  <si>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</si>
  <si>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</si>
  <si>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</si>
  <si>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</si>
  <si>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</si>
  <si>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</si>
  <si>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</si>
  <si>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</si>
  <si>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</si>
  <si>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</si>
  <si>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</si>
  <si>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</si>
  <si>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</si>
  <si>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</si>
  <si>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</si>
  <si>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</si>
  <si>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</si>
  <si>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</si>
  <si>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</si>
  <si>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</si>
  <si>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</si>
  <si>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</si>
  <si>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</si>
  <si>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</si>
  <si>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</si>
  <si>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</si>
  <si>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</si>
  <si>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</si>
  <si>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</si>
  <si>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</si>
  <si>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</si>
  <si>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</si>
  <si>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</si>
  <si>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</si>
  <si>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</si>
  <si>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</si>
  <si>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</si>
  <si>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</si>
  <si>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</si>
  <si>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</si>
  <si>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</si>
  <si>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</si>
  <si>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</si>
  <si>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</si>
  <si>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</si>
  <si>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</si>
  <si>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</si>
  <si>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</si>
  <si>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</si>
  <si>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</si>
  <si>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</si>
  <si>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</si>
  <si>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</si>
  <si>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</si>
  <si>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</si>
  <si>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</si>
  <si>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</si>
  <si>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</si>
  <si>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</si>
  <si>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</si>
  <si>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</si>
  <si>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</si>
  <si>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</si>
  <si>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</si>
  <si>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</si>
  <si>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</si>
  <si>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</si>
  <si>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</si>
  <si>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</si>
  <si>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</si>
  <si>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</si>
  <si>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</si>
  <si>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</si>
  <si>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</si>
  <si>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</si>
  <si>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</si>
  <si>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</si>
  <si>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</si>
  <si>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</si>
  <si>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</si>
  <si>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</si>
  <si>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</si>
  <si>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</si>
  <si>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</si>
  <si>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</si>
  <si>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</si>
  <si>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</si>
  <si>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</si>
  <si>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</si>
  <si>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</si>
  <si>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</si>
  <si>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</si>
  <si>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</si>
  <si>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</si>
  <si>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</si>
  <si>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</si>
  <si>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</si>
  <si>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</si>
  <si>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</si>
  <si>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</si>
  <si>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</si>
  <si>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</si>
  <si>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</si>
  <si>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</si>
  <si>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</si>
  <si>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</si>
  <si>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</si>
  <si>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</si>
  <si>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</si>
  <si>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</si>
  <si>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</si>
  <si>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</si>
  <si>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</si>
  <si>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</si>
  <si>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</si>
  <si>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</si>
  <si>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</si>
  <si>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</si>
  <si>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</si>
  <si>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</si>
  <si>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</si>
  <si>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</si>
  <si>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</si>
  <si>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</si>
  <si>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</si>
  <si>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</si>
  <si>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</si>
  <si>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</si>
  <si>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</si>
  <si>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</si>
  <si>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</si>
  <si>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</si>
  <si>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</si>
  <si>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</si>
  <si>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</si>
  <si>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</si>
  <si>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</si>
  <si>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</si>
  <si>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</si>
  <si>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</si>
  <si>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</si>
  <si>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</si>
  <si>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</si>
  <si>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</si>
  <si>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</si>
  <si>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</si>
  <si>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</si>
  <si>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</si>
  <si>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</si>
  <si>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</si>
  <si>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</si>
  <si>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</si>
  <si>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</si>
  <si>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</si>
  <si>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</si>
  <si>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</si>
  <si>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</si>
  <si>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</si>
  <si>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</si>
  <si>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</si>
  <si>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</si>
  <si>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</si>
  <si>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</si>
  <si>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</si>
  <si>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</si>
  <si>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</si>
  <si>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</si>
  <si>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</si>
  <si>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</si>
  <si>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</si>
  <si>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</si>
  <si>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</si>
  <si>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</si>
  <si>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</si>
  <si>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</si>
  <si>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</si>
  <si>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</si>
  <si>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</si>
  <si>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</si>
  <si>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</si>
  <si>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</si>
  <si>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</si>
  <si>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</si>
  <si>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</si>
  <si>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</si>
  <si>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</si>
  <si>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</si>
  <si>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</si>
  <si>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</si>
  <si>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</si>
  <si>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</si>
  <si>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</si>
  <si>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</si>
  <si>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</si>
  <si>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</si>
  <si>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</si>
  <si>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</si>
  <si>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</si>
  <si>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</si>
  <si>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</si>
  <si>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</si>
  <si>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</si>
  <si>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</si>
  <si>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</si>
  <si>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</si>
  <si>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</si>
  <si>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</si>
  <si>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</si>
  <si>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</si>
  <si>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</si>
  <si>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</si>
  <si>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</si>
  <si>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</si>
  <si>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</si>
  <si>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</si>
  <si>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</si>
  <si>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</si>
  <si>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</si>
  <si>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</si>
  <si>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</si>
  <si>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</si>
  <si>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</si>
  <si>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</si>
  <si>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</si>
  <si>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</si>
  <si>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</si>
  <si>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</si>
  <si>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</si>
  <si>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</si>
  <si>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</si>
  <si>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</si>
  <si>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</si>
  <si>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</si>
  <si>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</si>
  <si>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</si>
  <si>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</si>
  <si>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</si>
  <si>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</si>
  <si>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</si>
  <si>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</si>
  <si>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</si>
  <si>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</si>
  <si>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</si>
  <si>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</si>
  <si>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</si>
  <si>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</si>
  <si>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</si>
  <si>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</si>
  <si>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</si>
  <si>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</si>
  <si>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</si>
  <si>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</si>
  <si>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</si>
  <si>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</si>
  <si>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</si>
  <si>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</si>
  <si>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</si>
  <si>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</si>
  <si>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</si>
  <si>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</si>
  <si>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</si>
  <si>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</si>
  <si>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</si>
  <si>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</si>
  <si>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</si>
  <si>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</si>
  <si>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</si>
  <si>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</si>
  <si>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</si>
  <si>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</si>
  <si>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</si>
  <si>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</si>
  <si>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</si>
  <si>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</si>
  <si>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</si>
  <si>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</si>
  <si>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</si>
  <si>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</si>
  <si>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</si>
  <si>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</si>
  <si>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</si>
  <si>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</si>
  <si>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</si>
  <si>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</si>
  <si>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</si>
  <si>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</si>
  <si>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</si>
  <si>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</si>
  <si>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</si>
  <si>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</si>
  <si>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</si>
  <si>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</si>
  <si>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</si>
  <si>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</si>
  <si>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</si>
  <si>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</si>
  <si>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</si>
  <si>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</si>
  <si>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</si>
  <si>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</si>
  <si>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</si>
  <si>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</si>
  <si>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</si>
  <si>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</si>
  <si>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</si>
  <si>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</si>
  <si>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</si>
  <si>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</si>
  <si>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</si>
  <si>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</si>
  <si>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</si>
  <si>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</si>
  <si>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</si>
  <si>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</si>
  <si>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</si>
  <si>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</si>
  <si>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</si>
  <si>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</si>
  <si>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</si>
  <si>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</si>
  <si>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</si>
  <si>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</si>
  <si>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</si>
  <si>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</si>
  <si>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</si>
  <si>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</si>
  <si>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</si>
  <si>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</si>
  <si>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</si>
  <si>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</si>
  <si>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</si>
  <si>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</si>
  <si>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</si>
  <si>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</si>
  <si>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</si>
  <si>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</si>
  <si>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</si>
  <si>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</si>
  <si>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</si>
  <si>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</si>
  <si>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</si>
  <si>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</si>
  <si>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</si>
  <si>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</si>
  <si>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</si>
  <si>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</si>
  <si>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</si>
  <si>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</si>
  <si>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</si>
  <si>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</si>
  <si>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</si>
  <si>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</si>
  <si>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</si>
  <si>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</si>
  <si>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</si>
  <si>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</si>
  <si>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</si>
  <si>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</si>
  <si>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</si>
  <si>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</si>
  <si>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</si>
  <si>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</si>
  <si>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</si>
  <si>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</si>
  <si>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</si>
  <si>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</si>
  <si>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</si>
  <si>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</si>
  <si>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</si>
  <si>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</si>
  <si>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</si>
  <si>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</si>
  <si>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</si>
  <si>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</si>
  <si>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</si>
  <si>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</si>
  <si>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</si>
  <si>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</si>
  <si>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</si>
  <si>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</si>
  <si>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</si>
  <si>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</si>
  <si>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</si>
  <si>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</si>
  <si>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</si>
  <si>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</si>
  <si>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</si>
  <si>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</si>
  <si>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</si>
  <si>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</si>
  <si>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</si>
  <si>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</si>
  <si>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</si>
  <si>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</si>
  <si>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</si>
  <si>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</si>
  <si>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</si>
  <si>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</si>
  <si>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</si>
  <si>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</si>
  <si>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</si>
  <si>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</si>
  <si>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</si>
  <si>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</si>
  <si>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</si>
  <si>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</si>
  <si>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</si>
  <si>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</si>
  <si>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</si>
  <si>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</si>
  <si>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</si>
  <si>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</si>
  <si>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</si>
  <si>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</si>
  <si>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</si>
  <si>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</si>
  <si>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</si>
  <si>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</si>
  <si>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</si>
  <si>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</si>
  <si>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</si>
  <si>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</si>
  <si>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</si>
  <si>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</si>
  <si>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</si>
  <si>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</si>
  <si>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</si>
  <si>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</si>
  <si>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</si>
  <si>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</si>
  <si>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</si>
  <si>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</si>
  <si>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</si>
  <si>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</si>
  <si>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</si>
  <si>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</si>
  <si>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</si>
  <si>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</si>
  <si>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</si>
  <si>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</si>
  <si>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</si>
  <si>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</si>
  <si>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</si>
  <si>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</si>
  <si>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</si>
  <si>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</si>
  <si>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</si>
  <si>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</si>
  <si>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</si>
  <si>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</si>
  <si>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</si>
  <si>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</si>
  <si>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</si>
  <si>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</si>
  <si>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</si>
  <si>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</si>
  <si>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</si>
  <si>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</si>
  <si>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</si>
  <si>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</si>
  <si>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</si>
  <si>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</si>
  <si>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</si>
  <si>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</si>
  <si>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</si>
  <si>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</si>
  <si>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</si>
  <si>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</si>
  <si>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</si>
  <si>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</si>
  <si>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</si>
  <si>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</si>
  <si>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</si>
  <si>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</si>
  <si>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</si>
  <si>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</si>
  <si>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</si>
  <si>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</si>
  <si>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</si>
  <si>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</si>
  <si>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</si>
  <si>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</si>
  <si>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</si>
  <si>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</si>
  <si>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</si>
  <si>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</si>
  <si>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</si>
  <si>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</si>
  <si>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</si>
  <si>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</si>
  <si>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</si>
  <si>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</si>
  <si>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</si>
  <si>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</si>
  <si>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</si>
  <si>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</si>
  <si>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</si>
  <si>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</si>
  <si>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</si>
  <si>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</si>
  <si>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</si>
  <si>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</si>
  <si>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</si>
  <si>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</si>
  <si>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</si>
  <si>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</si>
  <si>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</si>
  <si>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</si>
  <si>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</si>
  <si>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</si>
  <si>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</si>
  <si>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</si>
  <si>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</si>
  <si>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</si>
  <si>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</si>
  <si>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</si>
  <si>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</si>
  <si>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</si>
  <si>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</si>
  <si>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</si>
  <si>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</si>
  <si>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</si>
  <si>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</si>
  <si>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</si>
  <si>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</si>
  <si>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</si>
  <si>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</si>
  <si>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</si>
  <si>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</si>
  <si>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</si>
  <si>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</si>
  <si>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</si>
  <si>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</si>
  <si>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</si>
  <si>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</si>
  <si>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</si>
  <si>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</si>
  <si>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</si>
  <si>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</si>
  <si>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</si>
  <si>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</si>
  <si>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</si>
  <si>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</si>
  <si>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</si>
  <si>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</si>
  <si>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</si>
  <si>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</si>
  <si>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</si>
  <si>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</si>
  <si>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</si>
  <si>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</si>
  <si>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</si>
  <si>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</si>
  <si>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</si>
  <si>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</si>
  <si>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</si>
  <si>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</si>
  <si>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</si>
  <si>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</si>
  <si>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</si>
  <si>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</si>
  <si>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</si>
  <si>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</si>
  <si>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</si>
  <si>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</si>
  <si>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</si>
  <si>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</si>
  <si>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</si>
  <si>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</si>
  <si>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</si>
  <si>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</si>
  <si>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</si>
  <si>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</si>
  <si>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</si>
  <si>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</si>
  <si>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</si>
  <si>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</si>
  <si>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</si>
  <si>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</si>
  <si>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</si>
  <si>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</si>
  <si>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</si>
  <si>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</si>
  <si>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</si>
  <si>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</si>
  <si>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</si>
  <si>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</si>
  <si>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</si>
  <si>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</si>
  <si>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</si>
  <si>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</si>
  <si>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</si>
  <si>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</si>
  <si>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</si>
  <si>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</si>
  <si>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</si>
  <si>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</si>
  <si>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</si>
  <si>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</si>
  <si>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</si>
  <si>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</si>
  <si>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</si>
  <si>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</si>
  <si>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</si>
  <si>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</si>
  <si>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</si>
  <si>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</si>
  <si>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</si>
  <si>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</si>
  <si>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</si>
  <si>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</si>
  <si>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</si>
  <si>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</si>
  <si>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</si>
  <si>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</si>
  <si>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</si>
  <si>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</si>
  <si>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</si>
  <si>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</si>
  <si>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</si>
  <si>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</si>
  <si>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</si>
  <si>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</si>
  <si>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</si>
  <si>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</si>
  <si>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</si>
  <si>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</si>
  <si>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</si>
  <si>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</si>
  <si>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</si>
  <si>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</si>
  <si>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</si>
  <si>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</si>
  <si>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</si>
  <si>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</si>
  <si>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</si>
  <si>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</si>
  <si>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</si>
  <si>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</si>
  <si>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</si>
  <si>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</si>
  <si>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</si>
  <si>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</si>
  <si>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</si>
  <si>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</si>
  <si>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</si>
  <si>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</si>
  <si>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</si>
  <si>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</si>
  <si>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</si>
  <si>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</si>
  <si>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</si>
  <si>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</si>
  <si>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</si>
  <si>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</si>
  <si>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</si>
  <si>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</si>
  <si>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</si>
  <si>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</si>
  <si>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</si>
  <si>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</si>
  <si>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</si>
  <si>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</si>
  <si>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</si>
  <si>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</si>
  <si>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</si>
  <si>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</si>
  <si>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</si>
  <si>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</si>
  <si>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</si>
  <si>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</si>
  <si>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</si>
  <si>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</si>
  <si>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</si>
  <si>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</si>
  <si>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</si>
  <si>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</si>
  <si>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</si>
  <si>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</si>
  <si>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</si>
  <si>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</si>
  <si>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</si>
  <si>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</si>
  <si>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</si>
  <si>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</si>
  <si>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</si>
  <si>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</si>
  <si>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</si>
  <si>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</si>
  <si>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</si>
  <si>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</si>
  <si>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</si>
  <si>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</si>
  <si>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</si>
  <si>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</si>
  <si>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</si>
  <si>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</si>
  <si>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</si>
  <si>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</si>
  <si>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</si>
  <si>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</si>
  <si>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</si>
  <si>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</si>
  <si>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</si>
  <si>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</si>
  <si>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</si>
  <si>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</si>
  <si>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</si>
  <si>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</si>
  <si>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</si>
  <si>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</si>
  <si>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</si>
  <si>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</si>
  <si>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</si>
  <si>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</si>
  <si>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</si>
  <si>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</si>
  <si>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</si>
  <si>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</si>
  <si>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</si>
  <si>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</si>
  <si>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</si>
  <si>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</si>
  <si>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</si>
  <si>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</si>
  <si>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</si>
  <si>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</si>
  <si>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</si>
  <si>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</si>
  <si>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</si>
  <si>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</si>
  <si>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</si>
  <si>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</si>
  <si>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</si>
  <si>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</si>
  <si>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</si>
  <si>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</si>
  <si>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</si>
  <si>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</si>
  <si>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</si>
  <si>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</si>
  <si>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</si>
  <si>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</si>
  <si>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</si>
  <si>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</si>
  <si>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</si>
  <si>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</si>
  <si>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</si>
  <si>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</si>
  <si>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</si>
  <si>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</si>
  <si>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</si>
  <si>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</si>
  <si>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</si>
  <si>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</si>
  <si>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</si>
  <si>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</si>
  <si>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</si>
  <si>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</si>
  <si>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</si>
  <si>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</si>
  <si>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</si>
  <si>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</si>
  <si>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</si>
  <si>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</si>
  <si>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</si>
  <si>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</si>
  <si>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</si>
  <si>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</si>
  <si>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</si>
  <si>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</si>
  <si>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</si>
  <si>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</si>
  <si>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</si>
  <si>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</si>
  <si>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</si>
  <si>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</si>
  <si>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</si>
  <si>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</si>
  <si>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</si>
  <si>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</si>
  <si>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</si>
  <si>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</si>
  <si>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</si>
  <si>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</si>
  <si>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</si>
  <si>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</si>
  <si>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</si>
  <si>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</si>
  <si>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</si>
  <si>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</si>
  <si>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</si>
  <si>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</si>
  <si>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</si>
  <si>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</si>
  <si>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</si>
  <si>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</si>
  <si>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</si>
  <si>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</si>
  <si>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</si>
  <si>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</si>
  <si>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</si>
  <si>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</si>
  <si>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</si>
  <si>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</si>
  <si>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</si>
  <si>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</si>
  <si>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</si>
  <si>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</si>
  <si>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</si>
  <si>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</si>
  <si>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</si>
  <si>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</si>
  <si>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</si>
  <si>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</si>
  <si>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</si>
  <si>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</si>
  <si>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</si>
  <si>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</si>
  <si>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</si>
  <si>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</si>
  <si>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</si>
  <si>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</si>
  <si>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</si>
  <si>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</si>
  <si>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</si>
  <si>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</si>
  <si>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</si>
  <si>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</si>
  <si>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</si>
  <si>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</si>
  <si>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</si>
  <si>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</si>
  <si>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</si>
  <si>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</si>
  <si>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</si>
  <si>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</si>
  <si>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</si>
  <si>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</si>
  <si>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</si>
  <si>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</si>
  <si>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</si>
  <si>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</si>
  <si>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</si>
  <si>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</si>
  <si>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</si>
  <si>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</si>
  <si>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</si>
  <si>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</si>
  <si>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</si>
  <si>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</si>
  <si>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</si>
  <si>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</si>
  <si>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</si>
  <si>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</si>
  <si>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</si>
  <si>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</si>
  <si>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</si>
  <si>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</si>
  <si>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</si>
  <si>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</si>
  <si>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</si>
  <si>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</si>
  <si>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</si>
  <si>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</si>
  <si>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</si>
  <si>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</si>
  <si>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</si>
  <si>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</si>
  <si>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</si>
  <si>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</si>
  <si>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</si>
  <si>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</si>
  <si>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</si>
  <si>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</si>
  <si>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</si>
  <si>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</si>
  <si>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</si>
  <si>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</si>
  <si>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</si>
  <si>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</si>
  <si>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</si>
  <si>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</si>
  <si>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</si>
  <si>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</si>
  <si>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</si>
  <si>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</si>
  <si>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</si>
  <si>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</si>
  <si>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</si>
  <si>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</si>
  <si>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</si>
  <si>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</si>
  <si>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</si>
  <si>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</si>
  <si>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</si>
  <si>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</si>
  <si>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</si>
  <si>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</si>
  <si>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</si>
  <si>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</si>
  <si>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</si>
  <si>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</si>
  <si>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</si>
  <si>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</si>
  <si>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</si>
  <si>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</si>
  <si>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</si>
  <si>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</si>
  <si>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</si>
  <si>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</si>
  <si>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</si>
  <si>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</si>
  <si>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</si>
  <si>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</si>
  <si>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</si>
  <si>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</si>
  <si>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</si>
  <si>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</si>
  <si>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</si>
  <si>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</si>
  <si>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</si>
  <si>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</si>
  <si>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</si>
  <si>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</si>
  <si>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</si>
  <si>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</si>
  <si>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</si>
  <si>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</si>
  <si>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</si>
  <si>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</si>
  <si>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</si>
  <si>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</si>
  <si>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</si>
  <si>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</si>
  <si>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</si>
  <si>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</si>
  <si>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</si>
  <si>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</si>
  <si>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</si>
  <si>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</si>
  <si>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</si>
  <si>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</si>
  <si>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</si>
  <si>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</si>
  <si>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</si>
  <si>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</si>
  <si>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</si>
  <si>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</si>
  <si>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</si>
  <si>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</si>
  <si>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</si>
  <si>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</si>
  <si>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</si>
  <si>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</si>
  <si>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</si>
  <si>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</si>
  <si>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</si>
  <si>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</si>
  <si>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</si>
  <si>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</si>
  <si>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</si>
  <si>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</si>
  <si>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</si>
  <si>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</si>
  <si>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</si>
  <si>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</si>
  <si>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</si>
  <si>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</si>
  <si>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</si>
  <si>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</si>
  <si>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</si>
  <si>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</si>
  <si>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</si>
  <si>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</si>
  <si>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</si>
  <si>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</si>
  <si>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</si>
  <si>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</si>
  <si>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</si>
  <si>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</si>
  <si>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</si>
  <si>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</si>
  <si>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</si>
  <si>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</si>
  <si>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</si>
  <si>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</si>
  <si>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</si>
  <si>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</si>
  <si>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</si>
  <si>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</si>
  <si>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</si>
  <si>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</si>
  <si>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</si>
  <si>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</si>
  <si>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</si>
  <si>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</si>
  <si>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</si>
  <si>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</si>
  <si>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</si>
  <si>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</si>
  <si>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</si>
  <si>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</si>
  <si>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</si>
  <si>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</si>
  <si>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</si>
  <si>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</si>
  <si>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</si>
  <si>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</si>
  <si>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</si>
  <si>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</si>
  <si>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</si>
  <si>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</si>
  <si>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</si>
  <si>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</si>
  <si>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</si>
  <si>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</si>
  <si>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</si>
  <si>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</si>
  <si>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</si>
  <si>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</si>
  <si>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</si>
  <si>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</si>
  <si>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</si>
  <si>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</si>
  <si>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</si>
  <si>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</si>
  <si>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</si>
  <si>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</si>
  <si>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</si>
  <si>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</si>
  <si>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</si>
  <si>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</si>
  <si>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</si>
  <si>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</si>
  <si>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</si>
  <si>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</si>
  <si>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</si>
  <si>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</si>
  <si>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</si>
  <si>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</si>
  <si>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</si>
  <si>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</si>
  <si>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</si>
  <si>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</si>
  <si>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</si>
  <si>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</si>
  <si>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</si>
  <si>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</si>
  <si>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</si>
  <si>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</si>
  <si>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</si>
  <si>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</si>
  <si>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</si>
  <si>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</si>
  <si>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</si>
  <si>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</si>
  <si>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</si>
  <si>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</si>
  <si>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</si>
  <si>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</si>
  <si>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</si>
  <si>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</si>
  <si>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</si>
  <si>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</si>
  <si>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</si>
  <si>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</si>
  <si>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</si>
  <si>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</si>
  <si>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</si>
  <si>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</si>
  <si>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</si>
  <si>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</si>
  <si>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</si>
  <si>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</si>
  <si>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</si>
  <si>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</si>
  <si>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</si>
  <si>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</si>
  <si>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</si>
  <si>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</si>
  <si>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</si>
  <si>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</si>
  <si>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</si>
  <si>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</si>
  <si>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</si>
  <si>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</si>
  <si>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</si>
  <si>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</si>
  <si>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</si>
  <si>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</si>
  <si>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</si>
  <si>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</si>
  <si>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</si>
  <si>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</si>
  <si>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</si>
  <si>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</si>
  <si>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</si>
  <si>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</si>
  <si>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</si>
  <si>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</si>
  <si>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</si>
  <si>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</si>
  <si>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</si>
  <si>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</si>
  <si>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</si>
  <si>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</si>
  <si>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</si>
  <si>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</si>
  <si>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</si>
  <si>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</si>
  <si>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</si>
  <si>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</si>
  <si>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</si>
  <si>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</si>
  <si>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</si>
  <si>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</si>
  <si>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</si>
  <si>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</si>
  <si>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</si>
  <si>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</si>
  <si>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</si>
  <si>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</si>
  <si>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</si>
  <si>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</si>
  <si>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</si>
  <si>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</si>
  <si>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</si>
  <si>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</si>
  <si>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</si>
  <si>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</si>
  <si>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</si>
  <si>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</si>
  <si>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</si>
  <si>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</si>
  <si>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</si>
  <si>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</si>
  <si>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</si>
  <si>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</si>
  <si>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</si>
  <si>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</si>
  <si>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</si>
  <si>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</si>
  <si>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</si>
  <si>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</si>
  <si>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</si>
  <si>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</si>
  <si>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</si>
  <si>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</si>
  <si>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</si>
  <si>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</si>
  <si>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</si>
  <si>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</si>
  <si>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</si>
  <si>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</si>
  <si>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</si>
  <si>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</si>
  <si>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</si>
  <si>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</si>
  <si>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</si>
  <si>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</si>
  <si>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</si>
  <si>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</si>
  <si>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</si>
  <si>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</si>
  <si>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</si>
  <si>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</si>
  <si>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</si>
  <si>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</si>
  <si>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</si>
  <si>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</si>
  <si>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</si>
  <si>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</si>
  <si>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</si>
  <si>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</si>
  <si>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</si>
  <si>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</si>
  <si>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</si>
  <si>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</si>
  <si>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</si>
  <si>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</si>
  <si>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</si>
  <si>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</si>
  <si>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</si>
  <si>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</si>
  <si>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</si>
  <si>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</si>
  <si>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</si>
  <si>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</si>
  <si>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</si>
  <si>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</si>
  <si>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</si>
  <si>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</si>
  <si>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</si>
  <si>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</si>
  <si>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</si>
  <si>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</si>
  <si>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</si>
  <si>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</si>
  <si>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</si>
  <si>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</si>
  <si>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</si>
  <si>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</si>
  <si>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</si>
  <si>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</si>
  <si>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</si>
  <si>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</si>
  <si>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</si>
  <si>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</si>
  <si>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</si>
  <si>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</si>
  <si>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</si>
  <si>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</si>
  <si>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</si>
  <si>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</si>
  <si>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</si>
  <si>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</si>
  <si>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</si>
  <si>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</si>
  <si>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</si>
  <si>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</si>
  <si>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</si>
  <si>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</si>
  <si>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</si>
  <si>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</si>
  <si>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</si>
  <si>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</si>
  <si>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</si>
  <si>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</si>
  <si>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</si>
  <si>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</si>
  <si>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</si>
  <si>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</si>
  <si>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</si>
  <si>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</si>
  <si>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</si>
  <si>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</si>
  <si>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</si>
  <si>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</si>
  <si>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</si>
  <si>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</si>
  <si>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</si>
  <si>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</si>
  <si>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</si>
  <si>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</si>
  <si>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</si>
  <si>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</si>
  <si>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</si>
  <si>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</si>
  <si>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</si>
  <si>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</si>
  <si>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</si>
  <si>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</si>
  <si>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</si>
  <si>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</si>
  <si>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</si>
  <si>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</si>
  <si>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</si>
  <si>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</si>
  <si>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</si>
  <si>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</si>
  <si>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</si>
  <si>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</si>
  <si>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</si>
  <si>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</si>
  <si>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</si>
  <si>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</si>
  <si>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</si>
  <si>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</si>
  <si>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</si>
  <si>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</si>
  <si>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</si>
  <si>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</si>
  <si>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</si>
  <si>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</si>
  <si>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</si>
  <si>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</si>
  <si>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</si>
  <si>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</si>
  <si>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</si>
  <si>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</si>
  <si>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</si>
  <si>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</si>
  <si>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</si>
  <si>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</si>
  <si>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</si>
  <si>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</si>
  <si>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</si>
  <si>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</si>
  <si>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</si>
  <si>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</si>
  <si>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</si>
  <si>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</si>
  <si>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</si>
  <si>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</si>
  <si>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</si>
  <si>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</si>
  <si>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</si>
  <si>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</si>
  <si>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</si>
  <si>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</si>
  <si>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</si>
  <si>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</si>
  <si>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</si>
  <si>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</si>
  <si>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</si>
  <si>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</si>
  <si>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</si>
  <si>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</si>
  <si>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</si>
  <si>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</si>
  <si>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</si>
  <si>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</si>
  <si>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</si>
  <si>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</si>
  <si>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</si>
  <si>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</si>
  <si>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</si>
  <si>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</si>
  <si>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</si>
  <si>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</si>
  <si>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</si>
  <si>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</si>
  <si>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</si>
  <si>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</si>
  <si>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</si>
  <si>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</si>
  <si>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</si>
  <si>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</si>
  <si>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</si>
  <si>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</si>
  <si>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</si>
  <si>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</si>
  <si>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</si>
  <si>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</si>
  <si>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</si>
  <si>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</si>
  <si>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</si>
  <si>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</si>
  <si>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</si>
  <si>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</si>
  <si>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</si>
  <si>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</si>
  <si>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</si>
  <si>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</si>
  <si>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</si>
  <si>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</si>
  <si>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</si>
  <si>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</si>
  <si>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</si>
  <si>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</si>
  <si>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</si>
  <si>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</si>
  <si>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</si>
  <si>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</si>
  <si>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</si>
  <si>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</si>
  <si>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</si>
  <si>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</si>
  <si>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</si>
  <si>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</si>
  <si>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</si>
  <si>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</si>
  <si>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</si>
  <si>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</si>
  <si>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</si>
  <si>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</si>
  <si>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</si>
  <si>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</si>
  <si>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</si>
  <si>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</si>
  <si>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</si>
  <si>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</si>
  <si>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</si>
  <si>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</si>
  <si>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</si>
  <si>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</si>
  <si>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</si>
  <si>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</si>
  <si>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</si>
  <si>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</si>
  <si>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</si>
  <si>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</si>
  <si>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</si>
  <si>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</si>
  <si>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</si>
  <si>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</si>
  <si>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</si>
  <si>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</si>
  <si>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</si>
  <si>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</si>
  <si>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</si>
  <si>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</si>
  <si>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</si>
  <si>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</si>
  <si>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</si>
  <si>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</si>
  <si>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</si>
  <si>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</si>
  <si>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</si>
  <si>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</si>
  <si>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</si>
  <si>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</si>
  <si>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</si>
  <si>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</si>
  <si>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</si>
  <si>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</si>
  <si>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</si>
  <si>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</si>
  <si>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</si>
  <si>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</si>
  <si>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</si>
  <si>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</si>
  <si>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</si>
  <si>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</si>
  <si>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</si>
  <si>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</si>
  <si>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</si>
  <si>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</si>
  <si>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</si>
  <si>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</si>
  <si>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</si>
  <si>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</si>
  <si>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</si>
  <si>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</si>
  <si>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</si>
  <si>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</si>
  <si>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</si>
  <si>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</si>
  <si>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</si>
  <si>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</si>
  <si>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</si>
  <si>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</si>
  <si>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</si>
  <si>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</si>
  <si>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</si>
  <si>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</si>
  <si>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</si>
  <si>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</si>
  <si>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</si>
  <si>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</si>
  <si>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</si>
  <si>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</si>
  <si>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</si>
  <si>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</si>
  <si>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</si>
  <si>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</si>
  <si>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</si>
  <si>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</si>
  <si>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</si>
  <si>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</si>
  <si>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</si>
  <si>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</si>
  <si>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</si>
  <si>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</si>
  <si>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</si>
  <si>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</si>
  <si>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</si>
  <si>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</si>
  <si>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</si>
  <si>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</si>
  <si>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</si>
  <si>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</si>
  <si>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</si>
  <si>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</si>
  <si>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</si>
  <si>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</si>
  <si>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</si>
  <si>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</si>
  <si>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</si>
  <si>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</si>
  <si>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</si>
  <si>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</si>
  <si>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</si>
  <si>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</si>
  <si>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</si>
  <si>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</si>
  <si>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</si>
  <si>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</si>
  <si>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</si>
  <si>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</si>
  <si>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</si>
  <si>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</si>
  <si>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</si>
  <si>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</si>
  <si>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</si>
  <si>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</si>
  <si>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</si>
  <si>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</si>
  <si>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</si>
  <si>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</si>
  <si>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</si>
  <si>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</si>
  <si>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</si>
  <si>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</si>
  <si>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</si>
  <si>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</si>
  <si>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</si>
  <si>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</si>
  <si>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</si>
  <si>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</si>
  <si>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</si>
  <si>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</si>
  <si>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</si>
  <si>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</si>
  <si>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</si>
  <si>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</si>
  <si>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</si>
  <si>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</si>
  <si>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</si>
  <si>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</si>
  <si>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</si>
  <si>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</si>
  <si>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</si>
  <si>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</si>
  <si>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</si>
  <si>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</si>
  <si>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</si>
  <si>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</si>
  <si>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</si>
  <si>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</si>
  <si>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</si>
  <si>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</si>
  <si>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</si>
  <si>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</si>
  <si>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</si>
  <si>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</si>
  <si>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</si>
  <si>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</si>
  <si>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</si>
  <si>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</si>
  <si>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</si>
  <si>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</si>
  <si>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</si>
  <si>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</si>
  <si>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</si>
  <si>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</si>
  <si>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</si>
  <si>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</si>
  <si>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</si>
  <si>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</si>
  <si>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</si>
  <si>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</si>
  <si>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</si>
  <si>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</si>
  <si>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</si>
  <si>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</si>
  <si>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</si>
  <si>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</si>
  <si>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</si>
  <si>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</si>
  <si>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</si>
  <si>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</si>
  <si>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</si>
  <si>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</si>
  <si>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</si>
  <si>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</si>
  <si>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</si>
  <si>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</si>
  <si>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</si>
  <si>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</si>
  <si>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</si>
  <si>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</si>
  <si>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</si>
  <si>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</si>
  <si>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</si>
  <si>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</si>
  <si>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</si>
  <si>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</si>
  <si>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</si>
  <si>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</si>
  <si>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</si>
  <si>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</si>
  <si>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</si>
  <si>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</si>
  <si>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</si>
  <si>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</si>
  <si>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</si>
  <si>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</si>
  <si>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</si>
  <si>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</si>
  <si>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</si>
  <si>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</si>
  <si>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</si>
  <si>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</si>
  <si>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</si>
  <si>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</si>
  <si>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</si>
  <si>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</si>
  <si>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</si>
  <si>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</si>
  <si>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</si>
  <si>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</si>
  <si>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</si>
  <si>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</si>
  <si>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</si>
  <si>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</si>
  <si>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</si>
  <si>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</si>
  <si>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</si>
  <si>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</si>
  <si>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</si>
  <si>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</si>
  <si>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</si>
  <si>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</si>
  <si>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</si>
  <si>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</si>
  <si>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</si>
  <si>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</si>
  <si>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</si>
  <si>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</si>
  <si>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</si>
  <si>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</si>
  <si>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</si>
  <si>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</si>
  <si>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</si>
  <si>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</si>
  <si>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</si>
  <si>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</si>
  <si>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</si>
  <si>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</si>
  <si>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</si>
  <si>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</si>
  <si>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</si>
  <si>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</si>
  <si>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</si>
  <si>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</si>
  <si>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</si>
  <si>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</si>
  <si>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</si>
  <si>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</si>
  <si>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</si>
  <si>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</si>
  <si>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</si>
  <si>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</si>
  <si>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</si>
  <si>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</si>
  <si>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</si>
  <si>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</si>
  <si>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</si>
  <si>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</si>
  <si>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</si>
  <si>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</si>
  <si>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</si>
  <si>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</si>
  <si>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</si>
  <si>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</si>
  <si>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</si>
  <si>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</si>
  <si>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</si>
  <si>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</si>
  <si>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</si>
  <si>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</si>
  <si>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</si>
  <si>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</si>
  <si>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</si>
  <si>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</si>
  <si>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</si>
  <si>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</si>
  <si>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</si>
  <si>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</si>
  <si>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</si>
  <si>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</si>
  <si>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</si>
  <si>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</si>
  <si>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</si>
  <si>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</si>
  <si>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</si>
  <si>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</si>
  <si>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</si>
  <si>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</si>
  <si>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</si>
  <si>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</si>
  <si>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</si>
  <si>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</si>
  <si>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</si>
  <si>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</si>
  <si>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</si>
  <si>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</si>
  <si>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</si>
  <si>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</si>
  <si>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</si>
  <si>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</si>
  <si>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</si>
  <si>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</si>
  <si>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</si>
  <si>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</si>
  <si>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</si>
  <si>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</si>
  <si>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</si>
  <si>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</si>
  <si>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</si>
  <si>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</si>
  <si>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</si>
  <si>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</si>
  <si>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</si>
  <si>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</si>
  <si>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</si>
  <si>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</si>
  <si>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</si>
  <si>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</si>
  <si>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</si>
  <si>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</si>
  <si>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</si>
  <si>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</si>
  <si>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</si>
  <si>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</si>
  <si>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</si>
  <si>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</si>
  <si>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</si>
  <si>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</si>
  <si>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</si>
  <si>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</si>
  <si>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</si>
  <si>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</si>
  <si>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</si>
  <si>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</si>
  <si>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</si>
  <si>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</si>
  <si>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</si>
  <si>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</si>
  <si>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</si>
  <si>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</si>
  <si>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</si>
  <si>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</si>
  <si>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</si>
  <si>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</si>
  <si>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</si>
  <si>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</si>
  <si>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</si>
  <si>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</si>
  <si>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</si>
  <si>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</si>
  <si>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</si>
  <si>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</si>
  <si>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</si>
  <si>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</si>
  <si>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</si>
  <si>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</si>
  <si>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</si>
  <si>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</si>
  <si>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</si>
  <si>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</si>
  <si>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</si>
  <si>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</si>
  <si>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</si>
  <si>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</si>
  <si>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</si>
  <si>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</si>
  <si>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</si>
  <si>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</si>
  <si>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</si>
  <si>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</si>
  <si>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</si>
  <si>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</si>
  <si>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</si>
  <si>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</si>
  <si>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</si>
  <si>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</si>
  <si>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</si>
  <si>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</si>
  <si>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</si>
  <si>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</si>
  <si>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</si>
  <si>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</si>
  <si>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</si>
  <si>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</si>
  <si>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</si>
  <si>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</si>
  <si>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</si>
  <si>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</si>
  <si>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</si>
  <si>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</si>
  <si>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</si>
  <si>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</si>
  <si>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</si>
  <si>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</si>
  <si>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</si>
  <si>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</si>
  <si>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</si>
  <si>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</si>
  <si>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</si>
  <si>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</si>
  <si>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</si>
  <si>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</si>
  <si>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</si>
  <si>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</si>
  <si>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</si>
  <si>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</si>
  <si>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</si>
  <si>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</si>
  <si>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</si>
  <si>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</si>
  <si>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</si>
  <si>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</si>
  <si>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</si>
  <si>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</si>
  <si>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</si>
  <si>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</si>
  <si>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</si>
  <si>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</si>
  <si>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</si>
  <si>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</si>
  <si>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</si>
  <si>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</si>
  <si>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</si>
  <si>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</si>
  <si>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</si>
  <si>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</si>
  <si>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</si>
  <si>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</si>
  <si>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</si>
  <si>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</si>
  <si>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</si>
  <si>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</si>
  <si>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</si>
  <si>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</si>
  <si>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</si>
  <si>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</si>
  <si>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</si>
  <si>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</si>
  <si>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</si>
  <si>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</si>
  <si>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</si>
  <si>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</si>
  <si>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</si>
  <si>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</si>
  <si>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</si>
  <si>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</si>
  <si>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</si>
  <si>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</si>
  <si>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</si>
  <si>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</si>
  <si>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</si>
  <si>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</si>
  <si>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</si>
  <si>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</si>
  <si>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</si>
  <si>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</si>
  <si>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</si>
  <si>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</si>
  <si>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</si>
  <si>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</si>
  <si>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</si>
  <si>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</si>
  <si>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</si>
  <si>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</si>
  <si>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</si>
  <si>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</si>
  <si>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</si>
  <si>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</si>
  <si>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</si>
  <si>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</si>
  <si>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</si>
  <si>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</si>
  <si>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</si>
  <si>
    <t>ARNOL NARAVEZ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</si>
</sst>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6">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0" fontId="5" fillId="21" borderId="0" xfId="1" applyFont="1" applyFill="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xf numFmtId="0" fontId="57" fillId="0" borderId="1" xfId="0" applyFont="1" applyBorder="1" applyAlignment="1">
      <alignment horizontal="center"/>
    </xf>
    <xf numFmtId="0" fontId="57" fillId="0" borderId="1" xfId="0" applyFont="1" applyBorder="1" applyAlignment="1">
      <alignment horizontal="center" vertical="center"/>
    </xf>
    <xf numFmtId="0" fontId="5" fillId="0" borderId="7" xfId="1" applyFont="1" applyBorder="1" applyAlignment="1">
      <alignment horizontal="center" vertical="center" wrapText="1"/>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5651" dataDxfId="5649" headerRowBorderDxfId="5650" headerRowCellStyle="Énfasis5" dataCellStyle="Normal 2">
  <autoFilter ref="A2:NX248" xr:uid="{00000000-000C-0000-FFFF-FFFF00000000}"/>
  <tableColumns count="388">
    <tableColumn id="101" xr3:uid="{00000000-0010-0000-0000-000065000000}" name="OBSERVACIONES PARA SEGUIMIENTO" dataDxfId="5648"/>
    <tableColumn id="1" xr3:uid="{00000000-0010-0000-0000-000001000000}" name=" RESPONSABLE DE LA ZONA" dataDxfId="5647"/>
    <tableColumn id="77" xr3:uid="{00000000-0010-0000-0000-00004D000000}" name="PUNTO O CENTRO DE ATENCION" dataDxfId="5646"/>
    <tableColumn id="2" xr3:uid="{00000000-0010-0000-0000-000002000000}" name="ATENCIÓN PRECONCEPCIONAL" dataDxfId="5645"/>
    <tableColumn id="3" xr3:uid="{00000000-0010-0000-0000-000003000000}" name="APELLIDO" dataDxfId="5644"/>
    <tableColumn id="4" xr3:uid="{00000000-0010-0000-0000-000004000000}" name="APELLIDO 2" dataDxfId="5643"/>
    <tableColumn id="5" xr3:uid="{00000000-0010-0000-0000-000005000000}" name="NOMBRE 1" dataDxfId="5642"/>
    <tableColumn id="6" xr3:uid="{00000000-0010-0000-0000-000006000000}" name="NOMBRE 2" dataDxfId="5641"/>
    <tableColumn id="7" xr3:uid="{00000000-0010-0000-0000-000007000000}" name="TIPO DE DOCUMENTO" dataDxfId="5640"/>
    <tableColumn id="8" xr3:uid="{00000000-0010-0000-0000-000008000000}" name="No DE IDENTIFICACION" dataDxfId="5639"/>
    <tableColumn id="9" xr3:uid="{00000000-0010-0000-0000-000009000000}" name="ESTADO CIVIL" dataDxfId="5638"/>
    <tableColumn id="10" xr3:uid="{00000000-0010-0000-0000-00000A000000}" name="OCUPACION" dataDxfId="5637"/>
    <tableColumn id="11" xr3:uid="{00000000-0010-0000-0000-00000B000000}" name="FECHA DE NACIMIENTO" dataDxfId="5636" dataCellStyle="Normal 2"/>
    <tableColumn id="12" xr3:uid="{00000000-0010-0000-0000-00000C000000}" name="EDAD ACTUAL" dataDxfId="5635" dataCellStyle="Normal 2">
      <calculatedColumnFormula>IF(M3&gt;0,SUM(TODAY()-M3)/365,"")</calculatedColumnFormula>
    </tableColumn>
    <tableColumn id="13" xr3:uid="{00000000-0010-0000-0000-00000D000000}" name="FECHA DE IDENTIFICACION DE LA GESTANTE" dataDxfId="5634" dataCellStyle="Normal 2"/>
    <tableColumn id="14" xr3:uid="{00000000-0010-0000-0000-00000E000000}" name="EFECTIVIDAD DEMANDA" dataDxfId="563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5632" dataCellStyle="Normal 2"/>
    <tableColumn id="16" xr3:uid="{00000000-0010-0000-0000-000010000000}" name="FECHA CONSULTA PRIMERA VEZ PROGRAMA CPN " dataDxfId="5631" dataCellStyle="Normal 2"/>
    <tableColumn id="24" xr3:uid="{00000000-0010-0000-0000-000018000000}" name="REGIMEN" dataDxfId="5630" dataCellStyle="Normal 2"/>
    <tableColumn id="25" xr3:uid="{00000000-0010-0000-0000-000019000000}" name="ASEGURADORA" dataDxfId="5629" dataCellStyle="Normal 2"/>
    <tableColumn id="26" xr3:uid="{00000000-0010-0000-0000-00001A000000}" name="MUNICIPIO DE RESIDENCIA" dataDxfId="5628" dataCellStyle="Normal 2"/>
    <tableColumn id="27" xr3:uid="{00000000-0010-0000-0000-00001B000000}" name="ZONA DE RESIDENCIA" dataDxfId="5627" dataCellStyle="Normal 2"/>
    <tableColumn id="28" xr3:uid="{00000000-0010-0000-0000-00001C000000}" name="VEREDA/BARRIO" dataDxfId="5626" dataCellStyle="Normal 2"/>
    <tableColumn id="29" xr3:uid="{00000000-0010-0000-0000-00001D000000}" name="DIRECCION - (ESPECIFICAR UBICACIÓN EN VEREDA)" dataDxfId="5625" dataCellStyle="Normal 2"/>
    <tableColumn id="30" xr3:uid="{00000000-0010-0000-0000-00001E000000}" name="RESGUARDO / CORREGIMIENTO / COMUNA / LOCALIDAD" dataDxfId="5624" dataCellStyle="Normal 2"/>
    <tableColumn id="31" xr3:uid="{00000000-0010-0000-0000-00001F000000}" name="TELEFONO FIJO O CELULAR" dataDxfId="5623" dataCellStyle="Normal 2"/>
    <tableColumn id="32" xr3:uid="{00000000-0010-0000-0000-000020000000}" name="TIPO DE ETNIA" dataDxfId="5622" dataCellStyle="Normal 2"/>
    <tableColumn id="33" xr3:uid="{00000000-0010-0000-0000-000021000000}" name="PUEBLO INDIGENA ESPECIFICO" dataDxfId="5621" dataCellStyle="Normal 2"/>
    <tableColumn id="34" xr3:uid="{00000000-0010-0000-0000-000022000000}" name="ESTUDIOS" dataDxfId="5620" dataCellStyle="Normal 2"/>
    <tableColumn id="68" xr3:uid="{00000000-0010-0000-0000-000044000000}" name="USO DE SUSTANCIAS PSICOACTIVAS" dataDxfId="5619" dataCellStyle="Normal 2"/>
    <tableColumn id="35" xr3:uid="{00000000-0010-0000-0000-000023000000}" name="EMBARAZO ACEPTADO Y/O  DESEADO" dataDxfId="5618" dataCellStyle="Normal 2"/>
    <tableColumn id="36" xr3:uid="{00000000-0010-0000-0000-000024000000}" name="APOYO FAMILIAR" dataDxfId="5617" dataCellStyle="Normal 2"/>
    <tableColumn id="37" xr3:uid="{00000000-0010-0000-0000-000025000000}" name="NIVEL SOCIO ECONOMICO BAJO" dataDxfId="5616" dataCellStyle="Normal 2"/>
    <tableColumn id="38" xr3:uid="{00000000-0010-0000-0000-000026000000}" name="ANSIEDAD (Tensión emocional, Humor depresivo y sx angustia)." dataDxfId="5615" dataCellStyle="Normal 2"/>
    <tableColumn id="39" xr3:uid="{00000000-0010-0000-0000-000027000000}" name="GRUPO DE POBLACION ESPECIAL" dataDxfId="5614" dataCellStyle="Normal 2"/>
    <tableColumn id="40" xr3:uid="{00000000-0010-0000-0000-000028000000}" name="HA SIDO VICTIMA DE VIOLENCIA BASADA EN GENERO" dataDxfId="5613" dataCellStyle="Normal 2"/>
    <tableColumn id="41" xr3:uid="{00000000-0010-0000-0000-000029000000}" name="RIESGO PSICOSOCIAL" dataDxfId="561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5611" dataCellStyle="Normal 2"/>
    <tableColumn id="44" xr3:uid="{00000000-0010-0000-0000-00002C000000}" name="ANTECEDENTE. PLACENTA PREVIA, ABRUPTIO DE PLACENTA, RETENCION PLACENTARIA, O HEMORRAGIA POSTPARTO" dataDxfId="5610" dataCellStyle="Normal 2"/>
    <tableColumn id="45" xr3:uid="{00000000-0010-0000-0000-00002D000000}" name="ANTECEDENTE. PESO BEBE MENOR A  2500" dataDxfId="5609" dataCellStyle="Normal 2"/>
    <tableColumn id="399" xr3:uid="{00000000-0010-0000-0000-00008F010000}" name="ANTECEDENTE. PESO BEBE MAYOR A 4000" dataDxfId="5608"/>
    <tableColumn id="47" xr3:uid="{00000000-0010-0000-0000-00002F000000}" name="ANTECEDENTE PARTO PRETERMINO" dataDxfId="5607" dataCellStyle="Normal 2"/>
    <tableColumn id="48" xr3:uid="{00000000-0010-0000-0000-000030000000}" name="ANTECEDENTE. Trabajo de Parto PROLONGADO/PARTO DIFICIL" dataDxfId="5606" dataCellStyle="Normal 2"/>
    <tableColumn id="49" xr3:uid="{00000000-0010-0000-0000-000031000000}" name="ANTECEDENTE. FLIAR PREECLAMPSIA" dataDxfId="5605" dataCellStyle="Normal 2"/>
    <tableColumn id="51" xr3:uid="{00000000-0010-0000-0000-000033000000}" name="ANTECEDENTE GRAVIDA" dataDxfId="5604" dataCellStyle="Normal 2"/>
    <tableColumn id="52" xr3:uid="{00000000-0010-0000-0000-000034000000}" name="ANTECEDENTE PARTOS" dataDxfId="5603" dataCellStyle="Normal 2"/>
    <tableColumn id="53" xr3:uid="{00000000-0010-0000-0000-000035000000}" name="ANTECEDENTE ABORTOS" dataDxfId="5602" dataCellStyle="Normal 2"/>
    <tableColumn id="54" xr3:uid="{00000000-0010-0000-0000-000036000000}" name="ANTE. 3 ABORTOS SEGUIDOS O INFERTILIDAD" dataDxfId="5601" dataCellStyle="Normal 2"/>
    <tableColumn id="55" xr3:uid="{00000000-0010-0000-0000-000037000000}" name="ANTECEDENTE CESAREAS" dataDxfId="5600" dataCellStyle="Normal 2"/>
    <tableColumn id="56" xr3:uid="{00000000-0010-0000-0000-000038000000}" name="ANTECEDENTE OBITO FETAL Y/O MUERTE PERINATAL NEONATAL TEMPRANA" dataDxfId="5599" dataCellStyle="Normal 2"/>
    <tableColumn id="57" xr3:uid="{00000000-0010-0000-0000-000039000000}" name="ANTECEDENTE EMBARAZO ECTOPICO, RECANALIZACION DE TROMPAS O CX UTERINA (MIOMECTOMIA)" dataDxfId="5598" dataCellStyle="Normal 2"/>
    <tableColumn id="58" xr3:uid="{00000000-0010-0000-0000-00003A000000}" name="ANTECEDENTE EMBARAZO MOLAR" dataDxfId="5597" dataCellStyle="Normal 2"/>
    <tableColumn id="59" xr3:uid="{00000000-0010-0000-0000-00003B000000}" name="ANTECEDENTE MUERTE NEONATAL TARDIA" dataDxfId="5596" dataCellStyle="Normal 2"/>
    <tableColumn id="222" xr3:uid="{00000000-0010-0000-0000-0000DE000000}" name="TIENE VIH PRE GESTACIONAL" dataDxfId="5595"/>
    <tableColumn id="217" xr3:uid="{00000000-0010-0000-0000-0000D9000000}" name="TIENE EPILEPSIA" dataDxfId="5594"/>
    <tableColumn id="64" xr3:uid="{00000000-0010-0000-0000-000040000000}" name="TIENE ENFERMEDADES AUTOINMUNES" dataDxfId="5593" dataCellStyle="Normal 2"/>
    <tableColumn id="65" xr3:uid="{00000000-0010-0000-0000-000041000000}" name="TIENE DIABETES MELLITUS" dataDxfId="5592" dataCellStyle="Normal 2"/>
    <tableColumn id="66" xr3:uid="{00000000-0010-0000-0000-000042000000}" name="TIENE ENFERMEDAD CARDIACA" dataDxfId="5591" dataCellStyle="Normal 2"/>
    <tableColumn id="315" xr3:uid="{00000000-0010-0000-0000-00003B010000}" name="TIENE HTA CRONICA" dataDxfId="5590" dataCellStyle="Normal 2"/>
    <tableColumn id="305" xr3:uid="{00000000-0010-0000-0000-000031010000}" name="TIENE ENF RENAL CRONICA" dataDxfId="5589" dataCellStyle="Normal 2"/>
    <tableColumn id="74" xr3:uid="{00000000-0010-0000-0000-00004A000000}" name="EN EMB ACTUAL ENFERMEDADES INFECCIOSAS AGUDAS(BACTERIANAS)" dataDxfId="5588" dataCellStyle="Normal 2"/>
    <tableColumn id="400" xr3:uid="{00000000-0010-0000-0000-000090010000}" name="EMB ACTUAL REPRODUCCIÓN ASISTIDA " dataDxfId="5587"/>
    <tableColumn id="76" xr3:uid="{00000000-0010-0000-0000-00004C000000}" name="EN EMB ACTUAL ANOMALIA CONGÉNITA" dataDxfId="5586" dataCellStyle="Normal 2"/>
    <tableColumn id="79" xr3:uid="{00000000-0010-0000-0000-00004F000000}" name=" EN EMB ACTUAL HEMORRAGIA VAGINAL &gt; 20 SEM22" dataDxfId="5585" dataCellStyle="Normal 2"/>
    <tableColumn id="81" xr3:uid="{00000000-0010-0000-0000-000051000000}" name="EN EMB ACTUAL HEMORRAGIA VAGINAL &lt; 20 SEM" dataDxfId="5584" dataCellStyle="Normal 2"/>
    <tableColumn id="87" xr3:uid="{00000000-0010-0000-0000-000057000000}" name="FECHA TERMINACIÓN ÚLTIMO EMBARAZO" dataDxfId="5583" dataCellStyle="Normal 2"/>
    <tableColumn id="89" xr3:uid="{00000000-0010-0000-0000-000059000000}" name="FUM x AMENORREA" dataDxfId="5582" dataCellStyle="Normal 2"/>
    <tableColumn id="90" xr3:uid="{00000000-0010-0000-0000-00005A000000}" name="FUM FORMULA CONFIABLE" dataDxfId="5581" dataCellStyle="Normal 2"/>
    <tableColumn id="20" xr3:uid="{00000000-0010-0000-0000-000014000000}" name="PERIODO INTERGENESICO (MESES)" dataDxfId="5580" dataCellStyle="Normal 2">
      <calculatedColumnFormula>IF(OR(BN3="SD",RW3=""),"",IF(BN3="",0,SUM(RW3-BN3)/30))</calculatedColumnFormula>
    </tableColumn>
    <tableColumn id="19" xr3:uid="{00000000-0010-0000-0000-000013000000}" name="FUM X ECO 1" dataDxfId="5579" dataCellStyle="Normal 2">
      <calculatedColumnFormula>IF(BX3&gt;0,SUM(BW3-NH3),"")</calculatedColumnFormula>
    </tableColumn>
    <tableColumn id="94" xr3:uid="{00000000-0010-0000-0000-00005E000000}" name="SEMANAS DE GESTACION AL INGRESO" dataDxfId="557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557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5576" dataCellStyle="Normal 2">
      <calculatedColumnFormula>IF(AND(BO3="",BR3=""),"",IF(SUM((TODAY()-RW3)/7)&gt;43.1,"",IF(AND(RW3&gt;0,OR(BP3="si",BP3="Corregida",BP3="NO")),SUM((TODAY()-RW3)/7),"")))</calculatedColumnFormula>
    </tableColumn>
    <tableColumn id="212" xr3:uid="{00000000-0010-0000-0000-0000D4000000}" name="Tipo de ECO 1" dataDxfId="5575" dataCellStyle="Normal 2"/>
    <tableColumn id="99" xr3:uid="{00000000-0010-0000-0000-000063000000}" name="FECHA ECO 1" dataDxfId="5574" dataCellStyle="Normal 2"/>
    <tableColumn id="100" xr3:uid="{00000000-0010-0000-0000-000064000000}" name="SEMANAS GESTACION ECO 1" dataDxfId="5573" dataCellStyle="Normal 2"/>
    <tableColumn id="216" xr3:uid="{00000000-0010-0000-0000-0000D8000000}" name="Tipo de ECO 2" dataDxfId="5572" dataCellStyle="Normal 2"/>
    <tableColumn id="104" xr3:uid="{00000000-0010-0000-0000-000068000000}" name="FECHA ECO 2" dataDxfId="5571" dataCellStyle="Normal 2"/>
    <tableColumn id="105" xr3:uid="{00000000-0010-0000-0000-000069000000}" name="SEMANAS GESTACION ECO 2" dataDxfId="5570" dataCellStyle="Normal 2"/>
    <tableColumn id="279" xr3:uid="{00000000-0010-0000-0000-000017010000}" name="EN EMB. ACTUAL  RESTRICCIÓN DEL CRECIMIENTO INTRAUTERINO" dataDxfId="5569" dataCellStyle="Normal 2"/>
    <tableColumn id="280" xr3:uid="{00000000-0010-0000-0000-000018010000}" name="TIENE EMB. MUTIPLE ACTUAL " dataDxfId="5568" dataCellStyle="Normal 2"/>
    <tableColumn id="287" xr3:uid="{00000000-0010-0000-0000-00001F010000}" name="PRESENTACION DEL FETO - ACTUALIZAR DESPUÉS DE LA SEMANA 32" dataDxfId="5567" dataCellStyle="Normal 2"/>
    <tableColumn id="293" xr3:uid="{00000000-0010-0000-0000-000025010000}" name="TIENE POLIHIDRAMNIOS" dataDxfId="5566" dataCellStyle="Normal 2"/>
    <tableColumn id="110" xr3:uid="{00000000-0010-0000-0000-00006E000000}" name="MOMENTO EN QUE SE REALIZA EL PESO AL INGRESO A CPN" dataDxfId="5565" dataCellStyle="Normal 2"/>
    <tableColumn id="111" xr3:uid="{00000000-0010-0000-0000-00006F000000}" name="TALLA EN Mts     " dataDxfId="5564" dataCellStyle="Normal 2"/>
    <tableColumn id="112" xr3:uid="{00000000-0010-0000-0000-000070000000}" name="PESO EN Kg INGRESO O PRE GESTACIONAL" dataDxfId="5563" dataCellStyle="Normal 2"/>
    <tableColumn id="113" xr3:uid="{00000000-0010-0000-0000-000071000000}" name="IMC" dataDxfId="5562" dataCellStyle="Normal 2">
      <calculatedColumnFormula>IF(AND(OR(O3&gt;0,R3&gt;0),CG3=""),"SD",IF(AND(OR(O3="",R3=""),CG3=""),"",IF(AND(OR(O3&gt;0,R3&gt;0),CG3&gt;0,CH3&gt;0),SUM(CH3)/(CG3*CG3),"X")))</calculatedColumnFormula>
    </tableColumn>
    <tableColumn id="114" xr3:uid="{00000000-0010-0000-0000-000072000000}" name="CLASIFICACION NUTRICIONAL INGRESO" dataDxfId="556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5560" dataCellStyle="Normal 2">
      <calculatedColumnFormula>DY3</calculatedColumnFormula>
    </tableColumn>
    <tableColumn id="121" xr3:uid="{00000000-0010-0000-0000-000079000000}" name="PESO EN Kg  (ACTUALIZAR CADA MES)" dataDxfId="5559" dataCellStyle="Normal 2"/>
    <tableColumn id="123" xr3:uid="{00000000-0010-0000-0000-00007B000000}" name="IMC ÚLTIMO CPN" dataDxfId="5558" dataCellStyle="Normal 2">
      <calculatedColumnFormula>IF(AND(OR(O3&gt;0,R3&gt;0),CG3=""),"SD",IF(AND(OR(O3="",R3=""),CG3=""),"",IF(AND(OR(O3&gt;0,R3&gt;0),CG3&gt;0),SUM(CL3)/(CG3*CG3),"X")))</calculatedColumnFormula>
    </tableColumn>
    <tableColumn id="124" xr3:uid="{00000000-0010-0000-0000-00007C000000}" name="SEMANAS DE GESTACION ULTIMO CPN" dataDxfId="5557" dataCellStyle="Normal 2">
      <calculatedColumnFormula>DZ3</calculatedColumnFormula>
    </tableColumn>
    <tableColumn id="125" xr3:uid="{00000000-0010-0000-0000-00007D000000}" name="CLASIFICACION SEGÚN CURVA ATALAH - ÚLTIMO CPN" dataDxfId="5556" dataCellStyle="Normal 2">
      <calculatedColumnFormula>IF(PI3="","",IF(PI3&gt;0,HLOOKUP(PI3,$PJ$2:QQ3,NY3),""))</calculatedColumnFormula>
    </tableColumn>
    <tableColumn id="117" xr3:uid="{00000000-0010-0000-0000-000075000000}" name="ALTURA UTERINA  (En cm) ACTUALIZAR CADA MES" dataDxfId="5555" dataCellStyle="Normal 2"/>
    <tableColumn id="115" xr3:uid="{00000000-0010-0000-0000-000073000000}" name="ALARMA ALTURA UTERINA" dataDxfId="555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5553" dataCellStyle="Normal 2"/>
    <tableColumn id="127" xr3:uid="{00000000-0010-0000-0000-00007F000000}" name="T.A. DIASTOLICA - ANTES DE SEMANA 12" dataDxfId="5552" dataCellStyle="Normal 2"/>
    <tableColumn id="128" xr3:uid="{00000000-0010-0000-0000-000080000000}" name="ALARMA 1 T.A.  ANTES 12 SEMANAS" dataDxfId="555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5550" dataCellStyle="Normal 2"/>
    <tableColumn id="130" xr3:uid="{00000000-0010-0000-0000-000082000000}" name="T.A. DIATOLICA (Entre semana 20 y 26)" dataDxfId="5549" dataCellStyle="Normal 2"/>
    <tableColumn id="131" xr3:uid="{00000000-0010-0000-0000-000083000000}" name="ALARMA 2 T.A.  ENTRE SEMANA 20 Y 26 " dataDxfId="554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5547"/>
    <tableColumn id="133" xr3:uid="{00000000-0010-0000-0000-000085000000}" name="TA. DIASTOLICA SEM 30 A 34" dataDxfId="5546" dataCellStyle="Normal 2"/>
    <tableColumn id="118" xr3:uid="{00000000-0010-0000-0000-000076000000}" name="ALARMA 3 T.A SEMANA 30 A 34" dataDxfId="554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5544" dataCellStyle="Normal 2"/>
    <tableColumn id="135" xr3:uid="{00000000-0010-0000-0000-000087000000}" name="TA DIASTOLICA (ACTUALIZAR CADA MES)" dataDxfId="5543" dataCellStyle="Normal 2"/>
    <tableColumn id="136" xr3:uid="{00000000-0010-0000-0000-000088000000}" name="ALARMA T. A. MENSUAL" dataDxfId="554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5541" dataCellStyle="Normal 2"/>
    <tableColumn id="138" xr3:uid="{00000000-0010-0000-0000-00008A000000}" name="FECHA ASESORIA EN ANTICONCEPCION DURANTE CPN" dataDxfId="5540" dataCellStyle="Normal 2"/>
    <tableColumn id="139" xr3:uid="{00000000-0010-0000-0000-00008B000000}" name="FECHA C2" dataDxfId="5539" dataCellStyle="Normal 2"/>
    <tableColumn id="144" xr3:uid="{00000000-0010-0000-0000-000090000000}" name="FECHA C3" dataDxfId="5538" dataCellStyle="Normal 2"/>
    <tableColumn id="145" xr3:uid="{00000000-0010-0000-0000-000091000000}" name="FECHA C4" dataDxfId="5537" dataCellStyle="Normal 2"/>
    <tableColumn id="146" xr3:uid="{00000000-0010-0000-0000-000092000000}" name="FECHA C5" dataDxfId="5536" dataCellStyle="Normal 2"/>
    <tableColumn id="147" xr3:uid="{00000000-0010-0000-0000-000093000000}" name="FECHA C6" dataDxfId="5535" dataCellStyle="Normal 2"/>
    <tableColumn id="148" xr3:uid="{00000000-0010-0000-0000-000094000000}" name="FECHA C7" dataDxfId="5534" dataCellStyle="Normal 2"/>
    <tableColumn id="149" xr3:uid="{00000000-0010-0000-0000-000095000000}" name="FECHA C8" dataDxfId="5533" dataCellStyle="Normal 2"/>
    <tableColumn id="150" xr3:uid="{00000000-0010-0000-0000-000096000000}" name="FECHA C9" dataDxfId="5532" dataCellStyle="Normal 2"/>
    <tableColumn id="151" xr3:uid="{00000000-0010-0000-0000-000097000000}" name="FECHA C10" dataDxfId="5531" dataCellStyle="Normal 2"/>
    <tableColumn id="152" xr3:uid="{00000000-0010-0000-0000-000098000000}" name="FECHA C11" dataDxfId="5530" dataCellStyle="Normal 2"/>
    <tableColumn id="153" xr3:uid="{00000000-0010-0000-0000-000099000000}" name="FECHA C12" dataDxfId="5529" dataCellStyle="Normal 2"/>
    <tableColumn id="83" xr3:uid="{00000000-0010-0000-0000-000053000000}" name="FECHA C13" dataDxfId="5528" dataCellStyle="Normal 2"/>
    <tableColumn id="341" xr3:uid="{00000000-0010-0000-0000-000055010000}" name="CURSO DE MATERNIDAD Y PATERNIDAD" dataDxfId="5527" dataCellStyle="Normal 2"/>
    <tableColumn id="342" xr3:uid="{00000000-0010-0000-0000-000056010000}" name="FECHA DE CONCERTACIÓN PLAN DE PARTO (Soporte HC)" dataDxfId="5526" dataCellStyle="Normal 2"/>
    <tableColumn id="401" xr3:uid="{00000000-0010-0000-0000-000091010000}" name="ACUERDO POSIBLE LUGAR DE NACIMIENTO (SEGÚN PLAN DE PARTO)" dataDxfId="5525" dataCellStyle="Normal 2"/>
    <tableColumn id="343" xr3:uid="{00000000-0010-0000-0000-000057010000}" name="ALERTA DE PLAN DE PARTO" dataDxfId="552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552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552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552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552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551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5518" dataCellStyle="Normal 2">
      <calculatedColumnFormula>IF(R3&gt;0,SUM(COUNTA(DF3:DQ3)+COUNTA(Tabla1[[#This Row],[FECHA CONSULTA PRIMERA VEZ PROGRAMA CPN ]])),"")</calculatedColumnFormula>
    </tableColumn>
    <tableColumn id="155" xr3:uid="{00000000-0010-0000-0000-00009B000000}" name="ADHERENCIA AL CPN" dataDxfId="5517" dataCellStyle="Normal 2">
      <calculatedColumnFormula>IF(AND(EA3&gt;=0,EA3&lt;4),"NO",IF(AND(EA3&gt;=4,EA3&lt;12),"SI",""))</calculatedColumnFormula>
    </tableColumn>
    <tableColumn id="156" xr3:uid="{00000000-0010-0000-0000-00009C000000}" name="CONTROLES PROGRAMADOS " dataDxfId="5516" dataCellStyle="Normal 2">
      <calculatedColumnFormula>IF(BS3="","",IF(BS3&gt;0,INT(SUM(((40-BS3)/4)+2)),"X"))</calculatedColumnFormula>
    </tableColumn>
    <tableColumn id="157" xr3:uid="{00000000-0010-0000-0000-00009D000000}" name="% CUMPLIM INDIVIDUAL" dataDxfId="5515" dataCellStyle="Normal 2">
      <calculatedColumnFormula>IF(EC3="","",IF(EA3&gt;0,SUM(EA3/EC3),"X"))</calculatedColumnFormula>
    </tableColumn>
    <tableColumn id="158" xr3:uid="{00000000-0010-0000-0000-00009E000000}" name="FECHA  REMISION PSICOLOGIA" dataDxfId="5514" dataCellStyle="Normal 2"/>
    <tableColumn id="159" xr3:uid="{00000000-0010-0000-0000-00009F000000}" name="FECHA ASISTENCIA A CONSULTA PSICOLOGIA" dataDxfId="5513" dataCellStyle="Normal 2"/>
    <tableColumn id="160" xr3:uid="{00000000-0010-0000-0000-0000A0000000}" name="FECHA  REMISION NUTRICION" dataDxfId="5512" dataCellStyle="Normal 2"/>
    <tableColumn id="161" xr3:uid="{00000000-0010-0000-0000-0000A1000000}" name="FECHA ASISTENCIA A CONSULTA NUTRICION" dataDxfId="5511" dataCellStyle="Normal 2"/>
    <tableColumn id="162" xr3:uid="{00000000-0010-0000-0000-0000A2000000}" name="FECHA  REMISION GINECOLOGO" dataDxfId="5510" dataCellStyle="Normal 2"/>
    <tableColumn id="163" xr3:uid="{00000000-0010-0000-0000-0000A3000000}" name="FECHA ASISTENCIA PRIMERA VEZ CON GINECOLOGÍA" dataDxfId="5509" dataCellStyle="Normal 2"/>
    <tableColumn id="250" xr3:uid="{00000000-0010-0000-0000-0000FA000000}" name="FECHA ULTIMA ASISTENCIA A CONSULTA GINECO" dataDxfId="5508" dataCellStyle="Normal 2"/>
    <tableColumn id="164" xr3:uid="{00000000-0010-0000-0000-0000A4000000}" name="No CONSULTAS GINECOLOGO" dataDxfId="5507" dataCellStyle="Normal 2"/>
    <tableColumn id="165" xr3:uid="{00000000-0010-0000-0000-0000A5000000}" name="RESULTADO HEMOGLOBINA INGRESO, ANTES DEL III TRIMESTRE" dataDxfId="5506" dataCellStyle="Normal 2"/>
    <tableColumn id="167" xr3:uid="{00000000-0010-0000-0000-0000A7000000}" name="FECHA RESULTADO HB" dataDxfId="5505" dataCellStyle="Normal 2"/>
    <tableColumn id="168" xr3:uid="{00000000-0010-0000-0000-0000A8000000}" name="EDAD GESTACIONAL HB" dataDxfId="550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550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550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5501" dataCellStyle="Normal 2"/>
    <tableColumn id="171" xr3:uid="{00000000-0010-0000-0000-0000AB000000}" name="FECHA RESULTADO HB SEM 28" dataDxfId="5500" dataCellStyle="Normal 2"/>
    <tableColumn id="172" xr3:uid="{00000000-0010-0000-0000-0000AC000000}" name="EDAD GESTACIONAL HB - SEM 28" dataDxfId="549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549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5497" dataCellStyle="Normal 2"/>
    <tableColumn id="221" xr3:uid="{00000000-0010-0000-0000-0000DD000000}" name="FECHA RESULTADO DE HEMOCLASIFICACIÓN RH Y RIESGO DE ISOINMUNIZACIÓN" dataDxfId="5496"/>
    <tableColumn id="175" xr3:uid="{00000000-0010-0000-0000-0000AF000000}" name="FECHA APLICACIÓN DE RHESUMAN" dataDxfId="5495" dataCellStyle="Normal 2"/>
    <tableColumn id="176" xr3:uid="{00000000-0010-0000-0000-0000B0000000}" name="EDAD GESTACIONAL HEMOCLASIFICACIÓN RH " dataDxfId="549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549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5492" dataCellStyle="Normal 2"/>
    <tableColumn id="179" xr3:uid="{00000000-0010-0000-0000-0000B3000000}" name="FECHA GLICEMIA" dataDxfId="5491" dataCellStyle="Normal 2"/>
    <tableColumn id="180" xr3:uid="{00000000-0010-0000-0000-0000B4000000}" name="EDAD GESTACIONAL GLICEMIA" dataDxfId="549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5489" dataCellStyle="Normal 2"/>
    <tableColumn id="185" xr3:uid="{00000000-0010-0000-0000-0000B9000000}" name="PTOG. carga 75 gr 1 HORA - VALOR" dataDxfId="5488" dataCellStyle="Normal 2"/>
    <tableColumn id="186" xr3:uid="{00000000-0010-0000-0000-0000BA000000}" name="PTOG. carga 75 gr 2 HORA - VALOR" dataDxfId="5487" dataCellStyle="Normal 2"/>
    <tableColumn id="187" xr3:uid="{00000000-0010-0000-0000-0000BB000000}" name="PTOG. carga 75 gr - RESULTADO" dataDxfId="548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5485" dataCellStyle="Normal 2"/>
    <tableColumn id="189" xr3:uid="{00000000-0010-0000-0000-0000BD000000}" name="EDAD GESTACIONAL P.T.O.G" dataDxfId="548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5483" dataCellStyle="Normal 2"/>
    <tableColumn id="200" xr3:uid="{00000000-0010-0000-0000-0000C8000000}" name="FECHA RESULTADO I TRIM" dataDxfId="5482" dataCellStyle="Normal 2"/>
    <tableColumn id="201" xr3:uid="{00000000-0010-0000-0000-0000C9000000}" name="ALARMA TAMIZAJE SIFILIS I TRIMESTRE" dataDxfId="548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5480" dataCellStyle="Normal 2"/>
    <tableColumn id="203" xr3:uid="{00000000-0010-0000-0000-0000CB000000}" name="FECHA RESULTADO PR-  II TRIM" dataDxfId="5479" dataCellStyle="Normal 2"/>
    <tableColumn id="204" xr3:uid="{00000000-0010-0000-0000-0000CC000000}" name="ALARMA TAMIZAJE SIFILIS II TRIMESTRE2" dataDxfId="547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5477" dataCellStyle="Normal 2"/>
    <tableColumn id="206" xr3:uid="{00000000-0010-0000-0000-0000CE000000}" name="FECHA RESULTADO PR-  III TRIM" dataDxfId="5476" dataCellStyle="Normal 2"/>
    <tableColumn id="207" xr3:uid="{00000000-0010-0000-0000-0000CF000000}" name="ALARMA TAMIZAJE SIFILIS III TRIMESTRE22" dataDxfId="547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5474" dataCellStyle="Normal 2"/>
    <tableColumn id="209" xr3:uid="{00000000-0010-0000-0000-0000D1000000}" name="FECHA RESULTADO PR INTRAPARTO" dataDxfId="5473" dataCellStyle="Normal 2"/>
    <tableColumn id="210" xr3:uid="{00000000-0010-0000-0000-0000D2000000}" name="ALARMA CONSOLIDADA CASOS SIFILIS GESTACIONAL" dataDxfId="547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5471" dataCellStyle="Normal 2"/>
    <tableColumn id="219" xr3:uid="{00000000-0010-0000-0000-0000DB000000}" name="FECHA RESULTADO UROCULTIVO" dataDxfId="5470" dataCellStyle="Normal 2"/>
    <tableColumn id="220" xr3:uid="{00000000-0010-0000-0000-0000DC000000}" name="EDAD GESTACIONAL UROCULTIVO" dataDxfId="546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5468" dataCellStyle="Normal 2"/>
    <tableColumn id="224" xr3:uid="{00000000-0010-0000-0000-0000E0000000}" name="FECHA RESULTADO TAMIZAJE VIH I TRIMESTRE" dataDxfId="5467" dataCellStyle="Normal 2"/>
    <tableColumn id="225" xr3:uid="{00000000-0010-0000-0000-0000E1000000}" name="ALARMA TAMIZAJE VIH - I TRIM" dataDxfId="546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5465" dataCellStyle="Normal 2"/>
    <tableColumn id="103" xr3:uid="{00000000-0010-0000-0000-000067000000}" name="FECHA RESULTADO TAMIZAJE VIH II TRIM" dataDxfId="5464" dataCellStyle="Normal 2"/>
    <tableColumn id="345" xr3:uid="{00000000-0010-0000-0000-000059010000}" name="ALARMA TAMIZAJE VIH - II TRIM" dataDxfId="546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5462" dataCellStyle="Normal 2"/>
    <tableColumn id="228" xr3:uid="{00000000-0010-0000-0000-0000E4000000}" name="FECHA RESULTADO TAMIZAJE VIH III TRIM" dataDxfId="5461" dataCellStyle="Normal 2"/>
    <tableColumn id="229" xr3:uid="{00000000-0010-0000-0000-0000E5000000}" name="ALARMA TAMIZAJE VIH - III TRIM" dataDxfId="546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5459" dataCellStyle="Normal 2"/>
    <tableColumn id="91" xr3:uid="{00000000-0010-0000-0000-00005B000000}" name="FECHA RESULTADO TAMIZAJE INTRAPARTO" dataDxfId="5458" dataCellStyle="Normal 2"/>
    <tableColumn id="84" xr3:uid="{00000000-0010-0000-0000-000054000000}" name="SEGUNDA PRUEBA ELISA O PR PARA DEFINIR DIAGNOSTICO VIH SEGÚN PROTOCOLO INS" dataDxfId="5457" dataCellStyle="Normal 2"/>
    <tableColumn id="140" xr3:uid="{00000000-0010-0000-0000-00008C000000}" name="FECHA RESULTADO SEGUNDA PRUEBA ELISA O PR PARA DEFINIR DIAGNOSTICO VIH SEGÚN PROTOCOLO INS" dataDxfId="5456" dataCellStyle="Normal 2"/>
    <tableColumn id="141" xr3:uid="{00000000-0010-0000-0000-00008D000000}" name="RESULTADO CARGA VIRAL SEGÚN PROTOCOLO INS" dataDxfId="5455" dataCellStyle="Normal 2"/>
    <tableColumn id="142" xr3:uid="{00000000-0010-0000-0000-00008E000000}" name="FECHA RESULTADO CARGA VIRAL SEGÚN PROTOCOLO INS" dataDxfId="5454" dataCellStyle="Normal 2"/>
    <tableColumn id="143" xr3:uid="{00000000-0010-0000-0000-00008F000000}" name="RESULTADO HEP B ANTIGENO SUPERFICIE" dataDxfId="5453" dataCellStyle="Normal 2"/>
    <tableColumn id="232" xr3:uid="{00000000-0010-0000-0000-0000E8000000}" name="FECHA RESULTADO H ASB" dataDxfId="5452" dataCellStyle="Normal 2"/>
    <tableColumn id="233" xr3:uid="{00000000-0010-0000-0000-0000E9000000}" name="EDAD GESTACIONAL18" dataDxfId="545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5450" dataCellStyle="Normal 2"/>
    <tableColumn id="236" xr3:uid="{00000000-0010-0000-0000-0000EC000000}" name="RESULTADO CONFIRM. TOXO. IgM" dataDxfId="5449" dataCellStyle="Normal 2"/>
    <tableColumn id="237" xr3:uid="{00000000-0010-0000-0000-0000ED000000}" name="ALARMA TOXOPLASMOSIS" dataDxfId="544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5447" dataCellStyle="Normal 2"/>
    <tableColumn id="239" xr3:uid="{00000000-0010-0000-0000-0000EF000000}" name="EDAD GESTACIONAL21" dataDxfId="544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544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5444" dataCellStyle="Normal 2"/>
    <tableColumn id="243" xr3:uid="{00000000-0010-0000-0000-0000F3000000}" name="NUMERO VECES TOMA TOXOPLASMA IgM - Control" dataDxfId="5443" dataCellStyle="Normal 2"/>
    <tableColumn id="244" xr3:uid="{00000000-0010-0000-0000-0000F4000000}" name="RESULTADO ULTIMA CITOLOGIA (SEGÚN NORMA Y VIGENTE)" dataDxfId="5442" dataCellStyle="Normal 2"/>
    <tableColumn id="363" xr3:uid="{00000000-0010-0000-0000-00006B010000}" name="TAMIZAJE PARA CHAGAS (ELISA para detección de anticuerpos IgG anti T. cruzi de antígenos totales)" dataDxfId="5441" dataCellStyle="Normal 2"/>
    <tableColumn id="368" xr3:uid="{00000000-0010-0000-0000-000070010000}" name="FECHA RESULTADO TAMIZAJE CHAGAS" dataDxfId="5440" dataCellStyle="Normal 2"/>
    <tableColumn id="356" xr3:uid="{00000000-0010-0000-0000-000064010000}" name="TAMIZAJE INICIAL DE GOTA GRUESA PARA MALARIA (En zonas endémicas)" dataDxfId="5439" dataCellStyle="Normal 2"/>
    <tableColumn id="352" xr3:uid="{00000000-0010-0000-0000-000060010000}" name="FECHA RESULTADO TAMIZAJE INICIAL GOTA GRUESA PARA MALARIA" dataDxfId="5438" dataCellStyle="Normal 2"/>
    <tableColumn id="351" xr3:uid="{00000000-0010-0000-0000-00005F010000}" name="RESULTADO ULTIMO TAMIZAJE GOTA GRUESA (Para Zonas endémicas)" dataDxfId="5437" dataCellStyle="Normal 2"/>
    <tableColumn id="346" xr3:uid="{00000000-0010-0000-0000-00005A010000}" name="NUMERO TAMIZAJES TOMADOS DE GOTA GRUESA PARA MALARIA (Debe ser mensual para zonas endémicas)" dataDxfId="5436" dataCellStyle="Normal 2"/>
    <tableColumn id="249" xr3:uid="{00000000-0010-0000-0000-0000F9000000}" name="DIAGNOSTICO POSITIVO COVID19 - INFECCIÓN POR SARS CoV2" dataDxfId="5435" dataCellStyle="Normal 2"/>
    <tableColumn id="252" xr3:uid="{00000000-0010-0000-0000-0000FC000000}" name="ENFERMEDADES PROPIAS O CULTURALES" dataDxfId="543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543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543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543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543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5429" dataCellStyle="Normal 2">
      <calculatedColumnFormula>DC3</calculatedColumnFormula>
    </tableColumn>
    <tableColumn id="196" xr3:uid="{00000000-0010-0000-0000-0000C4000000}" name="ALERTA SEGUIMIENTO2" dataDxfId="542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542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5426" dataCellStyle="Normal 2"/>
    <tableColumn id="102" xr3:uid="{00000000-0010-0000-0000-000066000000}" name="SUMINISTRO DE ASA SEGÚN GPC" dataDxfId="5425" dataCellStyle="Normal 2"/>
    <tableColumn id="119" xr3:uid="{00000000-0010-0000-0000-000077000000}" name="FECHA INICIO DE SUMINISTRO DE ASA" dataDxfId="5424" dataCellStyle="Normal 2"/>
    <tableColumn id="126" xr3:uid="{00000000-0010-0000-0000-00007E000000}" name="ALERTA SUMINISTRO DE ASA" dataDxfId="542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5422" dataCellStyle="Normal 2"/>
    <tableColumn id="181" xr3:uid="{00000000-0010-0000-0000-0000B5000000}" name="SUMINISTRO CALCIO " dataDxfId="5421" dataCellStyle="Normal 2"/>
    <tableColumn id="60" xr3:uid="{00000000-0010-0000-0000-00003C000000}" name="FECHA INICIO SUMINISTRO ACIDO FOLICO " dataDxfId="5420" dataCellStyle="Normal 2"/>
    <tableColumn id="241" xr3:uid="{00000000-0010-0000-0000-0000F1000000}" name="SUMINISTRO DE ACIDO FOLICO " dataDxfId="5419" dataCellStyle="Normal 2"/>
    <tableColumn id="256" xr3:uid="{00000000-0010-0000-0000-000000010000}" name="FECHA INICIO SUMINISTRO SULFATO FERROSO " dataDxfId="5418" dataCellStyle="Normal 2"/>
    <tableColumn id="254" xr3:uid="{00000000-0010-0000-0000-0000FE000000}" name="SUMINISTRO DE SULFATO FERROSO " dataDxfId="5417" dataCellStyle="Normal 2"/>
    <tableColumn id="63" xr3:uid="{00000000-0010-0000-0000-00003F000000}" name="FECHA CONSULTA DE 1RA VEZ POR ODONTOLOGIA" dataDxfId="5416" dataCellStyle="Normal 2"/>
    <tableColumn id="258" xr3:uid="{00000000-0010-0000-0000-000002010000}" name="SEMANAS DE GESTACION A LA CONSULTA ODONTOLOGICA" dataDxfId="541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5414" dataCellStyle="Normal 2"/>
    <tableColumn id="388" xr3:uid="{00000000-0010-0000-0000-000084010000}" name="VACUNACION COVID19" dataDxfId="5413"/>
    <tableColumn id="260" xr3:uid="{00000000-0010-0000-0000-000004010000}" name="FECHA VACUNA ANTI INFLUENZA" dataDxfId="5412" dataCellStyle="Normal 2"/>
    <tableColumn id="268" xr3:uid="{00000000-0010-0000-0000-00000C010000}" name="FECHA VACUNA DPT ACELULAR" dataDxfId="5411" dataCellStyle="Normal 2"/>
    <tableColumn id="269" xr3:uid="{00000000-0010-0000-0000-00000D010000}" name="ALARMA DPT ACELULAR" dataDxfId="541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5409" dataCellStyle="Normal 2"/>
    <tableColumn id="271" xr3:uid="{00000000-0010-0000-0000-00000F010000}" name="FPP2" dataDxfId="5408" dataCellStyle="Normal 2">
      <calculatedColumnFormula>IF(OR(BP3="SI",BP3="Corregida",BP3="NO"),(RW3+280),IF(BP3="Sin Dato","DEFINIR FPP POR ECO",""))</calculatedColumnFormula>
    </tableColumn>
    <tableColumn id="72" xr3:uid="{00000000-0010-0000-0000-000048000000}" name="DIAS PARA EL PARTO2" dataDxfId="5407" dataCellStyle="Normal 2">
      <calculatedColumnFormula>IF(OR(IG3="DEFINIR FPP POR ECO",BT3="ERROR FUM O INGRESO"),"SIN DEFINIR",IF(IG3="","",IF(IG3&gt;0,SUM(IG3-TODAY()),"X")))</calculatedColumnFormula>
    </tableColumn>
    <tableColumn id="70" xr3:uid="{00000000-0010-0000-0000-000046000000}" name="ALERTA PARA PARTO3" dataDxfId="540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5405" dataCellStyle="Normal 2"/>
    <tableColumn id="273" xr3:uid="{00000000-0010-0000-0000-000011010000}" name="SALE DEL PROGRAMA POR" dataDxfId="5404" dataCellStyle="Normal 2"/>
    <tableColumn id="275" xr3:uid="{00000000-0010-0000-0000-000013010000}" name=" EVENTO DE INTERES EN SALUD PÚBLICA DE LA MADRE" dataDxfId="5403" dataCellStyle="Normal 2"/>
    <tableColumn id="276" xr3:uid="{00000000-0010-0000-0000-000014010000}" name=" EVENTO DE INTERES EN SALUD PÚBLICA DEL RECIÉN NACIDO2" dataDxfId="5402" dataCellStyle="Normal 2"/>
    <tableColumn id="277" xr3:uid="{00000000-0010-0000-0000-000015010000}" name="FECHA DE SALIDA  DEL PROGRAMA" dataDxfId="5401" dataCellStyle="Normal 2"/>
    <tableColumn id="278" xr3:uid="{00000000-0010-0000-0000-000016010000}" name="LUGAR DE ATENCION DEL PARTO" dataDxfId="5400" dataCellStyle="Normal 2"/>
    <tableColumn id="281" xr3:uid="{00000000-0010-0000-0000-000019010000}" name="EDAD GESTACIONAL SALIDA PROGRAMA" dataDxfId="5399" dataCellStyle="Normal 2">
      <calculatedColumnFormula>IF(AND(IN3&gt;0,IK3&lt;&gt;""),SUM(IN3-RW3)/7,"")</calculatedColumnFormula>
    </tableColumn>
    <tableColumn id="282" xr3:uid="{00000000-0010-0000-0000-00001A010000}" name="NOMBRE DE LA INSTITUCION DONDE SE ATENDIO EL PARTO O LUGAR ESPECIFICO DEL PARTO SI APLICA" dataDxfId="5398" dataCellStyle="Normal 2"/>
    <tableColumn id="283" xr3:uid="{00000000-0010-0000-0000-00001B010000}" name="NIVEL DE COMPLEJIDAD DE LA ATENCION DE LA INSTITUCION DONDE SE ATENDIO EL PARTO" dataDxfId="5397" dataCellStyle="Normal 2"/>
    <tableColumn id="284" xr3:uid="{00000000-0010-0000-0000-00001C010000}" name="PROFESIONAL O PERSONA QUE ATIENDE EL PARTO" dataDxfId="5396" dataCellStyle="Normal 2"/>
    <tableColumn id="373" xr3:uid="{00000000-0010-0000-0000-000075010000}" name="INICIO TRABAJO DE PARTO" dataDxfId="5395" dataCellStyle="Normal 2"/>
    <tableColumn id="285" xr3:uid="{00000000-0010-0000-0000-00001D010000}" name="ACOMPAÑAMIENTO POR PERSONA DE CONFIANZA DURANTE TRABAJO DE PARTO Y PARTO" dataDxfId="5394" dataCellStyle="Normal 2"/>
    <tableColumn id="251" xr3:uid="{00000000-0010-0000-0000-0000FB000000}" name="DILIGENCIAMIENTO DE PARTOGRAMA (NO APLICA EN EXPULSIVO)" dataDxfId="5393" dataCellStyle="Normal 2"/>
    <tableColumn id="261" xr3:uid="{00000000-0010-0000-0000-000005010000}" name="MANEJO ACTIVO DEL TERCER PERIODO DEL PARTO (USO OXITOCINA,MASAJE UTERINO Y TRACCIÓN SOSTENIDA DE CORDÓN)2" dataDxfId="5392" dataCellStyle="Normal 2"/>
    <tableColumn id="262" xr3:uid="{00000000-0010-0000-0000-000006010000}" name="CONTACTO PIEL A PIEL DURANTE MÍNIMO 30 MINUTOS " dataDxfId="5391" dataCellStyle="Normal 2"/>
    <tableColumn id="263" xr3:uid="{00000000-0010-0000-0000-000007010000}" name="INICIO DE LACTANCIA MATERNA DURANTE EL CONTACTO PIEL A PIEL O EN LA PRIMERA HORA DE VIDA" dataDxfId="5390" dataCellStyle="Normal 2"/>
    <tableColumn id="92" xr3:uid="{00000000-0010-0000-0000-00005C000000}" name="MONITORIA CADA 15 MINUTOS DE SIGNOS VITALES DURANTES LAS PRIMERAS DOS HORAS POSTPARTO (SOPORTE EN HC - 8 VALORACIONES EN LAS PRIMERAS 2 HORAS)" dataDxfId="5389" dataCellStyle="Normal 2"/>
    <tableColumn id="264" xr3:uid="{00000000-0010-0000-0000-000008010000}" name="COMPLICACIONES POSTPARTO - HASTA 42 DÍAS" dataDxfId="5388" dataCellStyle="Normal 2"/>
    <tableColumn id="286" xr3:uid="{00000000-0010-0000-0000-00001E010000}" name="NUMERO NACIDOS VIVOS" dataDxfId="5387" dataCellStyle="Normal 2"/>
    <tableColumn id="288" xr3:uid="{00000000-0010-0000-0000-000020010000}" name="SEXO RN" dataDxfId="5386" dataCellStyle="Normal 2"/>
    <tableColumn id="289" xr3:uid="{00000000-0010-0000-0000-000021010000}" name="PESO RN  EN GRAMOS" dataDxfId="5385" dataCellStyle="Normal 2"/>
    <tableColumn id="290" xr3:uid="{00000000-0010-0000-0000-000022010000}" name="PESO AL NACER POR EDAD GESTACIONAL" dataDxfId="538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5383" dataCellStyle="Normal 2"/>
    <tableColumn id="294" xr3:uid="{00000000-0010-0000-0000-000026010000}" name="RESULTADO TSH" dataDxfId="5382" dataCellStyle="Normal 2"/>
    <tableColumn id="295" xr3:uid="{00000000-0010-0000-0000-000027010000}" name=" FECHA RESULTADO TSH" dataDxfId="5381" dataCellStyle="Normal 2"/>
    <tableColumn id="296" xr3:uid="{00000000-0010-0000-0000-000028010000}" name="APLICACIÓN DE VIT K" dataDxfId="5380" dataCellStyle="Normal 2"/>
    <tableColumn id="297" xr3:uid="{00000000-0010-0000-0000-000029010000}" name="GRUPO SANGUINEO RN" dataDxfId="5379" dataCellStyle="Normal 2"/>
    <tableColumn id="298" xr3:uid="{00000000-0010-0000-0000-00002A010000}" name="FECHA APLICACIÓN VACUNA HEPATITIS B" dataDxfId="5378" dataCellStyle="Normal 2"/>
    <tableColumn id="299" xr3:uid="{00000000-0010-0000-0000-00002B010000}" name="FECHA APLICACIÓN VACUNA BCG" dataDxfId="5377" dataCellStyle="Normal 2"/>
    <tableColumn id="300" xr3:uid="{00000000-0010-0000-0000-00002C010000}" name="SEXO RN 2" dataDxfId="5376" dataCellStyle="Normal 2"/>
    <tableColumn id="301" xr3:uid="{00000000-0010-0000-0000-00002D010000}" name="PESO RN 2 EN GRAMOS2" dataDxfId="5375" dataCellStyle="Normal 2"/>
    <tableColumn id="302" xr3:uid="{00000000-0010-0000-0000-00002E010000}" name="PESO AL NACER POR EDAD GESTACIONAL RN 2" dataDxfId="537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5373" dataCellStyle="Normal 2"/>
    <tableColumn id="306" xr3:uid="{00000000-0010-0000-0000-000032010000}" name="RESULTADO TSH 2" dataDxfId="5372" dataCellStyle="Normal 2"/>
    <tableColumn id="307" xr3:uid="{00000000-0010-0000-0000-000033010000}" name=" FECHA RESULTADO TSH 2" dataDxfId="5371" dataCellStyle="Normal 2"/>
    <tableColumn id="308" xr3:uid="{00000000-0010-0000-0000-000034010000}" name="APLICACIÓN DE VIT K 2" dataDxfId="5370" dataCellStyle="Normal 2"/>
    <tableColumn id="309" xr3:uid="{00000000-0010-0000-0000-000035010000}" name="GRUPO SANGUINEO RN 2" dataDxfId="5369" dataCellStyle="Normal 2"/>
    <tableColumn id="310" xr3:uid="{00000000-0010-0000-0000-000036010000}" name="FECHA APLICACIÓN VACUNA HEPATITIS B 2" dataDxfId="5368" dataCellStyle="Normal 2"/>
    <tableColumn id="311" xr3:uid="{00000000-0010-0000-0000-000037010000}" name="FECHA APLICACIÓN VACUNA BCG 2" dataDxfId="5367" dataCellStyle="Normal 2"/>
    <tableColumn id="312" xr3:uid="{00000000-0010-0000-0000-000038010000}" name="CONTROL RN FECHA ASISTIO " dataDxfId="5366" dataCellStyle="Normal 2"/>
    <tableColumn id="313" xr3:uid="{00000000-0010-0000-0000-000039010000}" name="ALARMA 1 CONTROL RN" dataDxfId="536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5364" dataCellStyle="Normal 2"/>
    <tableColumn id="316" xr3:uid="{00000000-0010-0000-0000-00003C010000}" name="ALARMA CONTROL PUERPERIO" dataDxfId="536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5362" dataCellStyle="Normal 2"/>
    <tableColumn id="265" xr3:uid="{00000000-0010-0000-0000-000009010000}" name="ASESORIA EN PLANIFICACIÓN FAMILIAR POST EVENTO OBSTETRICO EN AMBITO HOSPITALARIO" dataDxfId="5361" dataCellStyle="Normal 2"/>
    <tableColumn id="240" xr3:uid="{00000000-0010-0000-0000-0000F0000000}" name="PUERPERA SALE CON PLANIFICACIÓN FAMILIAR POST EVENTO OBSTETRICO " dataDxfId="5360" dataCellStyle="Normal 2"/>
    <tableColumn id="97" xr3:uid="{00000000-0010-0000-0000-000061000000}" name="FECHA INSCRIPCION A PLANIFICACION FAMILIAR2" dataDxfId="5359" dataCellStyle="Normal 2"/>
    <tableColumn id="319" xr3:uid="{00000000-0010-0000-0000-00003F010000}" name="METODO DE ANTICONCEPCION INICIADO POSTPARTO" dataDxfId="5358" dataCellStyle="Normal 2"/>
    <tableColumn id="320" xr3:uid="{00000000-0010-0000-0000-000040010000}" name="TIPO DE APOYO REALIZADO POR LA EPS" dataDxfId="5357" dataCellStyle="Normal 2"/>
    <tableColumn id="321" xr3:uid="{00000000-0010-0000-0000-000041010000}" name="TIPO DE APOYO REALIZADO POR LA IPS PRIMARIA" dataDxfId="5356" dataCellStyle="Normal 2"/>
    <tableColumn id="322" xr3:uid="{00000000-0010-0000-0000-000042010000}" name="FECHA SEGUIMIENTO INICIAL POR PERSONAL DE SALUD EN TERRENO" dataDxfId="5355" dataCellStyle="Normal 2"/>
    <tableColumn id="304" xr3:uid="{00000000-0010-0000-0000-000030010000}" name="FECHA ÚLTIMO SEGUIMIENTO" dataDxfId="5354" dataCellStyle="Normal 2"/>
    <tableColumn id="318" xr3:uid="{00000000-0010-0000-0000-00003E010000}" name="NÚMERO DE SEGUIMIENTOS CPN" dataDxfId="5353" dataCellStyle="Normal 2"/>
    <tableColumn id="183" xr3:uid="{00000000-0010-0000-0000-0000B7000000}" name="HALLAZGO GESTACIÓN SEGUIMIENTO POR VISITA DOMICILIARIA" dataDxfId="5352" dataCellStyle="Normal 2"/>
    <tableColumn id="332" xr3:uid="{00000000-0010-0000-0000-00004C010000}" name="FECHA SEGUIMIENTOS TELÉFONICOS" dataDxfId="5351" dataCellStyle="Normal 2"/>
    <tableColumn id="266" xr3:uid="{00000000-0010-0000-0000-00000A010000}" name="NÚMERO SEGUIMIENTOS TELÉFONCOS" dataDxfId="5350" dataCellStyle="Normal 2"/>
    <tableColumn id="267" xr3:uid="{00000000-0010-0000-0000-00000B010000}" name="OBSERVACIÓN SEGUIMIENTO TELÉFONCO" dataDxfId="5349" dataCellStyle="Normal 2"/>
    <tableColumn id="272" xr3:uid="{00000000-0010-0000-0000-000010010000}" name="FECHA SEGUIMIENTO POR PERSONAL DE SALUD EN TERRENO  EN PUERPERIO" dataDxfId="5348" dataCellStyle="Normal 2"/>
    <tableColumn id="344" xr3:uid="{00000000-0010-0000-0000-000058010000}" name="HALLAZGOS ACOMPAÑAMIENTO PERSONAL DE SALUD PUERPERA" dataDxfId="5347" dataCellStyle="Normal 2"/>
    <tableColumn id="347" xr3:uid="{00000000-0010-0000-0000-00005B010000}" name="HALLAZGOS ACOMPAÑAMIENTO PERSONAL DE SALUD RECIEN NACIDO" dataDxfId="5346" dataCellStyle="Normal 2"/>
    <tableColumn id="348" xr3:uid="{00000000-0010-0000-0000-00005C010000}" name="FECHA ULTIMO SEGUIMIENTO POR PERSONAL DE SALUD EN TERRENO  EN PUERPERIO" dataDxfId="5345" dataCellStyle="Normal 2"/>
    <tableColumn id="349" xr3:uid="{00000000-0010-0000-0000-00005D010000}" name="NÚMERO DE SEGUIMIENTOS EN PUERPERIO" dataDxfId="5344" dataCellStyle="Normal 2"/>
    <tableColumn id="350" xr3:uid="{00000000-0010-0000-0000-00005E010000}" name="FECHA PRIMER ACOMPAÑAMIENTO SABEDOR ANCESTRAL" dataDxfId="5343" dataCellStyle="Normal 2"/>
    <tableColumn id="22" xr3:uid="{00000000-0010-0000-0000-000016000000}" name="TIPO DE SABEDOR" dataDxfId="5342" dataCellStyle="Normal 2"/>
    <tableColumn id="191" xr3:uid="{00000000-0010-0000-0000-0000BF000000}" name="NECESIDAD O DESARMONIA DESDE LO PROPIO 1" dataDxfId="5341" dataCellStyle="Normal 2"/>
    <tableColumn id="353" xr3:uid="{00000000-0010-0000-0000-000061010000}" name="ACTIVIDAD O RITUALIDAD REALIZADA1" dataDxfId="5340" dataCellStyle="Normal 2"/>
    <tableColumn id="93" xr3:uid="{00000000-0010-0000-0000-00005D000000}" name="FECHA  ACOMPAÑAMIENTO SABEDOR ANCESTRAL2" dataDxfId="5339" dataCellStyle="Normal 2"/>
    <tableColumn id="354" xr3:uid="{00000000-0010-0000-0000-000062010000}" name="TIPO DE SABEDOR2" dataDxfId="5338" dataCellStyle="Normal 2"/>
    <tableColumn id="355" xr3:uid="{00000000-0010-0000-0000-000063010000}" name="NECESIDAD O DESARMONIA DESDE LO PROPIO 12" dataDxfId="5337" dataCellStyle="Normal 2"/>
    <tableColumn id="107" xr3:uid="{00000000-0010-0000-0000-00006B000000}" name="ACTIVIDAD O RITUALIDAD REALIZADA13" dataDxfId="5336" dataCellStyle="Normal 2"/>
    <tableColumn id="357" xr3:uid="{00000000-0010-0000-0000-000065010000}" name="FECHA ACOMPAÑAMIENTO SABEDOR ANCESTRAL3" dataDxfId="5335" dataCellStyle="Normal 2"/>
    <tableColumn id="358" xr3:uid="{00000000-0010-0000-0000-000066010000}" name="TIPO DE SABEDOR3" dataDxfId="5334" dataCellStyle="Normal 2"/>
    <tableColumn id="359" xr3:uid="{00000000-0010-0000-0000-000067010000}" name="NECESIDAD O DESARMONIA DESDE LO PROPIO 13" dataDxfId="5333" dataCellStyle="Normal 2"/>
    <tableColumn id="360" xr3:uid="{00000000-0010-0000-0000-000068010000}" name="ACTIVIDAD O RITUALIDAD REALIZADA14" dataDxfId="5332" dataCellStyle="Normal 2"/>
    <tableColumn id="361" xr3:uid="{00000000-0010-0000-0000-000069010000}" name="FECHA ACOMPAÑAMIENTO SABEDOR ANCESTRAL4" dataDxfId="5331" dataCellStyle="Normal 2"/>
    <tableColumn id="109" xr3:uid="{00000000-0010-0000-0000-00006D000000}" name="TIPO DE SABEDOR4" dataDxfId="5330" dataCellStyle="Normal 2"/>
    <tableColumn id="362" xr3:uid="{00000000-0010-0000-0000-00006A010000}" name="NECESIDAD O DESARMONIA DESDE LO PROPIO 14" dataDxfId="5329" dataCellStyle="Normal 2"/>
    <tableColumn id="364" xr3:uid="{00000000-0010-0000-0000-00006C010000}" name="ACTIVIDAD O RITUALIDAD REALIZADA15" dataDxfId="5328" dataCellStyle="Normal 2"/>
    <tableColumn id="365" xr3:uid="{00000000-0010-0000-0000-00006D010000}" name="FECHA ACOMPAÑAMIENTO SABEDOR ANCESTRAL5" dataDxfId="5327" dataCellStyle="Normal 2"/>
    <tableColumn id="366" xr3:uid="{00000000-0010-0000-0000-00006E010000}" name="TIPO DE SABEDOR5" dataDxfId="5326" dataCellStyle="Normal 2"/>
    <tableColumn id="367" xr3:uid="{00000000-0010-0000-0000-00006F010000}" name="NECESIDAD O DESARMONIA DESDE LO PROPIO 15" dataDxfId="5325" dataCellStyle="Normal 2"/>
    <tableColumn id="369" xr3:uid="{00000000-0010-0000-0000-000071010000}" name="ACTIVIDAD O RITUALIDAD REALIZADA16" dataDxfId="5324" dataCellStyle="Normal 2"/>
    <tableColumn id="370" xr3:uid="{00000000-0010-0000-0000-000072010000}" name="FECHA ACOMPAÑAMIENTO SABEDOR ANCESTRAL PUERPERIO Y RECIEN NACIDO" dataDxfId="5323" dataCellStyle="Normal 2"/>
    <tableColumn id="371" xr3:uid="{00000000-0010-0000-0000-000073010000}" name="TIPO DE SABEDOR6" dataDxfId="5322" dataCellStyle="Normal 2"/>
    <tableColumn id="372" xr3:uid="{00000000-0010-0000-0000-000074010000}" name="NECESIDAD O DESARMONIA DESDE LO PROPIO 16" dataDxfId="5321" dataCellStyle="Normal 2"/>
    <tableColumn id="69" xr3:uid="{00000000-0010-0000-0000-000045000000}" name="ACTIVIDAD O RITUALIDAD REALIZADA 6" dataDxfId="5320" dataCellStyle="Normal 2"/>
    <tableColumn id="374" xr3:uid="{00000000-0010-0000-0000-000076010000}" name="FECHA ACOMPAÑAMIENTO SABEDOR ANCESTRAL PUERPERIO Y RECIEN NACIDO2" dataDxfId="5319" dataCellStyle="Normal 2"/>
    <tableColumn id="182" xr3:uid="{00000000-0010-0000-0000-0000B6000000}" name="TIPO DE SABEDOR7" dataDxfId="5318" dataCellStyle="Normal 2"/>
    <tableColumn id="274" xr3:uid="{00000000-0010-0000-0000-000012010000}" name="NECESIDAD O DESARMONIA DESDE LO PROPIO 17" dataDxfId="5317" dataCellStyle="Normal 2"/>
    <tableColumn id="292" xr3:uid="{00000000-0010-0000-0000-000024010000}" name="ACTIVIDAD O RITUALIDAD REALIZADA18" dataDxfId="5316" dataCellStyle="Normal 2"/>
    <tableColumn id="323" xr3:uid="{00000000-0010-0000-0000-000043010000}" name="FECHA ACOMPAÑAMIENTO SABEDOR ANCESTRAL PUERPERIO Y RECIEN NACIDO22" dataDxfId="5315" dataCellStyle="Normal 2"/>
    <tableColumn id="324" xr3:uid="{00000000-0010-0000-0000-000044010000}" name="TIPO DE SABEDOR73" dataDxfId="5314" dataCellStyle="Normal 2"/>
    <tableColumn id="325" xr3:uid="{00000000-0010-0000-0000-000045010000}" name="NECESIDAD O DESARMONIA DESDE LO PROPIO 174" dataDxfId="5313" dataCellStyle="Normal 2"/>
    <tableColumn id="326" xr3:uid="{00000000-0010-0000-0000-000046010000}" name="ACTIVIDAD O RITUALIDAD REALIZADA185" dataDxfId="5312" dataCellStyle="Normal 2"/>
    <tableColumn id="327" xr3:uid="{00000000-0010-0000-0000-000047010000}" name="FECHA ACOMPAÑAMIENTO SABEDOR ANCESTRAL PUERPERIO Y RECIEN NACIDO222" dataDxfId="5311" dataCellStyle="Normal 2"/>
    <tableColumn id="328" xr3:uid="{00000000-0010-0000-0000-000048010000}" name="TIPO DE SABEDOR733" dataDxfId="5310" dataCellStyle="Normal 2"/>
    <tableColumn id="329" xr3:uid="{00000000-0010-0000-0000-000049010000}" name="NECESIDAD O DESARMONIA DESDE LO PROPIO 1744" dataDxfId="5309" dataCellStyle="Normal 2"/>
    <tableColumn id="330" xr3:uid="{00000000-0010-0000-0000-00004A010000}" name="ACTIVIDAD O RITUALIDAD REALIZADA1855" dataDxfId="5308" dataCellStyle="Normal 2"/>
    <tableColumn id="331" xr3:uid="{00000000-0010-0000-0000-00004B010000}" name="FECHA ACOMPAÑAMIENTO SABEDOR ANCESTRAL PUERPERIO Y RECIEN NACIDO2222" dataDxfId="5307" dataCellStyle="Normal 2"/>
    <tableColumn id="375" xr3:uid="{00000000-0010-0000-0000-000077010000}" name="TIPO DE SABEDOR7333" dataDxfId="5306" dataCellStyle="Normal 2"/>
    <tableColumn id="376" xr3:uid="{00000000-0010-0000-0000-000078010000}" name="NECESIDAD O DESARMONIA DESDE LO PROPIO 17444" dataDxfId="5305" dataCellStyle="Normal 2"/>
    <tableColumn id="377" xr3:uid="{00000000-0010-0000-0000-000079010000}" name="ACTIVIDAD O RITUALIDAD REALIZADA18555" dataDxfId="5304" dataCellStyle="Normal 2"/>
    <tableColumn id="383" xr3:uid="{00000000-0010-0000-0000-00007F010000}" name="TOTAL SEGUIMIENTOS POR PARTERA" dataDxfId="530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5302">
      <calculatedColumnFormula>IF(AND(R3="",O3=""),"",IF(AND(OR(O3&gt;0,R3&gt;0),KT3&gt;0),SUM(KT3-RW3)/7,""))</calculatedColumnFormula>
    </tableColumn>
    <tableColumn id="387" xr3:uid="{00000000-0010-0000-0000-000083010000}" name="TRIMESTRE DE GESTACIÓN AL PRIMER SEGUIMIENTO POR SABEDOR" dataDxfId="530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530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529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5298">
      <calculatedColumnFormula>IF(AND(O3&gt;0,RW3&gt;0),SUM(O3-RW3)/7,"")</calculatedColumnFormula>
    </tableColumn>
    <tableColumn id="184" xr3:uid="{00000000-0010-0000-0000-0000B8000000}" name="MES2 INGRESO CPN" dataDxfId="5297">
      <calculatedColumnFormula>IF(R3&gt;0,MONTH(R3),"")</calculatedColumnFormula>
    </tableColumn>
    <tableColumn id="192" xr3:uid="{00000000-0010-0000-0000-0000C0000000}" name="AÑO3 INGRESO CPN" dataDxfId="5296">
      <calculatedColumnFormula>IF(R3&gt;0,YEAR(R3),"")</calculatedColumnFormula>
    </tableColumn>
    <tableColumn id="193" xr3:uid="{00000000-0010-0000-0000-0000C1000000}" name="TRIM DEL AÑOS4 INGRESO CPN" dataDxfId="529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5294">
      <calculatedColumnFormula>IF(AND(M3&gt;0,R3&gt;0),DAYS360(M3,R3)/30.44/12,IF(AND(M3&gt;0,O3&gt;0,R3=""),DAYS360(M3,O3)/30.44/12,""))</calculatedColumnFormula>
    </tableColumn>
    <tableColumn id="198" xr3:uid="{00000000-0010-0000-0000-0000C6000000}" name="PUNTAJE ERBPS6 EDAD" dataDxfId="5293">
      <calculatedColumnFormula>IF(AND(MQ3&gt;7,MQ3&lt;14),2,IF(MQ3&lt;16,1,IF(MQ3&lt;=35,0,IF(AND(MQ3&gt;35,MQ3&lt;50),2,""))))</calculatedColumnFormula>
    </tableColumn>
    <tableColumn id="199" xr3:uid="{00000000-0010-0000-0000-0000C7000000}" name="RANGO DE EDAD INICIO7" dataDxfId="529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5291">
      <calculatedColumnFormula>IF(OR(AX3="SI",BA3="SI"),1,IF(AND(AX3="NO",BA3="NO"),0,""))</calculatedColumnFormula>
    </tableColumn>
    <tableColumn id="213" xr3:uid="{00000000-0010-0000-0000-0000D5000000}" name="PARTOS23" dataDxfId="5290">
      <calculatedColumnFormula>IF(AT3="","",IF(AT3=0,1,IF(AND(AT3&gt;=1,AT3&lt;=4),0,IF(AT3&gt;=5,2,"X"))))</calculatedColumnFormula>
    </tableColumn>
    <tableColumn id="215" xr3:uid="{00000000-0010-0000-0000-0000D7000000}" name="CESAREAS34" dataDxfId="5289">
      <calculatedColumnFormula>IF(AW3="","",IF(AW3=0,0,IF(AW3=1,1,IF(OR(AW3=2,AW3="3 o MAS"),2,"X"))))</calculatedColumnFormula>
    </tableColumn>
    <tableColumn id="227" xr3:uid="{00000000-0010-0000-0000-0000E3000000}" name="EMB ECTOP CX UTER5" dataDxfId="5288">
      <calculatedColumnFormula>IF(AY3="SI",1,IF(AY3="NO",0,""))</calculatedColumnFormula>
    </tableColumn>
    <tableColumn id="80" xr3:uid="{00000000-0010-0000-0000-000050000000}" name="PUNTAJE ANEMIA RBPS" dataDxfId="5287">
      <calculatedColumnFormula>IF(OR(AND(EM3&gt;0,EM3&lt;11),AND(ER3&gt;0,ER3&lt;10.5)),1,"")</calculatedColumnFormula>
    </tableColumn>
    <tableColumn id="78" xr3:uid="{00000000-0010-0000-0000-00004E000000}" name="PUNTAJE EMBARAZO PROLONGADO RBPS2" dataDxfId="5286">
      <calculatedColumnFormula>IF(AND(AND(BU3&gt;40.9,BU3&lt;43),IN3=""),1,"")</calculatedColumnFormula>
    </tableColumn>
    <tableColumn id="82" xr3:uid="{00000000-0010-0000-0000-000052000000}" name="PUNTAJE VIH DX ACTUAL O ANTIGUO RBPS3" dataDxfId="5285">
      <calculatedColumnFormula>IF(AND(GJ3="",GL3="",BB3=""),"",IF(OR(OR(GJ3="P.R REACTIVA",GJ3="ELISA REACTIVA"),OR(BB3="SI",GL3="POSITIVA",GL3="NO CONCLUYENTE")),3,""))</calculatedColumnFormula>
    </tableColumn>
    <tableColumn id="378" xr3:uid="{00000000-0010-0000-0000-00007A010000}" name="PUNTAJE PRESENTACIÓN RBPS4" dataDxfId="5284">
      <calculatedColumnFormula>IF(CD3="","",IF(OR(CD3="CEFÁLICA",CD3="SD"),0,IF(OR(CD3="PODÁLICA",CD3="TRANSVERSA O DE FRENTE",CD3="OBLICUA"),3,"")))</calculatedColumnFormula>
    </tableColumn>
    <tableColumn id="379" xr3:uid="{00000000-0010-0000-0000-00007B010000}" name="PUNTAJE TAMIZAJE CHAGAS RBPS5" dataDxfId="5283">
      <calculatedColumnFormula>IF(GZ3="","",IF(GZ3="POSITIVO",2,"0"))</calculatedColumnFormula>
    </tableColumn>
    <tableColumn id="380" xr3:uid="{00000000-0010-0000-0000-00007C010000}" name="PUNTAJE TAMIZAJE MALARIA RBPS6" dataDxfId="5282">
      <calculatedColumnFormula>IF(AND(HB3="",HD3=""),"",IF(OR(HB3="POSITIVO",HD3="POSITIVO"),3,0))</calculatedColumnFormula>
    </tableColumn>
    <tableColumn id="231" xr3:uid="{00000000-0010-0000-0000-0000E7000000}" name="PUNTAJE TOTAL ERBPS2" dataDxfId="528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28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5279">
      <calculatedColumnFormula>IF(AND(R3="",O3=""),"",IF(AND(OR(O3&gt;0,R3&gt;0),RW3=""),"SD",IF(AND(OR(O3&gt;0,R3&gt;0),ID3&gt;0),SUM(ID3-RW3)/7,"")))</calculatedColumnFormula>
    </tableColumn>
    <tableColumn id="17" xr3:uid="{00000000-0010-0000-0000-000011000000}" name="CUENTA RIESGO PSICOSOCIAL" dataDxfId="527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5277">
      <calculatedColumnFormula>IF(BX3&gt;0,BX3*7,"")</calculatedColumnFormula>
    </tableColumn>
    <tableColumn id="86" xr3:uid="{00000000-0010-0000-0000-000056000000}" name="DIAS2 " dataDxfId="527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5275">
      <calculatedColumnFormula>MONTH(Tabla1[[#This Row],[FECHA DE SALIDA  DEL PROGRAMA]])</calculatedColumnFormula>
    </tableColumn>
    <tableColumn id="98" xr3:uid="{00000000-0010-0000-0000-000062000000}" name="AÑO PARTO" dataDxfId="5274">
      <calculatedColumnFormula>YEAR(Tabla1[[#This Row],[FECHA DE SALIDA  DEL PROGRAMA]])</calculatedColumnFormula>
    </tableColumn>
    <tableColumn id="88" xr3:uid="{00000000-0010-0000-0000-000058000000}" name="OPORTUNIDAD CONSULTA GINECOLOGÍA (DIAS)" dataDxfId="5273">
      <calculatedColumnFormula>IF(AND(O3&gt;0,R3=""),"NO CPN",IF(AND(O3="",R3=""),"",IF(AND(R3&gt;0,EJ3&gt;0,EI3&gt;0),_xlfn.DAYS(EJ3,EI3),IF(AND(R3&gt;0,EJ3&gt;0,EI3=""),"NO CITA","X"))))</calculatedColumnFormula>
    </tableColumn>
    <tableColumn id="166" xr3:uid="{00000000-0010-0000-0000-0000A6000000}" name="GESTANTES CON RESULTADO DE EXAMENES DE INGRESO " dataDxfId="527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527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527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526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526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526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5266" dataCellStyle="Normal 2">
      <calculatedColumnFormula>COUNT(FL3,FO3,FR3,FT3)</calculatedColumnFormula>
    </tableColumn>
    <tableColumn id="392" xr3:uid="{00000000-0010-0000-0000-000088010000}" name="# DE TAMIZAJES VIH TOMADOS " dataDxfId="5265" dataCellStyle="Normal 2">
      <calculatedColumnFormula>COUNT(GA3,GD3,GG3,GI3)</calculatedColumnFormula>
    </tableColumn>
    <tableColumn id="396" xr3:uid="{00000000-0010-0000-0000-00008C010000}" name="Alarma de apoyo Tamizaje Sífilis" dataDxfId="526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526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526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526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414" t="s">
        <v>433</v>
      </c>
      <c r="B1" s="414"/>
      <c r="C1" s="414"/>
      <c r="D1" s="414"/>
      <c r="E1" s="414"/>
      <c r="F1" s="414"/>
    </row>
    <row r="2" spans="1:345" ht="44.25" customHeight="1" x14ac:dyDescent="0.3">
      <c r="A2" s="415" t="s">
        <v>553</v>
      </c>
      <c r="B2" s="415"/>
      <c r="C2" s="415"/>
      <c r="D2" s="415"/>
      <c r="E2" s="415"/>
      <c r="F2" s="415"/>
    </row>
    <row r="3" spans="1:345" ht="44.25" customHeight="1" thickBot="1" x14ac:dyDescent="0.35">
      <c r="A3" s="415" t="s">
        <v>456</v>
      </c>
      <c r="B3" s="415"/>
      <c r="C3" s="415"/>
      <c r="D3" s="415"/>
      <c r="E3" s="415"/>
      <c r="F3" s="415"/>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416" t="s">
        <v>187</v>
      </c>
      <c r="AM5" s="416"/>
      <c r="AN5" s="416"/>
      <c r="AO5" s="416"/>
      <c r="AP5" s="416"/>
      <c r="AQ5" s="416"/>
      <c r="AR5" s="416"/>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411" t="s">
        <v>458</v>
      </c>
      <c r="DG5" s="412"/>
      <c r="DH5" s="412"/>
      <c r="DI5" s="412"/>
      <c r="DJ5" s="412"/>
      <c r="DK5" s="412"/>
      <c r="DL5" s="412"/>
      <c r="DM5" s="412"/>
      <c r="DN5" s="412"/>
      <c r="DO5" s="412"/>
      <c r="DP5" s="412"/>
      <c r="DQ5" s="413"/>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417" t="s">
        <v>216</v>
      </c>
      <c r="EF5" s="418"/>
      <c r="EG5" s="418"/>
      <c r="EH5" s="418"/>
      <c r="EI5" s="419"/>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411" t="s">
        <v>246</v>
      </c>
      <c r="JN5" s="412"/>
      <c r="JO5" s="412"/>
      <c r="JP5" s="412"/>
      <c r="JQ5" s="412"/>
      <c r="JR5" s="412"/>
      <c r="JS5" s="412"/>
      <c r="JT5" s="412"/>
      <c r="JU5" s="412"/>
      <c r="JV5" s="413"/>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5260" priority="5">
      <formula>LEN(TRIM(IP4))&gt;0</formula>
    </cfRule>
  </conditionalFormatting>
  <conditionalFormatting sqref="JE4">
    <cfRule type="notContainsBlanks" dxfId="5259" priority="4">
      <formula>LEN(TRIM(JE4))&gt;0</formula>
    </cfRule>
  </conditionalFormatting>
  <conditionalFormatting sqref="JO4">
    <cfRule type="notContainsBlanks" dxfId="5258" priority="3">
      <formula>LEN(TRIM(JO4))&gt;0</formula>
    </cfRule>
  </conditionalFormatting>
  <conditionalFormatting sqref="JX4">
    <cfRule type="notContainsBlanks" dxfId="5257" priority="2">
      <formula>LEN(TRIM(JX4))&gt;0</formula>
    </cfRule>
  </conditionalFormatting>
  <conditionalFormatting sqref="JZ4">
    <cfRule type="notContainsBlanks" dxfId="5256" priority="1">
      <formula>LEN(TRIM(JZ4))&gt;0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zoomScaleNormal="100" workbookViewId="0">
      <selection activeCell="L14" sqref="L14"/>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05" t="s">
        <v>701</v>
      </c>
      <c r="C13" s="406"/>
      <c r="D13" s="407" t="s">
        <v>720</v>
      </c>
      <c r="E13" s="408"/>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1">
        <f ca="1">IFERROR((SUM(B14/B15)),"")</f>
        <v>0.25</v>
      </c>
      <c r="D14" s="157">
        <f ca="1">COUNTIFS(Tabla1[GESTANTES ACTUALES],"ACTIVA INGRESO A CPN",Tabla1[RIESGO BIOPSICOSOCIAL],"ALTO RIESGO",Tabla1[FECHA ASISTENCIA PRIMERA VEZ CON GINECOLOGÍA],"&lt;&gt;")</f>
        <v>2</v>
      </c>
      <c r="E14" s="401">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02"/>
      <c r="D15" s="157">
        <f ca="1">COUNTIFS(Tabla1[GESTANTES ACTUALES],"ACTIVA INGRESO A CPN",Tabla1[RIESGO BIOPSICOSOCIAL],"ALTO RIESGO")</f>
        <v>8</v>
      </c>
      <c r="E15" s="402"/>
      <c r="F15" s="69"/>
      <c r="G15" s="69"/>
      <c r="H15" s="69"/>
      <c r="I15" s="69"/>
      <c r="J15" s="69"/>
      <c r="K15" s="69"/>
      <c r="L15" s="69"/>
      <c r="M15" s="69"/>
    </row>
    <row r="16" spans="1:14" ht="19.5" thickBot="1" x14ac:dyDescent="0.35">
      <c r="B16" s="405" t="s">
        <v>701</v>
      </c>
      <c r="C16" s="406"/>
      <c r="D16" s="407" t="s">
        <v>720</v>
      </c>
      <c r="E16" s="408"/>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03">
        <f>IFERROR(SUM(B17/B18),"")</f>
        <v>0.20134228187919462</v>
      </c>
      <c r="D17" s="157">
        <f>COUNTIFS(Tabla1[GESTANTES ACTUALES],"ACTIVA INGRESO A CPN",Tabla1['# DE MUJERES CON SUMINISTRO ADECUADO DE MICRONUTRIENTES],"COMPLETO")</f>
        <v>30</v>
      </c>
      <c r="E17" s="403">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04"/>
      <c r="D18" s="157">
        <f>COUNTIFS(Tabla1[GESTANTES ACTUALES],"ACTIVA INGRESO A CPN")</f>
        <v>149</v>
      </c>
      <c r="E18" s="404"/>
      <c r="F18" s="69"/>
      <c r="G18" s="69"/>
      <c r="H18" s="69"/>
      <c r="I18" s="69"/>
      <c r="J18" s="69"/>
      <c r="K18" s="69"/>
      <c r="L18" s="69"/>
      <c r="M18" s="69"/>
    </row>
    <row r="19" spans="1:13" ht="19.5" thickBot="1" x14ac:dyDescent="0.35">
      <c r="B19" s="405" t="s">
        <v>701</v>
      </c>
      <c r="C19" s="406"/>
      <c r="D19" s="407" t="s">
        <v>720</v>
      </c>
      <c r="E19" s="408"/>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09">
        <f ca="1">IFERROR(SUM(B20/B21),"")</f>
        <v>2.6845637583892617E-2</v>
      </c>
      <c r="D20" s="157">
        <f ca="1">COUNTIFS(Tabla1[GESTANTES ACTUALES],"ACTIVA INGRESO A CPN",Tabla1[Alarma de apoyo Tamizaje Sífilis],"COMPLETO")</f>
        <v>4</v>
      </c>
      <c r="E20" s="409">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10"/>
      <c r="D21" s="157">
        <f>COUNTIFS(Tabla1[GESTANTES ACTUALES],"ACTIVA INGRESO A CPN")</f>
        <v>149</v>
      </c>
      <c r="E21" s="410"/>
      <c r="F21" s="69"/>
      <c r="G21" s="69"/>
      <c r="H21" s="69"/>
      <c r="I21" s="69"/>
      <c r="J21" s="69"/>
      <c r="K21" s="69"/>
      <c r="L21" s="69"/>
      <c r="M21" s="69"/>
    </row>
    <row r="22" spans="1:13" ht="19.5" thickBot="1" x14ac:dyDescent="0.35">
      <c r="B22" s="405" t="s">
        <v>701</v>
      </c>
      <c r="C22" s="406"/>
      <c r="D22" s="407" t="s">
        <v>720</v>
      </c>
      <c r="E22" s="408"/>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09">
        <f ca="1">IFERROR(SUM(B23/B24),"")</f>
        <v>3.3557046979865772E-2</v>
      </c>
      <c r="D23" s="157">
        <f ca="1">COUNTIFS(Tabla1[GESTANTES ACTUALES],"ACTIVA INGRESO A CPN",Tabla1[Alarma de apoyo Tamizaje VIH],"COMPLETO")</f>
        <v>5</v>
      </c>
      <c r="E23" s="409">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10"/>
      <c r="D24" s="157">
        <f>COUNTIFS(Tabla1[GESTANTES ACTUALES],"ACTIVA INGRESO A CPN")</f>
        <v>149</v>
      </c>
      <c r="E24" s="410"/>
      <c r="F24" s="69"/>
      <c r="G24" s="69"/>
      <c r="H24" s="69"/>
      <c r="I24" s="69"/>
      <c r="J24" s="69"/>
      <c r="K24" s="69"/>
      <c r="L24" s="69"/>
      <c r="M24" s="69"/>
    </row>
    <row r="25" spans="1:13" ht="19.5" thickBot="1" x14ac:dyDescent="0.35">
      <c r="B25" s="405" t="s">
        <v>701</v>
      </c>
      <c r="C25" s="406"/>
      <c r="D25" s="407" t="s">
        <v>720</v>
      </c>
      <c r="E25" s="408"/>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09">
        <f ca="1">IFERROR(SUM(B26/B27),"")</f>
        <v>0</v>
      </c>
      <c r="D26" s="157">
        <f ca="1">COUNTIFS(Tabla1[GESTANTES ACTUALES],"ACTIVA INGRESO A CPN",Tabla1[SEMANAS DE GESTACION ACTUALIZADAS],"&gt;36",Tabla1[SEMANAS DE GESTACION ACTUALIZADAS],"&lt;44",Tabla1[FECHA DE CONCERTACIÓN PLAN DE PARTO (Soporte HC)],"&lt;&gt;")</f>
        <v>0</v>
      </c>
      <c r="E26" s="409">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10"/>
      <c r="D27" s="157">
        <f ca="1">COUNTIFS(Tabla1[GESTANTES ACTUALES],"ACTIVA INGRESO A CPN",Tabla1[SEMANAS DE GESTACION ACTUALIZADAS],"&gt;36",Tabla1[SEMANAS DE GESTACION ACTUALIZADAS],"&lt;44")</f>
        <v>36</v>
      </c>
      <c r="E27" s="410"/>
      <c r="F27" s="69"/>
      <c r="G27" s="69"/>
      <c r="H27" s="69"/>
      <c r="I27" s="69"/>
      <c r="J27" s="69"/>
      <c r="K27" s="69"/>
      <c r="L27" s="69"/>
      <c r="M27" s="69"/>
    </row>
    <row r="28" spans="1:13" ht="19.5" thickBot="1" x14ac:dyDescent="0.35">
      <c r="B28" s="405" t="s">
        <v>701</v>
      </c>
      <c r="C28" s="406"/>
      <c r="D28" s="407" t="s">
        <v>720</v>
      </c>
      <c r="E28" s="408"/>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09">
        <f ca="1">IFERROR(SUM(B29/B30),"")</f>
        <v>0.1111111111111111</v>
      </c>
      <c r="D29" s="157">
        <f ca="1">COUNTIFS(Tabla1[GESTANTES ACTUALES],"ACTIVA INGRESO A CPN",Tabla1[SEMANAS DE GESTACION ACTUALIZADAS],"&gt;36",Tabla1[SEMANAS DE GESTACION ACTUALIZADAS],"&lt;44",Tabla1[FECHA VACUNA DPT ACELULAR],"&lt;&gt;")</f>
        <v>4</v>
      </c>
      <c r="E29" s="409">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10"/>
      <c r="D30" s="157">
        <f ca="1">COUNTIFS(Tabla1[GESTANTES ACTUALES],"ACTIVA INGRESO A CPN",Tabla1[SEMANAS DE GESTACION ACTUALIZADAS],"&gt;36",Tabla1[SEMANAS DE GESTACION ACTUALIZADAS],"&lt;44")</f>
        <v>36</v>
      </c>
      <c r="E30" s="410"/>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395"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396"/>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397"/>
      <c r="C133" s="398"/>
      <c r="D133" s="398"/>
      <c r="E133" s="398"/>
      <c r="F133" s="398"/>
      <c r="G133" s="398"/>
      <c r="H133" s="398"/>
      <c r="I133" s="398"/>
      <c r="J133" s="398"/>
      <c r="K133" s="398"/>
      <c r="L133" s="398"/>
      <c r="M133" s="398"/>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397"/>
      <c r="C135" s="398"/>
      <c r="D135" s="398"/>
      <c r="E135" s="398"/>
      <c r="F135" s="398"/>
      <c r="G135" s="398"/>
      <c r="H135" s="398"/>
      <c r="I135" s="398"/>
      <c r="J135" s="398"/>
      <c r="K135" s="398"/>
      <c r="L135" s="398"/>
      <c r="M135" s="398"/>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399"/>
      <c r="C137" s="400"/>
      <c r="D137" s="400"/>
      <c r="E137" s="400"/>
      <c r="F137" s="400"/>
      <c r="G137" s="400"/>
      <c r="H137" s="400"/>
      <c r="I137" s="400"/>
      <c r="J137" s="400"/>
      <c r="K137" s="400"/>
      <c r="L137" s="400"/>
      <c r="M137" s="400"/>
      <c r="N137" s="141">
        <f>IF(N$128=0,"",SUM((N136/N$128)*100000))</f>
        <v>0</v>
      </c>
    </row>
    <row r="138" spans="1:14" ht="26.25" thickBot="1" x14ac:dyDescent="0.3">
      <c r="A138" s="137" t="s">
        <v>637</v>
      </c>
      <c r="B138" s="399" t="str">
        <f t="shared" ref="B138:N138" si="42">IF(B$136=0,"",SUM(B134/B136))</f>
        <v/>
      </c>
      <c r="C138" s="400" t="str">
        <f t="shared" si="42"/>
        <v/>
      </c>
      <c r="D138" s="400" t="str">
        <f t="shared" si="42"/>
        <v/>
      </c>
      <c r="E138" s="400" t="str">
        <f t="shared" si="42"/>
        <v/>
      </c>
      <c r="F138" s="400" t="str">
        <f t="shared" si="42"/>
        <v/>
      </c>
      <c r="G138" s="400" t="str">
        <f t="shared" si="42"/>
        <v/>
      </c>
      <c r="H138" s="400" t="str">
        <f t="shared" si="42"/>
        <v/>
      </c>
      <c r="I138" s="400" t="str">
        <f t="shared" si="42"/>
        <v/>
      </c>
      <c r="J138" s="400" t="str">
        <f t="shared" si="42"/>
        <v/>
      </c>
      <c r="K138" s="400" t="str">
        <f t="shared" si="42"/>
        <v/>
      </c>
      <c r="L138" s="400" t="str">
        <f t="shared" si="42"/>
        <v/>
      </c>
      <c r="M138" s="400"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393" t="str">
        <f>IF(B$139=0,"",SUM(B136/B139))</f>
        <v/>
      </c>
      <c r="C140" s="394"/>
      <c r="D140" s="394"/>
      <c r="E140" s="394"/>
      <c r="F140" s="394"/>
      <c r="G140" s="394"/>
      <c r="H140" s="394"/>
      <c r="I140" s="394"/>
      <c r="J140" s="394"/>
      <c r="K140" s="394"/>
      <c r="L140" s="394"/>
      <c r="M140" s="394"/>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28:C28"/>
    <mergeCell ref="D28:E28"/>
    <mergeCell ref="C29:C30"/>
    <mergeCell ref="E29:E30"/>
    <mergeCell ref="C23:C24"/>
    <mergeCell ref="E23:E24"/>
    <mergeCell ref="B25:C25"/>
    <mergeCell ref="D25:E25"/>
    <mergeCell ref="C26:C27"/>
    <mergeCell ref="E26:E27"/>
    <mergeCell ref="B19:C19"/>
    <mergeCell ref="D19:E19"/>
    <mergeCell ref="C20:C21"/>
    <mergeCell ref="E20:E21"/>
    <mergeCell ref="B22:C22"/>
    <mergeCell ref="D22:E22"/>
    <mergeCell ref="C14:C15"/>
    <mergeCell ref="C17:C18"/>
    <mergeCell ref="E14:E15"/>
    <mergeCell ref="B13:C13"/>
    <mergeCell ref="D13:E13"/>
    <mergeCell ref="E17:E18"/>
    <mergeCell ref="B16:C16"/>
    <mergeCell ref="D16:E16"/>
    <mergeCell ref="B140:M140"/>
    <mergeCell ref="N35:N36"/>
    <mergeCell ref="B133:M133"/>
    <mergeCell ref="B135:M135"/>
    <mergeCell ref="B137:M137"/>
    <mergeCell ref="B138:M138"/>
  </mergeCells>
  <conditionalFormatting sqref="A33">
    <cfRule type="containsText" dxfId="5255" priority="45" operator="containsText" text="SE TRASLADO DE EPS">
      <formula>NOT(ISERROR(SEARCH("SE TRASLADO DE EPS",A33)))</formula>
    </cfRule>
    <cfRule type="containsText" dxfId="5254" priority="46" operator="containsText" text="INMIGRANTE VENEZOLANA">
      <formula>NOT(ISERROR(SEARCH("INMIGRANTE VENEZOLANA",A33)))</formula>
    </cfRule>
    <cfRule type="containsText" dxfId="5253" priority="47" operator="containsText" text="SIN AFILIACIÓN A EPS">
      <formula>NOT(ISERROR(SEARCH("SIN AFILIACIÓN A EPS",A33)))</formula>
    </cfRule>
    <cfRule type="containsText" dxfId="5252" priority="48" operator="containsText" text="NOVEDAD">
      <formula>NOT(ISERROR(SEARCH("NOVEDAD",A33)))</formula>
    </cfRule>
    <cfRule type="containsText" dxfId="5251" priority="49" operator="containsText" text="IDENTIDAD">
      <formula>NOT(ISERROR(SEARCH("IDENTIDAD",A33)))</formula>
    </cfRule>
    <cfRule type="containsText" dxfId="5250" priority="50" operator="containsText" text="CPN">
      <formula>NOT(ISERROR(SEARCH("CPN",A33)))</formula>
    </cfRule>
    <cfRule type="containsText" dxfId="5249" priority="51" operator="containsText" text="VIENE">
      <formula>NOT(ISERROR(SEARCH("VIENE",A33)))</formula>
    </cfRule>
    <cfRule type="cellIs" dxfId="5248" priority="52" operator="equal">
      <formula>"TRAMITE DE PORTABILIDAD"</formula>
    </cfRule>
  </conditionalFormatting>
  <conditionalFormatting sqref="A39">
    <cfRule type="containsText" dxfId="5247" priority="9" operator="containsText" text="SE TRASLADO DE EPS">
      <formula>NOT(ISERROR(SEARCH("SE TRASLADO DE EPS",A39)))</formula>
    </cfRule>
    <cfRule type="containsText" dxfId="5246" priority="10" operator="containsText" text="INMIGRANTE VENEZOLANA">
      <formula>NOT(ISERROR(SEARCH("INMIGRANTE VENEZOLANA",A39)))</formula>
    </cfRule>
    <cfRule type="containsText" dxfId="5245" priority="11" operator="containsText" text="SIN AFILIACIÓN A EPS">
      <formula>NOT(ISERROR(SEARCH("SIN AFILIACIÓN A EPS",A39)))</formula>
    </cfRule>
    <cfRule type="containsText" dxfId="5244" priority="12" operator="containsText" text="NOVEDAD">
      <formula>NOT(ISERROR(SEARCH("NOVEDAD",A39)))</formula>
    </cfRule>
    <cfRule type="containsText" dxfId="5243" priority="13" operator="containsText" text="IDENTIDAD">
      <formula>NOT(ISERROR(SEARCH("IDENTIDAD",A39)))</formula>
    </cfRule>
    <cfRule type="containsText" dxfId="5242" priority="14" operator="containsText" text="CPN">
      <formula>NOT(ISERROR(SEARCH("CPN",A39)))</formula>
    </cfRule>
    <cfRule type="containsText" dxfId="5241" priority="15" operator="containsText" text="VIENE">
      <formula>NOT(ISERROR(SEARCH("VIENE",A39)))</formula>
    </cfRule>
    <cfRule type="cellIs" dxfId="5240"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zoomScale="70" zoomScaleNormal="70" zoomScaleSheetLayoutView="76" workbookViewId="0">
      <pane ySplit="2" topLeftCell="A3" activePane="bottomLeft" state="frozen"/>
      <selection pane="bottomLeft" activeCell="I8" sqref="I8"/>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40.710937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4"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4"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 min="494" max="16384" width="11.42578125" style="1"/>
  </cols>
  <sheetData>
    <row r="1" spans="1:493" ht="51.75"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2"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2"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2"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2"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2"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8"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1"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9"/>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t="s">
        <v>2061</v>
      </c>
      <c r="C4" s="43" t="s">
        <v>845</v>
      </c>
      <c r="D4" s="124" t="s">
        <v>846</v>
      </c>
      <c r="E4" s="43" t="s">
        <v>847</v>
      </c>
      <c r="F4" s="43" t="s">
        <v>848</v>
      </c>
      <c r="G4" s="43" t="s">
        <v>849</v>
      </c>
      <c r="H4" s="43" t="s">
        <v>850</v>
      </c>
      <c r="I4" s="109" t="s">
        <v>851</v>
      </c>
      <c r="J4" s="110">
        <v>1002848782</v>
      </c>
      <c r="K4" s="43" t="s">
        <v>852</v>
      </c>
      <c r="L4" s="175" t="s">
        <v>853</v>
      </c>
      <c r="M4" s="22">
        <v>37086</v>
      </c>
      <c r="N4" s="213">
        <f t="shared" ca="1" si="0"/>
        <v>22.317808219178083</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t="str">
        <f t="shared" ca="1" si="43"/>
        <v>***************************************</v>
      </c>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-139</v>
      </c>
      <c r="II4" s="22" t="str">
        <f t="shared" ca="1" si="52"/>
        <v>POSIBLEMENTE NACIO</v>
      </c>
      <c r="IJ4" s="22"/>
      <c r="IK4" s="21" t="s">
        <v>898</v>
      </c>
      <c r="IL4" s="21"/>
      <c r="IM4" s="34"/>
      <c r="IN4" s="349">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21.476712328767125</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t="str">
        <f t="shared" ca="1" si="43"/>
        <v>**********************MULTIPARIDAD*****************</v>
      </c>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-223</v>
      </c>
      <c r="II5" s="22" t="str">
        <f t="shared" ca="1" si="52"/>
        <v>POSIBLEMENTE NACIO</v>
      </c>
      <c r="IJ5" s="22"/>
      <c r="IK5" s="21" t="s">
        <v>898</v>
      </c>
      <c r="IL5" s="21"/>
      <c r="IM5" s="34"/>
      <c r="IN5" s="349">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20.043835616438358</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t="str">
        <f t="shared" ca="1" si="43"/>
        <v>**********************MULTIPARIDAD*****************</v>
      </c>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-231</v>
      </c>
      <c r="II6" s="22" t="str">
        <f t="shared" ca="1" si="52"/>
        <v>POSIBLEMENTE NACIO</v>
      </c>
      <c r="IJ6" s="22"/>
      <c r="IK6" s="21" t="s">
        <v>898</v>
      </c>
      <c r="IL6" s="21"/>
      <c r="IM6" s="34"/>
      <c r="IN6" s="349">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36.142465753424659</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t="str">
        <f t="shared" ca="1" si="43"/>
        <v>*********************MULTIPARIDAD******************</v>
      </c>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-212</v>
      </c>
      <c r="II7" s="22" t="str">
        <f t="shared" ca="1" si="52"/>
        <v>POSIBLEMENTE NACIO</v>
      </c>
      <c r="IJ7" s="22"/>
      <c r="IK7" s="21" t="s">
        <v>898</v>
      </c>
      <c r="IL7" s="21"/>
      <c r="IM7" s="34"/>
      <c r="IN7" s="349">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21.290410958904111</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t="str">
        <f t="shared" ca="1" si="43"/>
        <v>***************************************</v>
      </c>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-226</v>
      </c>
      <c r="II8" s="22" t="str">
        <f t="shared" ca="1" si="52"/>
        <v>POSIBLEMENTE NACIO</v>
      </c>
      <c r="IJ8" s="22"/>
      <c r="IK8" s="21" t="s">
        <v>898</v>
      </c>
      <c r="IL8" s="21"/>
      <c r="IM8" s="34"/>
      <c r="IN8" s="349">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19.915068493150685</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t="str">
        <f t="shared" ca="1" si="43"/>
        <v>**********************MULTIPARIDAD*****************</v>
      </c>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-226.5</v>
      </c>
      <c r="II9" s="22" t="str">
        <f t="shared" ca="1" si="52"/>
        <v>POSIBLEMENTE NACIO</v>
      </c>
      <c r="IJ9" s="22"/>
      <c r="IK9" s="21" t="s">
        <v>898</v>
      </c>
      <c r="IL9" s="21"/>
      <c r="IM9" s="34"/>
      <c r="IN9" s="349">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25.536986301369861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t="str">
        <f t="shared" ca="1" si="43"/>
        <v>***************************************</v>
      </c>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-221</v>
      </c>
      <c r="II10" s="22" t="str">
        <f t="shared" ca="1" si="52"/>
        <v>POSIBLEMENTE NACIO</v>
      </c>
      <c r="IJ10" s="22"/>
      <c r="IK10" s="21" t="s">
        <v>1652</v>
      </c>
      <c r="IL10" s="21"/>
      <c r="IM10" s="34"/>
      <c r="IN10" s="349">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20.038356164383561</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t="str">
        <f t="shared" ca="1" si="43"/>
        <v>**********************MULTIPARIDAD*****************</v>
      </c>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-179</v>
      </c>
      <c r="II11" s="22" t="str">
        <f t="shared" ca="1" si="52"/>
        <v>POSIBLEMENTE NACIO</v>
      </c>
      <c r="IJ11" s="22"/>
      <c r="IK11" s="21" t="s">
        <v>1652</v>
      </c>
      <c r="IL11" s="21"/>
      <c r="IM11" s="34"/>
      <c r="IN11" s="349">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43.394520547945206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t="str">
        <f t="shared" ca="1" si="43"/>
        <v>************************RIESGO POR EDAD***************</v>
      </c>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-211.09999999999854</v>
      </c>
      <c r="II12" s="22" t="str">
        <f t="shared" ca="1" si="52"/>
        <v>POSIBLEMENTE NACIO</v>
      </c>
      <c r="IJ12" s="22"/>
      <c r="IK12" s="21" t="s">
        <v>1652</v>
      </c>
      <c r="IL12" s="21"/>
      <c r="IM12" s="34"/>
      <c r="IN12" s="349">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27.517808219178082</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t="str">
        <f t="shared" ca="1" si="43"/>
        <v>**************EMBARAZO GEMELAR*************************</v>
      </c>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-233</v>
      </c>
      <c r="II13" s="22" t="str">
        <f t="shared" ca="1" si="52"/>
        <v>POSIBLEMENTE NACIO</v>
      </c>
      <c r="IJ13" s="22"/>
      <c r="IK13" s="21" t="s">
        <v>898</v>
      </c>
      <c r="IL13" s="21"/>
      <c r="IM13" s="34"/>
      <c r="IN13" s="349">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27.575342465753426</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t="str">
        <f t="shared" ca="1" si="43"/>
        <v>**********************MULTIPARIDAD*****************</v>
      </c>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-194</v>
      </c>
      <c r="II14" s="22" t="str">
        <f t="shared" ca="1" si="52"/>
        <v>POSIBLEMENTE NACIO</v>
      </c>
      <c r="IJ14" s="22">
        <v>44814</v>
      </c>
      <c r="IK14" s="21"/>
      <c r="IL14" s="21"/>
      <c r="IM14" s="34"/>
      <c r="IN14" s="349"/>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21.931506849315067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t="str">
        <f t="shared" ca="1" si="43"/>
        <v>**********************MULTIPARIDAD*****************</v>
      </c>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-192</v>
      </c>
      <c r="II15" s="22" t="str">
        <f t="shared" ca="1" si="52"/>
        <v>POSIBLEMENTE NACIO</v>
      </c>
      <c r="IJ15" s="22"/>
      <c r="IK15" s="21" t="s">
        <v>1652</v>
      </c>
      <c r="IL15" s="21"/>
      <c r="IM15" s="34"/>
      <c r="IN15" s="349">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23.997260273972604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t="str">
        <f t="shared" ca="1" si="43"/>
        <v>**********************MULTIPARIDAD*****************</v>
      </c>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-235</v>
      </c>
      <c r="II16" s="22" t="str">
        <f t="shared" ca="1" si="52"/>
        <v>POSIBLEMENTE NACIO</v>
      </c>
      <c r="IJ16" s="22"/>
      <c r="IK16" s="21"/>
      <c r="IL16" s="21"/>
      <c r="IM16" s="34"/>
      <c r="IN16" s="349"/>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27.994520547945207</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t="str">
        <f t="shared" ca="1" si="43"/>
        <v>***************************************</v>
      </c>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-279</v>
      </c>
      <c r="II17" s="22" t="str">
        <f t="shared" ca="1" si="52"/>
        <v>POSIBLEMENTE NACIO</v>
      </c>
      <c r="IJ17" s="22"/>
      <c r="IK17" s="21"/>
      <c r="IL17" s="21"/>
      <c r="IM17" s="34"/>
      <c r="IN17" s="349"/>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19.983561643835618</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t="str">
        <f t="shared" ca="1" si="43"/>
        <v>**********************MULTIPARIDAD*****************</v>
      </c>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-182</v>
      </c>
      <c r="II18" s="22" t="str">
        <f t="shared" ca="1" si="52"/>
        <v>POSIBLEMENTE NACIO</v>
      </c>
      <c r="IJ18" s="22">
        <v>44834</v>
      </c>
      <c r="IK18" s="21" t="s">
        <v>959</v>
      </c>
      <c r="IL18" s="21"/>
      <c r="IM18" s="34"/>
      <c r="IN18" s="349"/>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24.739726027397261</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t="str">
        <f t="shared" ca="1" si="43"/>
        <v>*****INFERTILIDAD*****************MULTIPARIDAD*****************</v>
      </c>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-166</v>
      </c>
      <c r="II19" s="22" t="str">
        <f t="shared" ca="1" si="52"/>
        <v>POSIBLEMENTE NACIO</v>
      </c>
      <c r="IJ19" s="22"/>
      <c r="IK19" s="21" t="s">
        <v>898</v>
      </c>
      <c r="IL19" s="21"/>
      <c r="IM19" s="34"/>
      <c r="IN19" s="349">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24.054794520547944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4">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t="str">
        <f t="shared" ca="1" si="43"/>
        <v>**********************MULTIPARIDAD*****************</v>
      </c>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-160</v>
      </c>
      <c r="II20" s="22" t="str">
        <f t="shared" ca="1" si="52"/>
        <v>POSIBLEMENTE NACIO</v>
      </c>
      <c r="IJ20" s="22"/>
      <c r="IK20" s="21" t="s">
        <v>898</v>
      </c>
      <c r="IL20" s="21"/>
      <c r="IM20" s="34"/>
      <c r="IN20" s="349">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16.139726027397259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t="str">
        <f t="shared" ca="1" si="43"/>
        <v>**********************MULTIPARIDAD**RIESGO POR EDAD***************</v>
      </c>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-224</v>
      </c>
      <c r="II21" s="22" t="str">
        <f t="shared" ca="1" si="52"/>
        <v>POSIBLEMENTE NACIO</v>
      </c>
      <c r="IJ21" s="22"/>
      <c r="IK21" s="21" t="s">
        <v>898</v>
      </c>
      <c r="IL21" s="21"/>
      <c r="IM21" s="34"/>
      <c r="IN21" s="349">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23.18082191780822</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t="str">
        <f t="shared" ca="1" si="43"/>
        <v>***************************************</v>
      </c>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-163</v>
      </c>
      <c r="II22" s="22" t="str">
        <f t="shared" ca="1" si="52"/>
        <v>POSIBLEMENTE NACIO</v>
      </c>
      <c r="IJ22" s="22"/>
      <c r="IK22" s="21" t="s">
        <v>898</v>
      </c>
      <c r="IL22" s="21"/>
      <c r="IM22" s="34"/>
      <c r="IN22" s="349">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18.56986301369863</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t="str">
        <f t="shared" ca="1" si="43"/>
        <v>**********************MULTIPARIDAD*****************</v>
      </c>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-149</v>
      </c>
      <c r="II23" s="22" t="str">
        <f t="shared" ca="1" si="52"/>
        <v>POSIBLEMENTE NACIO</v>
      </c>
      <c r="IJ23" s="22"/>
      <c r="IK23" s="21" t="s">
        <v>898</v>
      </c>
      <c r="IL23" s="21"/>
      <c r="IM23" s="34"/>
      <c r="IN23" s="349">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36.482191780821921</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t="str">
        <f t="shared" ca="1" si="43"/>
        <v>***************************************</v>
      </c>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-258</v>
      </c>
      <c r="II24" s="22" t="str">
        <f t="shared" ca="1" si="52"/>
        <v>POSIBLEMENTE NACIO</v>
      </c>
      <c r="IJ24" s="22"/>
      <c r="IK24" s="21" t="s">
        <v>1652</v>
      </c>
      <c r="IL24" s="21"/>
      <c r="IM24" s="34"/>
      <c r="IN24" s="349">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24.778082191780822</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t="str">
        <f t="shared" ca="1" si="43"/>
        <v>**********************MULTIPARIDAD*****************</v>
      </c>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-178</v>
      </c>
      <c r="II25" s="22" t="str">
        <f t="shared" ca="1" si="52"/>
        <v>POSIBLEMENTE NACIO</v>
      </c>
      <c r="IJ25" s="22"/>
      <c r="IK25" s="21" t="s">
        <v>898</v>
      </c>
      <c r="IL25" s="21"/>
      <c r="IM25" s="34"/>
      <c r="IN25" s="349">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28.5013698630137</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t="str">
        <f t="shared" ca="1" si="43"/>
        <v>***************************************</v>
      </c>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-159</v>
      </c>
      <c r="II26" s="22" t="str">
        <f t="shared" ca="1" si="52"/>
        <v>POSIBLEMENTE NACIO</v>
      </c>
      <c r="IJ26" s="22"/>
      <c r="IK26" s="21" t="s">
        <v>898</v>
      </c>
      <c r="IL26" s="21"/>
      <c r="IM26" s="34"/>
      <c r="IN26" s="349">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22.515068493150686</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t="str">
        <f t="shared" ca="1" si="43"/>
        <v>***************************************</v>
      </c>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-222</v>
      </c>
      <c r="II27" s="22" t="str">
        <f t="shared" ca="1" si="52"/>
        <v>POSIBLEMENTE NACIO</v>
      </c>
      <c r="IJ27" s="22"/>
      <c r="IK27" s="21" t="s">
        <v>1652</v>
      </c>
      <c r="IL27" s="21"/>
      <c r="IM27" s="34"/>
      <c r="IN27" s="349">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40.841095890410962</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t="str">
        <f t="shared" ca="1" si="43"/>
        <v>************************RIESGO POR EDAD***************</v>
      </c>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-160</v>
      </c>
      <c r="II28" s="305" t="str">
        <f t="shared" ca="1" si="52"/>
        <v>POSIBLEMENTE NACIO</v>
      </c>
      <c r="IJ28" s="305"/>
      <c r="IK28" s="309"/>
      <c r="IL28" s="309"/>
      <c r="IM28" s="331"/>
      <c r="IN28" s="350"/>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27.547945205479451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t="str">
        <f t="shared" ca="1" si="43"/>
        <v>*****************DIABETES GESTACIONAL**********************</v>
      </c>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-159</v>
      </c>
      <c r="II29" s="22" t="str">
        <f t="shared" ca="1" si="52"/>
        <v>POSIBLEMENTE NACIO</v>
      </c>
      <c r="IJ29" s="22"/>
      <c r="IK29" s="21" t="s">
        <v>898</v>
      </c>
      <c r="IL29" s="21"/>
      <c r="IM29" s="34"/>
      <c r="IN29" s="349">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19.947945205479453</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t="str">
        <f t="shared" ca="1" si="43"/>
        <v>**********************MULTIPARIDAD*****************</v>
      </c>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-221</v>
      </c>
      <c r="II30" s="22" t="str">
        <f t="shared" ca="1" si="52"/>
        <v>POSIBLEMENTE NACIO</v>
      </c>
      <c r="IJ30" s="22"/>
      <c r="IK30" s="21" t="s">
        <v>898</v>
      </c>
      <c r="IL30" s="21"/>
      <c r="IM30" s="34"/>
      <c r="IN30" s="349">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24.421917808219177</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t="str">
        <f t="shared" ca="1" si="43"/>
        <v>***************************************</v>
      </c>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-184</v>
      </c>
      <c r="II31" s="22" t="str">
        <f t="shared" ca="1" si="52"/>
        <v>POSIBLEMENTE NACIO</v>
      </c>
      <c r="IJ31" s="22"/>
      <c r="IK31" s="21" t="s">
        <v>898</v>
      </c>
      <c r="IL31" s="21"/>
      <c r="IM31" s="34"/>
      <c r="IN31" s="349">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22.315068493150687</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t="str">
        <f t="shared" ca="1" si="43"/>
        <v>***************************************</v>
      </c>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-153</v>
      </c>
      <c r="II32" s="22" t="str">
        <f t="shared" ca="1" si="52"/>
        <v>POSIBLEMENTE NACIO</v>
      </c>
      <c r="IJ32" s="22"/>
      <c r="IK32" s="21" t="s">
        <v>898</v>
      </c>
      <c r="IL32" s="21"/>
      <c r="IM32" s="34"/>
      <c r="IN32" s="349">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32.523287671232879</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t="str">
        <f t="shared" ca="1" si="43"/>
        <v>**********************MULTIPARIDAD*****************</v>
      </c>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-219</v>
      </c>
      <c r="II33" s="22" t="str">
        <f t="shared" ca="1" si="52"/>
        <v>POSIBLEMENTE NACIO</v>
      </c>
      <c r="IJ33" s="22"/>
      <c r="IK33" s="21" t="s">
        <v>898</v>
      </c>
      <c r="IL33" s="21"/>
      <c r="IM33" s="34"/>
      <c r="IN33" s="349">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19.917808219178081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t="str">
        <f t="shared" ca="1" si="43"/>
        <v>**********************MULTIPARIDAD*****************</v>
      </c>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-220</v>
      </c>
      <c r="II34" s="22" t="str">
        <f t="shared" ca="1" si="52"/>
        <v>POSIBLEMENTE NACIO</v>
      </c>
      <c r="IJ34" s="22"/>
      <c r="IK34" s="21" t="s">
        <v>898</v>
      </c>
      <c r="IL34" s="21"/>
      <c r="IM34" s="34"/>
      <c r="IN34" s="349">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19.046575342465754</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t="str">
        <f t="shared" ca="1" si="43"/>
        <v>**********************MULTIPARIDAD*****************</v>
      </c>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-148</v>
      </c>
      <c r="II35" s="22" t="str">
        <f t="shared" ca="1" si="52"/>
        <v>POSIBLEMENTE NACIO</v>
      </c>
      <c r="IJ35" s="22"/>
      <c r="IK35" s="21" t="s">
        <v>898</v>
      </c>
      <c r="IL35" s="21"/>
      <c r="IM35" s="34"/>
      <c r="IN35" s="349">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29.931506849315067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t="str">
        <f t="shared" ca="1" si="43"/>
        <v>***************************************</v>
      </c>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-122</v>
      </c>
      <c r="II36" s="22" t="str">
        <f t="shared" ca="1" si="52"/>
        <v>POSIBLEMENTE NACIO</v>
      </c>
      <c r="IJ36" s="22"/>
      <c r="IK36" s="21" t="s">
        <v>898</v>
      </c>
      <c r="IL36" s="21"/>
      <c r="IM36" s="34"/>
      <c r="IN36" s="349">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17.956164383561642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t="str">
        <f t="shared" ca="1" si="43"/>
        <v>**********************MULTIPARIDAD*****************</v>
      </c>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-183</v>
      </c>
      <c r="II37" s="22" t="str">
        <f t="shared" ca="1" si="52"/>
        <v>POSIBLEMENTE NACIO</v>
      </c>
      <c r="IJ37" s="22"/>
      <c r="IK37" s="21" t="s">
        <v>1652</v>
      </c>
      <c r="IL37" s="21"/>
      <c r="IM37" s="34"/>
      <c r="IN37" s="349">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33.863013698630134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t="str">
        <f t="shared" ca="1" si="43"/>
        <v>***************************************</v>
      </c>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-231</v>
      </c>
      <c r="II38" s="22" t="str">
        <f t="shared" ca="1" si="52"/>
        <v>POSIBLEMENTE NACIO</v>
      </c>
      <c r="IJ38" s="22"/>
      <c r="IK38" s="21" t="s">
        <v>898</v>
      </c>
      <c r="IL38" s="21"/>
      <c r="IM38" s="34"/>
      <c r="IN38" s="349">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35.624657534246573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t="str">
        <f t="shared" ca="1" si="43"/>
        <v>*****************DIABETES GESTACIONAL**********************</v>
      </c>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-220</v>
      </c>
      <c r="II39" s="22" t="str">
        <f t="shared" ca="1" si="52"/>
        <v>POSIBLEMENTE NACIO</v>
      </c>
      <c r="IJ39" s="22"/>
      <c r="IK39" s="21" t="s">
        <v>898</v>
      </c>
      <c r="IL39" s="21"/>
      <c r="IM39" s="34"/>
      <c r="IN39" s="349">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30.742465753424657</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t="str">
        <f t="shared" ca="1" si="43"/>
        <v>***************************************</v>
      </c>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-225</v>
      </c>
      <c r="II40" s="22" t="str">
        <f t="shared" ca="1" si="52"/>
        <v>POSIBLEMENTE NACIO</v>
      </c>
      <c r="IJ40" s="22"/>
      <c r="IK40" s="21" t="s">
        <v>898</v>
      </c>
      <c r="IL40" s="21"/>
      <c r="IM40" s="34"/>
      <c r="IN40" s="349">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22.717808219178082</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t="str">
        <f t="shared" ca="1" si="43"/>
        <v>****************POLIHIDRAMNIOS***********************</v>
      </c>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-292</v>
      </c>
      <c r="II41" s="22" t="str">
        <f t="shared" ca="1" si="52"/>
        <v>POSIBLEMENTE NACIO</v>
      </c>
      <c r="IJ41" s="22"/>
      <c r="IK41" s="21"/>
      <c r="IL41" s="21"/>
      <c r="IM41" s="34"/>
      <c r="IN41" s="349"/>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28.18904109589041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t="str">
        <f t="shared" ca="1" si="43"/>
        <v>**************EMBARAZO GEMELAR*PRESENTACIÓN FETAL PODALICA O TRANSVERSA************************</v>
      </c>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-228</v>
      </c>
      <c r="II42" s="22" t="str">
        <f t="shared" ca="1" si="52"/>
        <v>POSIBLEMENTE NACIO</v>
      </c>
      <c r="IJ42" s="22"/>
      <c r="IK42" s="21" t="s">
        <v>898</v>
      </c>
      <c r="IL42" s="21"/>
      <c r="IM42" s="34"/>
      <c r="IN42" s="349">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18.736986301369864</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t="str">
        <f t="shared" ca="1" si="43"/>
        <v>**********************MULTIPARIDAD*****************</v>
      </c>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-201</v>
      </c>
      <c r="II43" s="22" t="str">
        <f t="shared" ca="1" si="52"/>
        <v>POSIBLEMENTE NACIO</v>
      </c>
      <c r="IJ43" s="22"/>
      <c r="IK43" s="21" t="s">
        <v>898</v>
      </c>
      <c r="IL43" s="21"/>
      <c r="IM43" s="34"/>
      <c r="IN43" s="349">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27.704109589041096</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t="str">
        <f t="shared" ca="1" si="43"/>
        <v>***************************************</v>
      </c>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-135</v>
      </c>
      <c r="II44" s="22" t="str">
        <f t="shared" ca="1" si="52"/>
        <v>POSIBLEMENTE NACIO</v>
      </c>
      <c r="IJ44" s="22"/>
      <c r="IK44" s="21" t="s">
        <v>898</v>
      </c>
      <c r="IL44" s="21"/>
      <c r="IM44" s="34"/>
      <c r="IN44" s="349">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29.967123287671232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t="str">
        <f t="shared" ca="1" si="43"/>
        <v>***************************************</v>
      </c>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-121</v>
      </c>
      <c r="II45" s="22" t="str">
        <f t="shared" ca="1" si="52"/>
        <v>POSIBLEMENTE NACIO</v>
      </c>
      <c r="IJ45" s="22"/>
      <c r="IK45" s="21" t="s">
        <v>898</v>
      </c>
      <c r="IL45" s="21"/>
      <c r="IM45" s="34"/>
      <c r="IN45" s="349">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20.884931506849316</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t="str">
        <f t="shared" ca="1" si="43"/>
        <v>******************SEGUIMIENTO PARA SIFILIS GESTACIONAL****MULTIPARIDAD*****************</v>
      </c>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-124</v>
      </c>
      <c r="II46" s="22" t="str">
        <f t="shared" ca="1" si="52"/>
        <v>POSIBLEMENTE NACIO</v>
      </c>
      <c r="IJ46" s="22"/>
      <c r="IK46" s="21"/>
      <c r="IL46" s="21"/>
      <c r="IM46" s="34"/>
      <c r="IN46" s="349"/>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34.964383561643835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t="str">
        <f t="shared" ca="1" si="43"/>
        <v>***************************************</v>
      </c>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-217</v>
      </c>
      <c r="II47" s="22" t="str">
        <f t="shared" ca="1" si="52"/>
        <v>POSIBLEMENTE NACIO</v>
      </c>
      <c r="IJ47" s="22"/>
      <c r="IK47" s="21"/>
      <c r="IL47" s="21"/>
      <c r="IM47" s="34"/>
      <c r="IN47" s="349"/>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24.134246575342466</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t="str">
        <f t="shared" ca="1" si="43"/>
        <v>**********************MULTIPARIDAD*****************</v>
      </c>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-176</v>
      </c>
      <c r="II48" s="22" t="str">
        <f t="shared" ca="1" si="52"/>
        <v>POSIBLEMENTE NACIO</v>
      </c>
      <c r="IJ48" s="22"/>
      <c r="IK48" s="21" t="s">
        <v>898</v>
      </c>
      <c r="IL48" s="21"/>
      <c r="IM48" s="34"/>
      <c r="IN48" s="349">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19.052054794520547</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t="str">
        <f t="shared" ca="1" si="43"/>
        <v>**********************MULTIPARIDAD*****************</v>
      </c>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-196</v>
      </c>
      <c r="II49" s="22" t="str">
        <f t="shared" ca="1" si="52"/>
        <v>POSIBLEMENTE NACIO</v>
      </c>
      <c r="IJ49" s="22"/>
      <c r="IK49" s="21" t="s">
        <v>898</v>
      </c>
      <c r="IL49" s="21"/>
      <c r="IM49" s="34"/>
      <c r="IN49" s="349">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18.813698630136987</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4">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t="str">
        <f t="shared" ca="1" si="43"/>
        <v>*****************DIABETES GESTACIONAL*****MULTIPARIDAD*****************</v>
      </c>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-151</v>
      </c>
      <c r="II50" s="22" t="str">
        <f t="shared" ca="1" si="52"/>
        <v>POSIBLEMENTE NACIO</v>
      </c>
      <c r="IJ50" s="22"/>
      <c r="IK50" s="21" t="s">
        <v>898</v>
      </c>
      <c r="IL50" s="21"/>
      <c r="IM50" s="34"/>
      <c r="IN50" s="349">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22.273972602739725</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t="str">
        <f t="shared" ca="1" si="43"/>
        <v>***************************************</v>
      </c>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-145</v>
      </c>
      <c r="II51" s="22" t="str">
        <f t="shared" ca="1" si="52"/>
        <v>POSIBLEMENTE NACIO</v>
      </c>
      <c r="IJ51" s="22"/>
      <c r="IK51" s="21" t="s">
        <v>898</v>
      </c>
      <c r="IL51" s="21"/>
      <c r="IM51" s="34"/>
      <c r="IN51" s="349">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27.641095890410959</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t="str">
        <f t="shared" ca="1" si="43"/>
        <v>*****************DIABETES GESTACIONAL**********************</v>
      </c>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-208</v>
      </c>
      <c r="II52" s="22" t="str">
        <f t="shared" ca="1" si="52"/>
        <v>POSIBLEMENTE NACIO</v>
      </c>
      <c r="IJ52" s="22"/>
      <c r="IK52" s="21" t="s">
        <v>898</v>
      </c>
      <c r="IL52" s="21"/>
      <c r="IM52" s="34"/>
      <c r="IN52" s="349">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16.824657534246576</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t="str">
        <f t="shared" ca="1" si="43"/>
        <v>**********************MULTIPARIDAD**RIESGO POR EDAD***************</v>
      </c>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-131</v>
      </c>
      <c r="II53" s="22" t="str">
        <f t="shared" ca="1" si="52"/>
        <v>POSIBLEMENTE NACIO</v>
      </c>
      <c r="IJ53" s="22"/>
      <c r="IK53" s="21" t="s">
        <v>898</v>
      </c>
      <c r="IL53" s="21"/>
      <c r="IM53" s="34"/>
      <c r="IN53" s="349">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26.386301369863013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t="str">
        <f t="shared" ca="1" si="43"/>
        <v>**********************MULTIPARIDAD*****************</v>
      </c>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-124</v>
      </c>
      <c r="II54" s="22" t="str">
        <f t="shared" ca="1" si="52"/>
        <v>POSIBLEMENTE NACIO</v>
      </c>
      <c r="IJ54" s="22"/>
      <c r="IK54" s="21" t="s">
        <v>1652</v>
      </c>
      <c r="IL54" s="21"/>
      <c r="IM54" s="34"/>
      <c r="IN54" s="349">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27.145205479452056</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t="str">
        <f t="shared" ca="1" si="43"/>
        <v>***************************************</v>
      </c>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-145</v>
      </c>
      <c r="II55" s="22" t="str">
        <f t="shared" ca="1" si="52"/>
        <v>POSIBLEMENTE NACIO</v>
      </c>
      <c r="IJ55" s="22"/>
      <c r="IK55" s="21" t="s">
        <v>898</v>
      </c>
      <c r="IL55" s="21"/>
      <c r="IM55" s="34"/>
      <c r="IN55" s="349">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24.882191780821916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t="str">
        <f t="shared" ca="1" si="43"/>
        <v>**********************MULTIPARIDAD***CESAREAS PREVIAS**************</v>
      </c>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-135</v>
      </c>
      <c r="II56" s="22" t="str">
        <f t="shared" ca="1" si="52"/>
        <v>POSIBLEMENTE NACIO</v>
      </c>
      <c r="IJ56" s="22"/>
      <c r="IK56" s="21" t="s">
        <v>898</v>
      </c>
      <c r="IL56" s="21"/>
      <c r="IM56" s="34"/>
      <c r="IN56" s="349">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s="338" customFormat="1"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26.975342465753425</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t="str">
        <f t="shared" ca="1" si="43"/>
        <v>***************************************</v>
      </c>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-97</v>
      </c>
      <c r="II57" s="305" t="str">
        <f t="shared" ca="1" si="52"/>
        <v>POSIBLEMENTE NACIO</v>
      </c>
      <c r="IJ57" s="305"/>
      <c r="IK57" s="309"/>
      <c r="IL57" s="309"/>
      <c r="IM57" s="331"/>
      <c r="IN57" s="350"/>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31.682191780821917</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t="str">
        <f t="shared" ca="1" si="43"/>
        <v>**********************MULTIPARIDAD***CESAREAS PREVIAS**************</v>
      </c>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-175</v>
      </c>
      <c r="II58" s="22" t="str">
        <f t="shared" ca="1" si="52"/>
        <v>POSIBLEMENTE NACIO</v>
      </c>
      <c r="IJ58" s="22"/>
      <c r="IK58" s="21" t="s">
        <v>1652</v>
      </c>
      <c r="IL58" s="21"/>
      <c r="IM58" s="34"/>
      <c r="IN58" s="349">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25.117808219178084</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t="str">
        <f t="shared" ca="1" si="43"/>
        <v>***************************************</v>
      </c>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-131</v>
      </c>
      <c r="II59" s="22" t="str">
        <f t="shared" ca="1" si="52"/>
        <v>POSIBLEMENTE NACIO</v>
      </c>
      <c r="IJ59" s="22"/>
      <c r="IK59" s="21" t="s">
        <v>898</v>
      </c>
      <c r="IL59" s="21"/>
      <c r="IM59" s="34"/>
      <c r="IN59" s="349">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25.547945205479451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t="str">
        <f t="shared" ca="1" si="43"/>
        <v>**********************MULTIPARIDAD*****************</v>
      </c>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-120.5</v>
      </c>
      <c r="II60" s="22" t="str">
        <f t="shared" ca="1" si="52"/>
        <v>POSIBLEMENTE NACIO</v>
      </c>
      <c r="IJ60" s="22"/>
      <c r="IK60" s="21" t="s">
        <v>1652</v>
      </c>
      <c r="IL60" s="21"/>
      <c r="IM60" s="34"/>
      <c r="IN60" s="349">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s="338" customFormat="1"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25.008219178082193</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t="str">
        <f t="shared" ca="1" si="43"/>
        <v>***************************************</v>
      </c>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-186</v>
      </c>
      <c r="II61" s="305" t="str">
        <f t="shared" ca="1" si="52"/>
        <v>POSIBLEMENTE NACIO</v>
      </c>
      <c r="IJ61" s="305"/>
      <c r="IK61" s="309"/>
      <c r="IL61" s="309"/>
      <c r="IM61" s="331"/>
      <c r="IN61" s="350"/>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16.753424657534246</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t="str">
        <f t="shared" ca="1" si="43"/>
        <v>**********************MULTIPARIDAD**RIESGO POR EDAD***************</v>
      </c>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-76</v>
      </c>
      <c r="II62" s="22" t="str">
        <f t="shared" ca="1" si="52"/>
        <v>POSIBLEMENTE NACIO</v>
      </c>
      <c r="IJ62" s="22"/>
      <c r="IK62" s="21" t="s">
        <v>1185</v>
      </c>
      <c r="IL62" s="21"/>
      <c r="IM62" s="34"/>
      <c r="IN62" s="349">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18.172602739726027</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t="str">
        <f t="shared" ca="1" si="43"/>
        <v>**********************MULTIPARIDAD*****************</v>
      </c>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-133</v>
      </c>
      <c r="II63" s="22" t="str">
        <f t="shared" ca="1" si="52"/>
        <v>POSIBLEMENTE NACIO</v>
      </c>
      <c r="IJ63" s="22"/>
      <c r="IK63" s="21" t="s">
        <v>898</v>
      </c>
      <c r="IL63" s="21"/>
      <c r="IM63" s="34"/>
      <c r="IN63" s="349">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18.87123287671233</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22.714285714285715</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t="str">
        <f t="shared" ca="1" si="43"/>
        <v>*ANTECEDENTE PREECLAMPSIA**********************ANTECEDENTE MUERTE PERINATAL****************</v>
      </c>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9">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121</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30.745205479452054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t="str">
        <f t="shared" ca="1" si="43"/>
        <v>***************************************</v>
      </c>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-188</v>
      </c>
      <c r="II65" s="22" t="str">
        <f t="shared" ca="1" si="52"/>
        <v>POSIBLEMENTE NACIO</v>
      </c>
      <c r="IJ65" s="22"/>
      <c r="IK65" s="21" t="s">
        <v>898</v>
      </c>
      <c r="IL65" s="21"/>
      <c r="IM65" s="34"/>
      <c r="IN65" s="349">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42.649315068493152</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t="str">
        <f t="shared" ca="1" si="43"/>
        <v>************************RIESGO POR EDAD***************</v>
      </c>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-146</v>
      </c>
      <c r="II66" s="22" t="str">
        <f t="shared" ca="1" si="52"/>
        <v>POSIBLEMENTE NACIO</v>
      </c>
      <c r="IJ66" s="22"/>
      <c r="IK66" s="21" t="s">
        <v>898</v>
      </c>
      <c r="IL66" s="21"/>
      <c r="IM66" s="34"/>
      <c r="IN66" s="349">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43.424657534246577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t="str">
        <f t="shared" ref="HJ67:HJ130" ca="1" si="289">IF(OR(O67&gt;0,R67&gt;0),CONCATENATE(IF(AK67="CON RIESGO","RIESGO PSICOSOCIAL",""),"*",CONCATENATE(IF(AL67="SI","ANTECEDENTE PREECLAMPSIA",""),"*",CONCATENATE(IF(AM67="SI","ANTECEDENTE HEMORRAGIA POSTPARTO O RETENCIÓN DE PLACENTA",""),"*",CONCATENATE(IF(AN67="SI","ANTECEDENTE RN BAJO PESO",""),"*",CONCATENATE(IF(AQ67="SI","ANTECEDENTE TRABAJO DE PARTO PROLONGADO",""),"*",CONCATENATE(IF(AV67="SI","INFERTILIDAD",""),"*",CONCATENATE(IF(BD67="SI","ENFERMERDAD AUTOINMUNE",""),"*",CONCATENATE(IF(BE67="SI","DIABETES PREGESTACIONAL",""),"*",CONCATENATE(IF(BF67="SI","ENFERMEDAD CARDIACA",""),"*",CONCATENATE(IF(BG67="SI","HTA CRÓNICA",""),"*",CONCATENATE(IF(BH67="SI","ENFERMEDAD RENAL CRÓNICA",""),"*",CONCATENATE(IF(BK67="SI","ANOMALIA CONGÉNITA",""),"*",CONCATENATE(IF(OR(BL67="SI",BM67="SI"),"HEMORRAGIA DURANTE LA GESTACIÓN",""),"*",CONCATENATE(IF(CB67="SI","RCIU",""),"*",CONCATENATE(IF(CC67="SI","EMBARAZO GEMELAR",""),"*",CONCATENATE(IF(NA67=3,"PRESENTACIÓN FETAL PODALICA O TRANSVERSA",""),"*",CONCATENATE(IF(CE67="SI","POLIHIDRAMNIOS",""),"*",CONCATENATE(IF(FG67="DIABETES, REMITIR","DIABETES GESTACIONAL",""),"*",CONCATENATE(IF(FU67&lt;&gt;"","SEGUIMIENTO PARA SIFILIS GESTACIONAL",""),"*",CONCATENATE(IF(MZ67=3,"SEGUIMIENTO PARA VIH",""),"*",CONCATENATE(IF(MX67=1,"SEGUIMIENTO PARA ANEMIA",""),"*",CONCATENATE(IF(MU67=2,"MULTIPARIDAD",""),"*",CONCATENATE(IF(MU67=1,"MULTIPARIDAD",""),"*",CONCATENATE(IF(MT67=1,"ANTECEDENTE MUERTE PERINATAL",""),"*",CONCATENATE(IF(OR(MR67=2,MR67=1),"RIESGO POR EDAD",""),"*",CONCATENATE(IF(OR(MV67=1,MV67=2),"CESAREAS PREVIAS",""),"*",CONCATENATE(IF(MW67=1,"ANTECEDENTE ECTOPICO O CX UTERINA",""),"*",CONCATENATE(IF(MY67=1,"EMBARAZO PROLONGADO",""),"*",CONCATENATE(IF(NB67=2,"SEGUIMIENTO PARA CHAGAS",""),"*",CONCATENATE(IF(NC67=3,"SEGUIMIENTO PARA MALARIA",""),"*",CONCATENATE(IF(OR(HF67="COVID19 PRIMER TRIMESTRE",HF67="COVID19 SEGUNDO TRIMESTRE",HF67="COVID19 TERCER TRIMESTRE",HF67="COVID19 PUERPERIO"),"SEGUIMIENTO PARA COVID19",""),"*",CONCATENATE(IF(EZ67="COOMBS C/MES Y RESUMAN SEM 28","RIESGO DE ISOINMUNIZACIÓN RH",""),"*",CONCATENATE(IF(EZ67="TOMAR COOMBS CUANTITATIVO Y REMISIÓN","ISOINMUNIZACIÓN RH",""),"*",CONCATENATE(IF(BC67="SI, CONTROLADA","EPILEPSIA CONTROLADA",""),"*",CONCATENATE(IF(BC67="SI, SIN MANEJO","EPILEPSIA SIN MANEJO",""),"*",CONCATENATE(IF(BC67="SI, NO CONTROLADA","EPILEPSIA NO CONTROLADA",""),"*",CONCATENATE(IF(AP67="SI","AMENAZA PARTO PRETERMINO",""),"*",CONCATENATE(IF(AO67="SI","ANTECEDENTE MACROSOMICO",""),"*",CONCATENATE(IF(AD67="Consumo ActualI","USO SUSTANCIAS PSICOACTIVAS",""),"*"))))))))))))))))))))))))))))))))))))))),"")</f>
        <v>************************RIESGO POR EDAD***************</v>
      </c>
      <c r="HK67" s="21" t="str">
        <f t="shared" ref="HK67:HK130" si="290">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1">DC67</f>
        <v>APARENTEMENTE NORMAL</v>
      </c>
      <c r="HM67" s="21" t="str">
        <f t="shared" ref="HM67:HM130" ca="1" si="292">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3">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4">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5">IF(OR(BP67="SI",BP67="Corregida",BP67="NO"),(RW67+280),IF(BP67="Sin Dato","DEFINIR FPP POR ECO",""))</f>
        <v>45117</v>
      </c>
      <c r="IH67" s="29">
        <f t="shared" ref="IH67:IH130" ca="1" si="296">IF(OR(IG67="DEFINIR FPP POR ECO",BT67="ERROR FUM O INGRESO"),"SIN DEFINIR",IF(IG67="","",IF(IG67&gt;0,SUM(IG67-TODAY()),"X")))</f>
        <v>-115</v>
      </c>
      <c r="II67" s="22" t="str">
        <f t="shared" ref="II67:II130" ca="1" si="297">IF(IH67&lt;0,"POSIBLEMENTE NACIO",IF(IH67="SIN DEFINIR","SIN DATO",IF(AND(IH67&gt;=0,IH67&lt;=7),"SEMANA DE PARTO",IF(AND(IH67&gt;=8,IH67&lt;=28),"MENOS DE 4 SEMANAS",IF(AND(IH67&gt;=29,IH67&lt;=280),"PENDIENTE","")))))</f>
        <v>POSIBLEMENTE NACIO</v>
      </c>
      <c r="IJ67" s="22"/>
      <c r="IK67" s="21" t="s">
        <v>898</v>
      </c>
      <c r="IL67" s="21"/>
      <c r="IM67" s="34"/>
      <c r="IN67" s="349">
        <v>45115</v>
      </c>
      <c r="IO67" s="21" t="s">
        <v>1186</v>
      </c>
      <c r="IP67" s="29">
        <f t="shared" ref="IP67:IP73" si="298">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9">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300">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1">IF(AND(JW67&lt;&gt;"",JW67&lt;IN67),"INCONSISTENCIA FECHA CONTROL",IF(AND(OR(IK67="Parto",IK67="Cesarea"),JW67&gt;0,IN67&gt;0),SUM(JW67-IN67),IF(AND(OR(IK67="Parto",IK67="Cesarea"),JW67="",IN67&gt;0),"INASISTENTE","")))</f>
        <v>INASISTENTE</v>
      </c>
      <c r="JY67" s="33"/>
      <c r="JZ67" s="28" t="str">
        <f t="shared" ref="JZ67:JZ71" si="302">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3">SUM(COUNTIF(KU67,"PARTERO (A)"),COUNTIF(KY67,"PARTERO (A)"),COUNTIF(LC67,"PARTERO (A)"),COUNTIF(LG67,"PARTERO (A)"),COUNTIF(LK67,"PARTERO (A)"),COUNTIF(LO67,"PARTERO (A)"),COUNTIF(ME67,"PARTERO (A)"))</f>
        <v>0</v>
      </c>
      <c r="MI67" s="43" t="str">
        <f t="shared" ref="MI67:MI98" si="304">IF(AND(R67="",O67=""),"",IF(AND(OR(O67&gt;0,R67&gt;0),KT67&gt;0),SUM(KT67-RW67)/7,""))</f>
        <v/>
      </c>
      <c r="MJ67" s="43" t="str">
        <f t="shared" ref="MJ67:MJ98" si="305">IF(AND(MI67="",BT67=""),"",IF(AND(MI67&lt;&gt;"",BT67="SIN DATO"),"SIN DATO",IF(AND(MI67="",BT67&lt;&gt;""),"",IF(AND(MI67&lt;0,BT67&gt;0),"ERROR FUM O INGRESO",IF(MI67&lt;=13,"I TRIM",IF(MI67&lt;28,"II TRIM",IF(AND(MI67&gt;27,MI67&lt;45),"III TRIM","POR DEFINIR")))))))</f>
        <v/>
      </c>
      <c r="MK67" s="43">
        <f t="shared" ref="MK67:MK98" si="306">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7">IF(AND(O67&gt;0,RW67&gt;0),SUM(O67-RW67)/7,"")</f>
        <v>10.285714285714286</v>
      </c>
      <c r="MN67" s="43">
        <f t="shared" ref="MN67:MN98" si="308">IF(R67&gt;0,MONTH(R67),"")</f>
        <v>12</v>
      </c>
      <c r="MO67" s="43">
        <f t="shared" ref="MO67:MO98" si="309">IF(R67&gt;0,YEAR(R67),"")</f>
        <v>2022</v>
      </c>
      <c r="MP67" s="43" t="str">
        <f t="shared" ref="MP67:MP98" si="310">IF(AND(MN67&gt;=1,MN67&lt;=3),"I TRIMESTRE AÑO",IF(AND(MN67&gt;=4,MN67&lt;=6),"II TRIMESTRE AÑO",IF(AND(MN67&gt;=7,MN67&lt;=9),"III TRIMESTRE AÑO",IF(AND(MN67&gt;=10,MN67&lt;=12),"IV TRIMESTRE AÑO",""))))</f>
        <v>IV TRIMESTRE AÑO</v>
      </c>
      <c r="MQ67" s="43">
        <f t="shared" ref="MQ67:MQ98" si="311">IF(AND(M67&gt;0,R67&gt;0),DAYS360(M67,R67)/30.44/12,IF(AND(M67&gt;0,O67&gt;0,R67=""),DAYS360(M67,O67)/30.44/12,""))</f>
        <v>41.896627244853264</v>
      </c>
      <c r="MR67" s="43">
        <f t="shared" ref="MR67:MR98" si="312">IF(AND(MQ67&gt;7,MQ67&lt;14),2,IF(MQ67&lt;16,1,IF(MQ67&lt;=35,0,IF(AND(MQ67&gt;35,MQ67&lt;50),2,""))))</f>
        <v>2</v>
      </c>
      <c r="MS67" s="43" t="str">
        <f t="shared" ref="MS67:MS98" si="313">+IF(MQ67="","",IF(MQ67&lt;14,"MENOR 14 AÑOS",IF(MQ67&lt;20,"DE 14 A 19AÑOS",IF(MQ67&lt;25," DE 20 A 24 AÑOS",IF(MQ67&lt;30," DE 25 A 29 AÑOS",IF(MQ67&lt;35," DE 30 A 34 AÑOS",IF(MQ67&lt;40," DE 35 A 39 AÑOS"," DE 40 Y MAS")))))))</f>
        <v xml:space="preserve"> DE 40 Y MAS</v>
      </c>
      <c r="MT67" s="43">
        <f t="shared" ref="MT67:MT98" si="314">IF(OR(AX67="SI",BA67="SI"),1,IF(AND(AX67="NO",BA67="NO"),0,""))</f>
        <v>0</v>
      </c>
      <c r="MU67" s="43">
        <f t="shared" ref="MU67:MU98" si="315">IF(AT67="","",IF(AT67=0,1,IF(AND(AT67&gt;=1,AT67&lt;=4),0,IF(AT67&gt;=5,2,"X"))))</f>
        <v>0</v>
      </c>
      <c r="MV67" s="43">
        <f t="shared" ref="MV67:MV98" si="316">IF(AW67="","",IF(AW67=0,0,IF(AW67=1,1,IF(OR(AW67=2,AW67="3 o MAS"),2,"X"))))</f>
        <v>0</v>
      </c>
      <c r="MW67" s="43">
        <f t="shared" ref="MW67:MW98" si="317">IF(AY67="SI",1,IF(AY67="NO",0,""))</f>
        <v>0</v>
      </c>
      <c r="MX67" s="43" t="str">
        <f t="shared" ref="MX67:MX98" si="318">IF(OR(AND(EM67&gt;0,EM67&lt;11),AND(ER67&gt;0,ER67&lt;10.5)),1,"")</f>
        <v/>
      </c>
      <c r="MY67" s="43" t="str">
        <f t="shared" ca="1" si="229"/>
        <v/>
      </c>
      <c r="MZ67" s="43" t="str">
        <f t="shared" ref="MZ67:MZ98" si="319">IF(AND(GJ67="",GL67="",BB67=""),"",IF(OR(OR(GJ67="P.R REACTIVA",GJ67="ELISA REACTIVA"),OR(BB67="SI",GL67="POSITIVA",GL67="NO CONCLUYENTE")),3,""))</f>
        <v/>
      </c>
      <c r="NA67" s="43" t="str">
        <f t="shared" ref="NA67:NA98" si="320">IF(CD67="","",IF(OR(CD67="CEFÁLICA",CD67="SD"),0,IF(OR(CD67="PODÁLICA",CD67="TRANSVERSA O DE FRENTE",CD67="OBLICUA"),3,"")))</f>
        <v/>
      </c>
      <c r="NB67" s="43" t="str">
        <f t="shared" ref="NB67:NB98" si="321">IF(GZ67="","",IF(GZ67="POSITIVO",2,"0"))</f>
        <v/>
      </c>
      <c r="NC67" s="43" t="str">
        <f t="shared" ref="NC67:NC98" si="322">IF(AND(HB67="",HD67=""),"",IF(OR(HB67="POSITIVO",HD67="POSITIVO"),3,0))</f>
        <v/>
      </c>
      <c r="ND67" s="43">
        <f t="shared" ref="ND67:ND98" ca="1" si="323">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4">IF(AND(R67="",O67=""),"",IF(AND(OR(O67&gt;0,R67&gt;0),RW67=""),"SD",IF(AND(OR(O67&gt;0,R67&gt;0),ID67&gt;0),SUM(ID67-RW67)/7,"")))</f>
        <v>22.571428571428573</v>
      </c>
      <c r="NG67" s="43">
        <f t="shared" ref="NG67:NG98" si="325">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6">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7">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8">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9">COUNT(FL67,FO67,FR67,FT67)</f>
        <v>2</v>
      </c>
      <c r="NT67" s="21">
        <f t="shared" ref="NT67:NT98" ca="1" si="330">COUNT(GA67,GD67,GG67,GI67)</f>
        <v>3</v>
      </c>
      <c r="NU67" s="21" t="str">
        <f t="shared" ref="NU67:NU98" ca="1" si="331">IF(NR67="","",IF(NR67="REVISAR FUM O FECHA SALIDA PROGRAMA","POR DEFINIR",IF(OR(NR67=NS67,NS67&gt;NR67),"COMPLETO",IF(NS67&lt;NR67,"INCOMPLETO",""))))</f>
        <v>INCOMPLETO</v>
      </c>
      <c r="NV67" s="21" t="str">
        <f t="shared" ref="NV67:NV98" ca="1" si="332">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3">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4">IF(BS67="","",IF(BS67&lt;10,"Menor",INT(BS67)))</f>
        <v>10</v>
      </c>
      <c r="OA67" s="43" t="str">
        <f t="shared" ref="OA67:OA129" si="335">IF(AND(NZ67=$OA$2,CI67&gt;10,CI67&lt;18.5),"BAJO PESO",IF(AND(NZ67=$OA$2,CI67&gt;18.4,CI67&lt;25),"NORMAL",IF(AND(NZ67=$OA$2,CI67&gt;24,CI67&lt;30),"SOBREPESO",IF(AND(NZ67=$OA$2,CI67&gt;29,CI67&lt;50),"OBESIDAD",""))))</f>
        <v/>
      </c>
      <c r="OB67" s="43" t="str">
        <f t="shared" ref="OB67:OB129" si="336">IF(AND(NZ67=$OB$2,CI67&gt;10,CI67&lt;20.3),"BAJO PESO",IF(AND(NZ67=$OB$2,CI67&gt;20.2,CI67&lt;25.3),"NORMAL",IF(AND(NZ67=$OB$2,CI67&gt;25.2,CI67&lt;30.3),"SOBREPESO",IF(AND(NZ67=$OB$2,CI67&gt;30.2,CI67&lt;50),"OBESIDAD",""))))</f>
        <v>OBESIDAD</v>
      </c>
      <c r="OC67" s="43" t="str">
        <f t="shared" ref="OC67:OC129" si="337">IF(AND(NZ67=$OC$2,CI67&gt;10,CI67&lt;20.4),"BAJO PESO",IF(AND(NZ67=$OC$2,CI67&gt;20.3,CI67&lt;25.4),"NORMAL",IF(AND(NZ67=$OC$2,CI67&gt;25.3,CI67&lt;30.4),"SOBREPESO",IF(AND(NZ67=$OC$2,CI67&gt;30.3,CI67&lt;50),"OBESIDAD",""))))</f>
        <v/>
      </c>
      <c r="OD67" s="43" t="str">
        <f t="shared" ref="OD67:OD129" si="338">IF(AND(NZ67=$OD$2,CI67&gt;10,CI67&lt;20.5),"BAJO PESO",IF(AND(NZ67=$OD$2,CI67&gt;20.4,CI67&lt;25.5),"NORMAL",IF(AND(NZ67=$OD$2,CI67&gt;25.4,CI67&lt;30.4),"SOBREPESO",IF(AND(NZ67=$OD$2,CI67&gt;30.3,CI67&lt;50),"OBESIDAD",""))))</f>
        <v/>
      </c>
      <c r="OE67" s="43" t="str">
        <f t="shared" ref="OE67:OE129" si="339">IF(AND(NZ67=$OE$2,CI67&gt;10,CI67&lt;20.7),"BAJO PESO",IF(AND(NZ67=$OE$2,CI67&gt;20.6,CI67&lt;25.7),"NORMAL",IF(AND(NZ67=$OE$2,CI67&gt;25.7,CI67&lt;30.5),"SOBREPESO",IF(AND(NZ67=$OE$2,CI67&gt;30.4,CI67&lt;50),"OBESIDAD",""))))</f>
        <v/>
      </c>
      <c r="OF67" s="43" t="str">
        <f t="shared" ref="OF67:OF129" si="340">IF(AND(NZ67=$OF$2,CI67&gt;10,CI67&lt;20.8),"BAJO PESO",IF(AND(NZ67=$OF$2,CI67&gt;20.7,CI67&lt;25.8),"NORMAL",IF(AND(NZ67=$OF$2,CI67&gt;25.7,CI67&lt;30.6),"SOBREPESO",IF(AND(NZ67=$OF$2,CI67&gt;30.5,CI67&lt;50),"OBESIDAD",""))))</f>
        <v/>
      </c>
      <c r="OG67" s="43" t="str">
        <f t="shared" ref="OG67:OG129" si="341">IF(AND(NZ67=$OG$2,CI67&gt;10,CI67&lt;20.9),"BAJO PESO",IF(AND(NZ67=$OG$2,CI67&gt;20.8,CI67&lt;25.9),"NORMAL",IF(AND(NZ67=$OG$2,CI67&gt;25.8,CI67&lt;30.7),"SOBREPESO",IF(AND(NZ67=$OG$2,CI67&gt;30.6,CI67&lt;50),"OBESIDAD",""))))</f>
        <v/>
      </c>
      <c r="OH67" s="43" t="str">
        <f t="shared" ref="OH67:OH129" si="342">IF(AND(NZ67=$OH$2,CI67&gt;10,CI67&lt;21.1),"BAJO PESO",IF(AND(NZ67=$OH$2,CI67&gt;21,CI67&lt;26),"NORMAL",IF(AND(NZ67=$OH$2,CI67&gt;25.9,CI67&lt;30.8),"SOBREPESO",IF(AND(NZ67=$OH$2,CI67&gt;30.7,CI67&lt;50),"OBESIDAD",""))))</f>
        <v/>
      </c>
      <c r="OI67" s="43" t="str">
        <f t="shared" ref="OI67:OI129" si="343">IF(AND(NZ67=$OI$2,CI67&gt;10,CI67&lt;21.2),"BAJO PESO",IF(AND(NZ67=$OI$2,CI67&gt;21.1,CI67&lt;26.1),"NORMAL",IF(AND(NZ67=$OI$2,CI67&gt;26,CI67&lt;31.9),"SOBREPESO",IF(AND(NZ67=$OI$2,CI67&gt;30.8,CI67&lt;50),"OBESIDAD",""))))</f>
        <v/>
      </c>
      <c r="OJ67" s="43" t="str">
        <f t="shared" ref="OJ67:OJ129" si="344">IF(AND(NZ67=$OJ$2,CI67&gt;10,CI67&lt;21.3),"BAJO PESO",IF(AND(NZ67=$OJ$2,CI67&gt;21.2,CI67&lt;26.2),"NORMAL",IF(AND(NZ67=$OJ$2,CI67&gt;26.1,CI67&lt;31),"SOBREPESO",IF(AND(NZ67=$OJ$2,CI67&gt;30.9,CI67&lt;50),"OBESIDAD",""))))</f>
        <v/>
      </c>
      <c r="OK67" s="43" t="str">
        <f t="shared" ref="OK67:OK129" si="345">IF(AND(NZ67=$OK$2,CI67&gt;10,CI67&lt;21.5),"BAJO PESO",IF(AND(NZ67=$OK$2,CI67&gt;21.4,CI67&lt;26.3),"NORMAL",IF(AND(NZ67=$OK$2,CI67&gt;26.2,CI67&lt;31),"SOBREPESO",IF(AND(NZ67=$OK$2,CI67&gt;30.9,CI67&lt;50),"OBESIDAD",""))))</f>
        <v/>
      </c>
      <c r="OL67" s="43" t="str">
        <f t="shared" ref="OL67:OL129" si="346">IF(AND(NZ67=$OL$2,CI67&gt;10,CI67&lt;21.6),"BAJO PESO",IF(AND(NZ67=$OL$2,CI67&gt;21.5,CI67&lt;26.4),"NORMAL",IF(AND(NZ67=$OL$2,CI67&gt;26.3,CI67&lt;31.1),"SOBREPESO",IF(AND(NZ67=$OL$2,CI67&gt;31,CI67&lt;50),"OBESIDAD",""))))</f>
        <v/>
      </c>
      <c r="OM67" s="43" t="str">
        <f t="shared" ref="OM67:OM129" si="347">IF(AND(NZ67=$OM$2,CI67&gt;10,CI67&lt;21.8),"BAJO PESO",IF(AND(NZ67=$OM$2,CI67&gt;21.7,CI67&lt;26.5),"NORMAL",IF(AND(NZ67=$OM$2,CI67&gt;26.4,CI67&lt;31.2),"SOBREPESO",IF(AND(NZ67=$OM$2,CI67&gt;31.1,CI67&lt;50),"OBESIDAD",""))))</f>
        <v/>
      </c>
      <c r="ON67" s="43" t="str">
        <f t="shared" ref="ON67:ON129" si="348">IF(AND(NZ67=$ON$2,CI67&gt;10,CI67&lt;21.9),"BAJO PESO",IF(AND(NZ67=$ON$2,CI67&gt;21.8,CI67&lt;26.7),"NORMAL",IF(AND(NZ67=$ON$2,CI67&gt;26.6,CI67&lt;31.3),"SOBREPESO",IF(AND(NZ67=$ON$2,CI67&gt;31.2,CI67&lt;50),"OBESIDAD",""))))</f>
        <v/>
      </c>
      <c r="OO67" s="43" t="str">
        <f t="shared" ref="OO67:OO129" si="349">IF(AND(NZ67=$OO$2,CI67&gt;10,CI67&lt;22.1),"BAJO PESO",IF(AND(NZ67=$OO$2,CI67&gt;22,CI67&lt;26.8),"NORMAL",IF(AND(NZ67=$OO$2,CI67&gt;26.7,CI67&lt;31.4),"SOBREPESO",IF(AND(NZ67=$OO$2,CI67&gt;31.3,CI67&lt;50),"OBESIDAD",""))))</f>
        <v/>
      </c>
      <c r="OP67" s="43" t="str">
        <f t="shared" ref="OP67:OP129" si="350">IF(AND(NZ67=$OP$2,CI67&gt;10,CI67&lt;22.3),"BAJO PESO",IF(AND(NZ67=$OP$2,CI67&gt;22.2,CI67&lt;27),"NORMAL",IF(AND(NZ67=$OP$2,CI67&gt;26.9,CI67&lt;31.6),"SOBREPESO",IF(AND(NZ67=$OP$2,CI67&gt;31.5,CI67&lt;50),"OBESIDAD",""))))</f>
        <v/>
      </c>
      <c r="OQ67" s="43" t="str">
        <f t="shared" ref="OQ67:OQ129" si="351">IF(AND(NZ67=$OQ$2,$CI67&gt;10,CI67&lt;22.5),"BAJO PESO",IF(AND(NZ67=$OQ$2,CI67&gt;22.4,CI67&lt;27.1),"NORMAL",IF(AND(NZ67=$OQ$2,CI67&gt;27,CI67&lt;31.7),"SOBREPESO",IF(AND(NZ67=$OQ$2,CI67&gt;31.6,CI67&lt;50),"OBESIDAD",""))))</f>
        <v/>
      </c>
      <c r="OR67" s="43" t="str">
        <f t="shared" ref="OR67:OR129" si="352">IF(AND(NZ67=$OR$2,CI67&gt;10,CI67&lt;22.7),"BAJO PESO",IF(AND(NZ67=$OR$2,CI67&gt;22.6,CI67&lt;27.3),"NORMAL",IF(AND(NZ67=$OR$2,CI67&gt;27.1,CI67&lt;31.8),"SOBREPESO",IF(AND(NZ67=$OR$2,CI67&gt;31.7,CI67&lt;50),"OBESIDAD",""))))</f>
        <v/>
      </c>
      <c r="OS67" s="43" t="str">
        <f t="shared" ref="OS67:OS129" si="353">IF(AND(NZ67=$OS$2,CI67&gt;10,CI67&lt;22.8),"BAJO PESO",IF(AND(NZ67=$OS$2,CI67&gt;22.7,CI67&lt;27.4),"NORMAL",IF(AND(NZ67=$OS$2,CI67&gt;27.3,CI67&lt;31.9),"SOBREPESO",IF(AND(NZ67=$OS$2,CI67&gt;31.8,CI67&lt;50),"OBESIDAD",""))))</f>
        <v/>
      </c>
      <c r="OT67" s="43" t="str">
        <f t="shared" ref="OT67:OT129" si="354">IF(AND(NZ67=$OT$2,CI67&gt;10,CI67&lt;23),"BAJO PESO",IF(AND(NZ67=$OT$2,CI67&gt;22.9,CI67&lt;27.6),"NORMAL",IF(AND(NZ67=$OT$2,CI67&gt;27.5,CI67&lt;32),"SOBREPESO",IF(AND(NZ67=$OT$2,CI67&gt;31.9,CI67&lt;50),"OBESIDAD",""))))</f>
        <v/>
      </c>
      <c r="OU67" s="43" t="str">
        <f t="shared" ref="OU67:OU129" si="355">IF(AND(NZ67=$OU$2,CI67&gt;10,CI67&lt;23.2),"BAJO PESO",IF(AND(NZ67=$OU$2,CI67&gt;23.1,CI67&lt;27.7),"NORMAL",IF(AND(NZ67=$OU$2,CI67&gt;27.6,CI67&lt;32.1),"SOBREPESO",IF(AND(NZ67=$OU$2,CI67&gt;32,CI67&lt;50),"OBESIDAD",""))))</f>
        <v/>
      </c>
      <c r="OV67" s="110" t="str">
        <f t="shared" ref="OV67:OV129" si="356">IF(AND(NZ67=$OV$2,CI67&gt;10,CI67&lt;23.4),"BAJO PESO",IF(AND(NZ67=$OV$2,CI67&gt;23.3,CI67&lt;27.9),"NORMAL",IF(AND(NZ67=$OV$2,CI67&gt;27.8,CI67&lt;32.2),"SOBREPESO",IF(AND(NZ67=$OV$2,CI67&gt;32.1,CI67&lt;50),"OBESIDAD",""))))</f>
        <v/>
      </c>
      <c r="OW67" s="43" t="str">
        <f t="shared" ref="OW67:OW129" si="357">IF(AND(NZ67=$OW$2,CI67&gt;10,CI67&lt;23.5),"BAJO PESO",IF(AND(NZ67=$OW$2,CI67&gt;23.4,CI67&lt;28),"NORMAL",IF(AND(NZ67=$OW$2,CI67&gt;27.9,CI67&lt;32.1),"SOBREPESO",IF(AND(NZ67=$OW$2,CI67&gt;32.2,CI67&lt;50),"OBESIDAD",""))))</f>
        <v/>
      </c>
      <c r="OX67" s="43" t="str">
        <f t="shared" ref="OX67:OX129" si="358">IF(AND(NZ67=$OX$2,CI67&gt;10,CI67&lt;23.7),"BAJO PESO",IF(AND(NZ67=$OX$2,CI67&gt;23.6,CI67&lt;28.1),"NORMAL",IF(AND(NZ67=$OX$2,CI67&gt;28,CI67&lt;33.4),"SOBREPESO",IF(AND(NZ67=$OX$2,CI67&gt;33.3,CI67&lt;50),"OBESIDAD",""))))</f>
        <v/>
      </c>
      <c r="OY67" s="43" t="str">
        <f t="shared" ref="OY67:OY129" si="359">IF(AND(NZ67=$OY$2,CI67&gt;10,CI67&lt;23.9),"BAJO PESO",IF(AND(NZ67=$OY$2,CI67&gt;23.8,CI67&lt;28.2),"NORMAL",IF(AND(NZ67=$OY$2,CI67&gt;28.1,CI67&lt;33.5),"SOBREPESO",IF(AND(NZ67=$OY$2,CI67&gt;33.4,CI67&lt;50),"OBESIDAD",""))))</f>
        <v/>
      </c>
      <c r="OZ67" s="43" t="str">
        <f t="shared" ref="OZ67:OZ129" si="360">IF(AND(NZ67=$OZ$2,CI67&gt;10,CI67&lt;24),"BAJO PESO",IF(AND(NZ67=$OZ$2,CI67&gt;23.9,CI67&lt;28.4),"NORMAL",IF(AND(NZ67=$OZ$2,CI67&gt;28.3,CI67&lt;33.6),"SOBREPESO",IF(AND(NZ67=$OZ$2,CI67&gt;33.5,CI67&lt;50),"OBESIDAD",""))))</f>
        <v/>
      </c>
      <c r="PA67" s="43" t="str">
        <f t="shared" ref="PA67:PA129" si="361">IF(AND(NZ67=$PA$2,CI67&gt;10,CI67&lt;24.2),"BAJO PESO",IF(AND(NZ67=$PA$2,CI67&gt;24.1,CI67&lt;28.5),"NORMAL",IF(AND(NZ67=$PA$2,CI67&gt;28.4,CI67&lt;33.7),"SOBREPESO",IF(AND(NZ67=$PA$2,CI67&gt;33.6,CI67&lt;50),"OBESIDAD",""))))</f>
        <v/>
      </c>
      <c r="PB67" s="43" t="str">
        <f t="shared" ref="PB67:PB129" si="362">IF(AND(NZ67=$PB$2,CI67&gt;10,CI67&lt;24.3),"BAJO PESO",IF(AND(NZ67=$PB$2,CI67&gt;24.2,CI67&lt;28.6),"NORMAL",IF(AND(NZ67=$PB$2,CI67&gt;28.5,CI67&lt;33.8),"SOBREPESO",IF(AND(NZ67=$PB$2,CI67&gt;33.7,CI67&lt;50),"OBESIDAD",""))))</f>
        <v/>
      </c>
      <c r="PC67" s="43" t="str">
        <f t="shared" ref="PC67:PC129" si="363">IF(AND(NZ67=$PC$2,CI67&gt;10,CI67&lt;24.5),"BAJO PESO",IF(AND(NZ67=$PC$2,CI67&gt;24.4,CI67&lt;28.8),"NORMAL",IF(AND(NZ67=$PC$2,CI67&gt;28.7,CI67&lt;32.9),"SOBREPESO",IF(AND(NZ67=$PC$2,CI67&gt;32.8,CI67&lt;50),"OBESIDAD",""))))</f>
        <v/>
      </c>
      <c r="PD67" s="43" t="str">
        <f t="shared" ref="PD67:PD129" si="364">IF(AND(NZ67=$PD$2,CI67&gt;10,CI67&lt;24.6),"BAJO PESO",IF(AND(NZ67=$PD$2,CI67&gt;24.5,CI67&lt;28.9),"NORMAL",IF(AND(NZ67=$PD$2,CI67&gt;28.8,CI67&lt;33),"SOBREPESO",IF(AND(NZ67=$PD$2,CI67&gt;32.9,CI67&lt;50),"OBESIDAD",""))))</f>
        <v/>
      </c>
      <c r="PE67" s="43" t="str">
        <f t="shared" ref="PE67:PE129" si="365">IF(AND(NZ67=$PE$2,CI67&gt;10,CI67&lt;24.8),"BAJO PESO",IF(AND(NZ67=$PE$2,CI67&gt;24.7,CI67&lt;29),"NORMAL",IF(AND(NZ67=$PE$2,CI67&gt;28.9,CI67&lt;33.1),"SOBREPESO",IF(AND(NZ67=$PE$2,CI67&gt;33,CI67&lt;50),"OBESIDAD",""))))</f>
        <v/>
      </c>
      <c r="PF67" s="43" t="str">
        <f t="shared" ref="PF67:PF129" si="366">IF(AND(NZ67=$PF$2,CI67&gt;10,CI67&lt;25),"BAJO PESO",IF(AND(NZ67=$PF$2,CI67&gt;24.9,CI67&lt;29.2),"NORMAL",IF(AND(NZ67=$PF$2,CI67&gt;29.1,CI67&lt;33.2),"SOBREPESO",IF(AND(NZ67=$PF$2,CI67&gt;33.1,CI67&lt;50),"OBESIDAD",""))))</f>
        <v/>
      </c>
      <c r="PG67" s="43" t="str">
        <f t="shared" ref="PG67:PG129" si="367">IF(AND(NZ67=$PG$2,CI67&gt;10,CI67&lt;25.1),"BAJO PESO",IF(AND(NZ67=$PG$2,CI67&gt;25,CI67&lt;29.3),"NORMAL",IF(AND(NZ67=$PG$2,CI67&gt;29.2,CI67&lt;33.3),"SOBREPESO",IF(AND(NZ67=$PG$2,CI67&gt;33.2,CI67&lt;50),"OBESIDAD",""))))</f>
        <v/>
      </c>
      <c r="PH67" s="43" t="str">
        <f t="shared" ref="PH67:PH129" si="368">IF(AND(NZ67=$PH$2,CI67&gt;10,CI67&lt;25.1),"BAJO PESO",IF(AND(NZ67=$PH$2,CI67&gt;25,CI67&lt;29.4),"NORMAL",IF(AND(NZ67=$PH$2,CI67&gt;29.3,CI67&lt;33.3),"SOBREPESO",IF(AND(NZ67=$PH$2,CI67&gt;33.2,CI67&lt;50),"OBESIDAD",""))))</f>
        <v/>
      </c>
      <c r="PI67" s="43">
        <f t="shared" ref="PI67:PI129" si="369">IF(DZ67="","",IF(DZ67&lt;10,"Menor",DZ67))</f>
        <v>39</v>
      </c>
      <c r="PJ67" s="43" t="str">
        <f t="shared" ref="PJ67:PJ129" si="370">IF(AND(PI67=$PJ$2,CM67&gt;10,CM67&lt;18.5),"BAJO PESO",IF(AND(PI67=$PJ$2,CM67&gt;18.4,CM67&lt;25),"NORMAL",IF(AND(PI67=$PJ$2,CM67&gt;24,CM67&lt;30),"SOBREPESO",IF(AND(PI67=$PJ$2,CM67&gt;29,CM67&lt;50),"OBESIDAD",""))))</f>
        <v/>
      </c>
      <c r="PK67" s="43" t="str">
        <f t="shared" ref="PK67:PK129" si="371">IF(AND(PI67=$PK$2,CM67&gt;10,CM67&lt;20.3),"BAJO PESO",IF(AND(PI67=$PK$2,CM67&gt;20.2,CM67&lt;25.3),"NORMAL",IF(AND(PI67=$PK$2,CM67&gt;25.2,CM67&lt;30.3),"SOBREPESO",IF(AND(PI67=$PK$2,CM67&gt;30.2,CM67&lt;50),"OBESIDAD",""))))</f>
        <v/>
      </c>
      <c r="PL67" s="43" t="str">
        <f t="shared" ref="PL67:PL129" si="372">IF(AND(PI67=$PL$2,CM67&gt;10,CM67&lt;20.4),"BAJO PESO",IF(AND(PI67=$PL$2,CM67&gt;20.3,CM67&lt;25.4),"NORMAL",IF(AND(PI67=$PL$2,CM67&gt;25.3,CM67&lt;30.4),"SOBREPESO",IF(AND(PI67=$PL$2,CM67&gt;30.3,CM67&lt;50),"OBESIDAD",""))))</f>
        <v/>
      </c>
      <c r="PM67" s="43" t="str">
        <f t="shared" ref="PM67:PM129" si="373">IF(AND(PI67=$PM$2,CM67&gt;10,CM67&lt;20.5),"BAJO PESO",IF(AND(PI67=$PM$2,CM67&gt;20.4,CM67&lt;25.5),"NORMAL",IF(AND(PI67=$PM$2,CM67&gt;25.4,CM67&lt;30.4),"SOBREPESO",IF(AND(PI67=$PM$2,CM67&gt;30.3,CM67&lt;50),"OBESIDAD",""))))</f>
        <v/>
      </c>
      <c r="PN67" s="43" t="str">
        <f t="shared" ref="PN67:PN129" si="374">IF(AND(PI67=$PN$2,CM67&gt;10,CM67&lt;20.7),"BAJO PESO",IF(AND(PI67=$PN$2,CM67&gt;20.6,CM67&lt;25.7),"NORMAL",IF(AND(PI67=$PN$2,CM67&gt;25.7,CM67&lt;30.5),"SOBREPESO",IF(AND(PI67=$PN$2,CM67&gt;30.4,CM67&lt;50),"OBESIDAD",""))))</f>
        <v/>
      </c>
      <c r="PO67" s="43" t="str">
        <f t="shared" ref="PO67:PO129" si="375">IF(AND(PI67=$PO$2,CM67&gt;10,CM67&lt;20.8),"BAJO PESO",IF(AND(PI67=$PO$2,CM67&gt;20.7,CM67&lt;25.8),"NORMAL",IF(AND(PI67=$PO$2,CM67&gt;25.7,CM67&lt;30.6),"SOBREPESO",IF(AND(PI67=$PO$2,CM67&gt;30.5,CM67&lt;50),"OBESIDAD",""))))</f>
        <v/>
      </c>
      <c r="PP67" s="43" t="str">
        <f t="shared" ref="PP67:PP129" si="376">IF(AND(PI67=$PP$2,CM67&gt;10,CM67&lt;20.9),"BAJO PESO",IF(AND(PI67=$PP$2,CM67&gt;20.8,CM67&lt;25.9),"NORMAL",IF(AND(PI67=$PP$2,CM67&gt;25.8,CM67&lt;30.7),"SOBREPESO",IF(AND(PI67=$PP$2,CM67&gt;30.6,CM67&lt;50),"OBESIDAD",""))))</f>
        <v/>
      </c>
      <c r="PQ67" s="43" t="str">
        <f t="shared" ref="PQ67:PQ129" si="377">IF(AND(PI67=$PQ$2,CM67&gt;10,CM67&lt;21.1),"BAJO PESO",IF(AND(PI67=$PQ$2,CM67&gt;21,CM67&lt;26),"NORMAL",IF(AND(PI67=$PQ$2,CM67&gt;25.9,CM67&lt;30.8),"SOBREPESO",IF(AND(PI67=$PQ$2,CM67&gt;30.7,CM67&lt;50),"OBESIDAD",""))))</f>
        <v/>
      </c>
      <c r="PR67" s="43" t="str">
        <f t="shared" ref="PR67:PR129" si="378">IF(AND(PI67=$PR$2,CM67&gt;10,CM67&lt;21.2),"BAJO PESO",IF(AND(PI67=$PR$2,CM67&gt;21.1,CM67&lt;26.1),"NORMAL",IF(AND(PI67=$PR$2,CM67&gt;26,CM67&lt;31.9),"SOBREPESO",IF(AND(PI67=$PR$2,CM67&gt;30.8,CM67&lt;50),"OBESIDAD",""))))</f>
        <v/>
      </c>
      <c r="PS67" s="43" t="str">
        <f t="shared" ref="PS67:PS129" si="379">IF(AND(PI67=$PS$2,CM67&gt;10,CM67&lt;21.3),"BAJO PESO",IF(AND(PI67=$PS$2,CM67&gt;21.2,CM67&lt;26.2),"NORMAL",IF(AND(PI67=$PS$2,CM67&gt;26.1,CM67&lt;31),"SOBREPESO",IF(AND(PI67=$PS$2,CM67&gt;30.9,CM67&lt;50),"OBESIDAD",""))))</f>
        <v/>
      </c>
      <c r="PT67" s="43" t="str">
        <f t="shared" ref="PT67:PT129" si="380">IF(AND(PI67=$PT$2,CM67&gt;10,CM67&lt;21.5),"BAJO PESO",IF(AND(PI67=$PT$2,CM67&gt;21.4,CM67&lt;26.3),"NORMAL",IF(AND(PI67=$PT$2,CM67&gt;26.2,CM67&lt;31),"SOBREPESO",IF(AND(PI67=$PT$2,CM67&gt;30.9,CM67&lt;50),"OBESIDAD",""))))</f>
        <v/>
      </c>
      <c r="PU67" s="43" t="str">
        <f t="shared" ref="PU67:PU129" si="381">IF(AND(PI67=$PU$2,CM67&gt;10,CM67&lt;21.6),"BAJO PESO",IF(AND(PI67=$PU$2,CM67&gt;21.5,CM67&lt;26.4),"NORMAL",IF(AND(PI67=$PU$2,CM67&gt;26.3,CM67&lt;31.1),"SOBREPESO",IF(AND(PI67=$PU$2,CM67&gt;31,CM67&lt;50),"OBESIDAD",""))))</f>
        <v/>
      </c>
      <c r="PV67" s="43" t="str">
        <f t="shared" ref="PV67:PV129" si="382">IF(AND(PI67=$PV$2,CM67&gt;10,CM67&lt;21.8),"BAJO PESO",IF(AND(PI67=$PV$2,CM67&gt;21.7,CM67&lt;26.5),"NORMAL",IF(AND(PI67=$PV$2,CM67&gt;26.4,CM67&lt;31.2),"SOBREPESO",IF(AND(PI67=$PV$2,CM67&gt;31.1,CM67&lt;50),"OBESIDAD",""))))</f>
        <v/>
      </c>
      <c r="PW67" s="43" t="str">
        <f t="shared" ref="PW67:PW129" si="383">IF(AND(PI67=$PW$2,CM67&gt;10,CM67&lt;21.9),"BAJO PESO",IF(AND(PI67=$PW$2,CM67&gt;21.8,CM67&lt;26.7),"NORMAL",IF(AND(PI67=$PW$2,CM67&gt;26.6,CM67&lt;31.3),"SOBREPESO",IF(AND(PI67=$PW$2,CM67&gt;31.2,CM67&lt;50),"OBESIDAD",""))))</f>
        <v/>
      </c>
      <c r="PX67" s="43" t="str">
        <f t="shared" ref="PX67:PX129" si="384">IF(AND(PI67=$PX$2,CM67&gt;10,CM67&lt;22.1),"BAJO PESO",IF(AND(PI67=$PX$2,CM67&gt;22,CM67&lt;26.8),"NORMAL",IF(AND(PI67=$PX$2,CM67&gt;26.7,CM67&lt;31.4),"SOBREPESO",IF(AND(PI67=$PX$2,CM67&gt;31.3,CM67&lt;50),"OBESIDAD",""))))</f>
        <v/>
      </c>
      <c r="PY67" s="43" t="str">
        <f t="shared" ref="PY67:PY129" si="385">IF(AND(PI67=$PY$2,CM67&gt;10,CM67&lt;22.3),"BAJO PESO",IF(AND(PI67=$PY$2,CM67&gt;22.2,CM67&lt;27),"NORMAL",IF(AND(PI67=$PY$2,CM67&gt;26.9,CM67&lt;31.6),"SOBREPESO",IF(AND(PI67=$PY$2,CM67&gt;31.5,CM67&lt;50),"OBESIDAD",""))))</f>
        <v/>
      </c>
      <c r="PZ67" s="43" t="str">
        <f t="shared" ref="PZ67:PZ129" si="386">IF(AND(PI67=$PZ$2,$CM67&gt;10,CM67&lt;22.5),"BAJO PESO",IF(AND(PI67=$PZ$2,CM67&gt;22.4,CM67&lt;27.1),"NORMAL",IF(AND(PI67=$PZ$2,CM67&gt;27,CM67&lt;31.7),"SOBREPESO",IF(AND(PI67=$PZ$2,CM67&gt;31.6,CM67&lt;50),"OBESIDAD",""))))</f>
        <v/>
      </c>
      <c r="QA67" s="43" t="str">
        <f t="shared" ref="QA67:QA129" si="387">IF(AND(PI67=$QA$2,CM67&gt;10,CM67&lt;22.7),"BAJO PESO",IF(AND(PI67=$QA$2,CM67&gt;22.6,CM67&lt;27.3),"NORMAL",IF(AND(PI67=$QA$2,CM67&gt;27.1,CM67&lt;31.8),"SOBREPESO",IF(AND(PI67=$QA$2,CM67&gt;31.7,CM67&lt;50),"OBESIDAD",""))))</f>
        <v/>
      </c>
      <c r="QB67" s="43" t="str">
        <f t="shared" ref="QB67:QB129" si="388">IF(AND(PI67=$QB$2,CM67&gt;10,CM67&lt;22.8),"BAJO PESO",IF(AND(PI67=$QB$2,CM67&gt;22.7,CM67&lt;27.4),"NORMAL",IF(AND(PI67=$QB$2,CM67&gt;27.3,CM67&lt;31.9),"SOBREPESO",IF(AND(PI67=$QB$2,CM67&gt;31.8,CM67&lt;50),"OBESIDAD",""))))</f>
        <v/>
      </c>
      <c r="QC67" s="43" t="str">
        <f t="shared" ref="QC67:QC129" si="389">IF(AND(PI67=$QC$2,CM67&gt;10,CM67&lt;23),"BAJO PESO",IF(AND(PI67=$QC$2,CM67&gt;22.9,CM67&lt;27.6),"NORMAL",IF(AND(PI67=$QC$2,CM67&gt;27.5,CM67&lt;32),"SOBREPESO",IF(AND(PI67=$QC$2,CM67&gt;31.9,CM67&lt;50),"OBESIDAD",""))))</f>
        <v/>
      </c>
      <c r="QD67" s="43" t="str">
        <f t="shared" ref="QD67:QD129" si="390">IF(AND(PI67=$QD$2,CM67&gt;10,CM67&lt;23.2),"BAJO PESO",IF(AND(PI67=$QD$2,CM67&gt;23.1,CM67&lt;27.7),"NORMAL",IF(AND(PI67=$QD$2,CM67&gt;27.6,CM67&lt;32.1),"SOBREPESO",IF(AND(PI67=$QD$2,CM67&gt;32,CM67&lt;50),"OBESIDAD",""))))</f>
        <v/>
      </c>
      <c r="QE67" s="43" t="str">
        <f t="shared" ref="QE67:QE129" si="391">IF(AND(PI67=$QE$2,CM67&gt;10,CM67&lt;23.4),"BAJO PESO",IF(AND(PI67=$QE$2,CM67&gt;23.3,CM67&lt;27.9),"NORMAL",IF(AND(PI67=$QE$2,CM67&gt;27.8,CM67&lt;32.2),"SOBREPESO",IF(AND(PI67=$QE$2,CM67&gt;32.1,CM67&lt;50),"OBESIDAD",""))))</f>
        <v/>
      </c>
      <c r="QF67" s="43" t="str">
        <f t="shared" ref="QF67:QF129" si="392">IF(AND(PI67=$QF$2,CM67&gt;10,CM67&lt;23.5),"BAJO PESO",IF(AND(PI67=$QF$2,CM67&gt;23.4,CM67&lt;28),"NORMAL",IF(AND(PI67=$QF$2,CM67&gt;27.9,CM67&lt;32.1),"SOBREPESO",IF(AND(PI67=$QF$2,CM67&gt;32.2,CM67&lt;50),"OBESIDAD",""))))</f>
        <v/>
      </c>
      <c r="QG67" s="43" t="str">
        <f t="shared" ref="QG67:QG129" si="393">IF(AND(PI67=$QG$2,CM67&gt;10,CM67&lt;23.7),"BAJO PESO",IF(AND(PI67=$QG$2,CM67&gt;23.6,CM67&lt;28.1),"NORMAL",IF(AND(PI67=$QG$2,CM67&gt;28,CM67&lt;33.4),"SOBREPESO",IF(AND(PI67=$QG$2,CM67&gt;33.3,CM67&lt;50),"OBESIDAD",""))))</f>
        <v/>
      </c>
      <c r="QH67" s="43" t="str">
        <f t="shared" ref="QH67:QH129" si="394">IF(AND(PI67=$QH$2,CM67&gt;10,CM67&lt;23.9),"BAJO PESO",IF(AND(PI67=$QH$2,CM67&gt;23.8,CM67&lt;28.2),"NORMAL",IF(AND(PI67=$QH$2,CM67&gt;28.1,CM67&lt;33.5),"SOBREPESO",IF(AND(PI67=$QH$2,CM67&gt;33.4,CM67&lt;50),"OBESIDAD",""))))</f>
        <v/>
      </c>
      <c r="QI67" s="43" t="str">
        <f t="shared" ref="QI67:QI129" si="395">IF(AND(PI67=$QI$2,CM67&gt;10,CM67&lt;24),"BAJO PESO",IF(AND(PI67=$QI$2,CM67&gt;23.9,CM67&lt;28.4),"NORMAL",IF(AND(PI67=$QI$2,CM67&gt;28.3,CM67&lt;33.6),"SOBREPESO",IF(AND(PI67=$QI$2,CM67&gt;33.5,CM67&lt;50),"OBESIDAD",""))))</f>
        <v/>
      </c>
      <c r="QJ67" s="43" t="str">
        <f t="shared" ref="QJ67:QJ129" si="396">IF(AND(PI67=$QJ$2,CM67&gt;10,CM67&lt;24.2),"BAJO PESO",IF(AND(PI67=$QJ$2,CM67&gt;24.1,CM67&lt;28.5),"NORMAL",IF(AND(PI67=$QJ$2,CM67&gt;28.4,CM67&lt;33.7),"SOBREPESO",IF(AND(PI67=$QJ$2,CM67&gt;33.6,CM67&lt;50),"OBESIDAD",""))))</f>
        <v/>
      </c>
      <c r="QK67" s="43" t="str">
        <f t="shared" ref="QK67:QK129" si="397">IF(AND(PI67=$QK$2,CM67&gt;10,CM67&lt;24.3),"BAJO PESO",IF(AND(PI67=$QK$2,CM67&gt;24.2,CM67&lt;28.6),"NORMAL",IF(AND(PI67=$QK$2,CM67&gt;28.5,CM67&lt;33.8),"SOBREPESO",IF(AND(PI67=$QK$2,CM67&gt;33.7,CM67&lt;50),"OBESIDAD",""))))</f>
        <v/>
      </c>
      <c r="QL67" s="43" t="str">
        <f t="shared" ref="QL67:QL129" si="398">IF(AND(PI67=$QL$2,CM67&gt;10,CM67&lt;24.5),"BAJO PESO",IF(AND(PI67=$QL$2,CM67&gt;24.4,CM67&lt;28.8),"NORMAL",IF(AND(PI67=$QL$2,CM67&gt;28.7,CM67&lt;32.9),"SOBREPESO",IF(AND(PI67=$QL$2,CM67&gt;32.8,CM67&lt;50),"OBESIDAD",""))))</f>
        <v/>
      </c>
      <c r="QM67" s="43" t="str">
        <f t="shared" ref="QM67:QM129" si="399">IF(AND(PI67=$QM$2,CM67&gt;10,CM67&lt;24.6),"BAJO PESO",IF(AND(PI67=$QM$2,CM67&gt;24.5,CM67&lt;28.9),"NORMAL",IF(AND(PI67=$QM$2,CM67&gt;28.8,CM67&lt;33),"SOBREPESO",IF(AND(PI67=$QM$2,CM67&gt;32.9,CM67&lt;50),"OBESIDAD",""))))</f>
        <v/>
      </c>
      <c r="QN67" s="43" t="str">
        <f t="shared" ref="QN67:QN129" si="400">IF(AND(PI67=$QN$2,CM67&gt;10,CM67&lt;24.8),"BAJO PESO",IF(AND(PI67=$QN$2,CM67&gt;24.7,CM67&lt;29),"NORMAL",IF(AND(PI67=$QN$2,CM67&gt;28.9,CM67&lt;33.1),"SOBREPESO",IF(AND(PI67=$QN$2,CM67&gt;33,CM67&lt;50),"OBESIDAD",""))))</f>
        <v>OBESIDAD</v>
      </c>
      <c r="QO67" s="43" t="str">
        <f t="shared" ref="QO67:QO129" si="401">IF(AND(PI67=$QO$2,CM67&gt;10,CM67&lt;25),"BAJO PESO",IF(AND(PI67=$QO$2,CM67&gt;24.9,CM67&lt;29.2),"NORMAL",IF(AND(PI67=$QO$2,CM67&gt;29.1,CM67&lt;33.2),"SOBREPESO",IF(AND(PI67=$QO$2,CM67&gt;33.1,CM67&lt;50),"OBESIDAD",""))))</f>
        <v/>
      </c>
      <c r="QP67" s="43" t="str">
        <f t="shared" ref="QP67:QP129" si="402">IF(AND(PI67=$QP$2,CM67&gt;10,CM67&lt;25.1),"BAJO PESO",IF(AND(PI67=$QP$2,CM67&gt;25,CM67&lt;29.3),"NORMAL",IF(AND(PI67=$QP$2,CM67&gt;29.2,CM67&lt;33.3),"SOBREPESO",IF(AND(PI67=$QP$2,CM67&gt;33.2,CM67&lt;50),"OBESIDAD",""))))</f>
        <v/>
      </c>
      <c r="QQ67" s="43" t="str">
        <f t="shared" ref="QQ67:QQ129" si="403">IF(AND(PI67=$QQ$2,CM67&gt;10,CM67&lt;25.1),"BAJO PESO",IF(AND(PI67=$QQ$2,CM67&gt;25,CM67&lt;29.4),"NORMAL",IF(AND(PI67=$QQ$2,CM67&gt;29.3,CM67&lt;33.3),"SOBREPESO",IF(AND(PI67=$QQ$2,CM67&gt;33.2,CM67&lt;50),"OBESIDAD",""))))</f>
        <v/>
      </c>
      <c r="QR67" s="43">
        <f t="shared" si="192"/>
        <v>39</v>
      </c>
      <c r="QS67" s="43"/>
      <c r="QT67" s="21" t="str">
        <f t="shared" ref="QT67:QT129" si="404">IF(AND(QR67=$QT$2,CP67&gt;1,CP67&lt;8),"BAJO PARA EDAD GESTACIONAL",IF(AND(QR67=$QT$2,CP67&gt;=8,CP67&lt;=12),"ADECUADO PARA EDAD GESTACIONAL",IF(AND(QR67=$QT$2,CP67&gt;12,CP67&lt;38),"ALTO PARA EDAD GESTACIONAL","")))</f>
        <v/>
      </c>
      <c r="QU67" s="21" t="str">
        <f t="shared" ref="QU67:QU129" si="405">IF(AND(QR67=$QU$2,CP67&gt;1,CP67&lt;8.5),"BAJO PARA EDAD GESTACIONAL",IF(AND(QR67=$QU$2,CP67&gt;=8.5,CP67&lt;=14.5),"ADECUADO PARA EDAD GESTACIONAL",IF(AND(QR67=$QU$2,CP67&gt;14.5,CP67&lt;38),"ALTO PARA EDAD GESTACIONAL","")))</f>
        <v/>
      </c>
      <c r="QV67" s="21" t="str">
        <f t="shared" ref="QV67:QV129" si="406">IF(AND(QR67=$QV$2,CP67&gt;1,CP67&lt;9.5),"BAJO PARA EDAD GESTACIONAL",IF(AND(QR67=$QV$2,CP67&gt;=9.5,CP67&lt;=15),"ADECUADO PARA EDAD GESTACIONAL",IF(AND(QR67=$QV$2,CP67&gt;15,CP67&lt;38),"ALTO PARA EDAD GESTACIONAL","")))</f>
        <v/>
      </c>
      <c r="QW67" s="21" t="str">
        <f t="shared" ref="QW67:QW129" si="407">IF(AND(QR67=$QW$2,CP67&gt;1,CP67&lt;11.5),"BAJO PARA EDAD GESTACIONAL",IF(AND(QR67=$QW$2,CP67&gt;=11.5,CP67&lt;=18),"ADECUADO PARA EDAD GESTACIONAL",IF(AND(QR67=$QW$2,CP67&gt;18,CP67&lt;38),"ALTO PARA EDAD GESTACIONAL","")))</f>
        <v/>
      </c>
      <c r="QX67" s="21" t="str">
        <f t="shared" ref="QX67:QX129" si="408">IF(AND(QR67=$QX$2,CP67&gt;1,CP67&lt;12.5),"BAJO PARA EDAD GESTACIONAL",IF(AND(QR67=$QX$2,CP67&gt;=12.5,CP67&lt;=18),"ADECUADO PARA EDAD GESTACIONAL",IF(AND(QR67=$QX$2,CP67&gt;18,CP67&lt;38),"ALTO PARA EDAD GESTACIONAL","")))</f>
        <v/>
      </c>
      <c r="QY67" s="21" t="str">
        <f t="shared" ref="QY67:QY129" si="409">IF(AND(QR67=$QY$2,CP67&gt;1,CP67&lt;13.5),"BAJO PARA EDAD GESTACIONAL",IF(AND(QR67=$QY$2,CP67&gt;=13.5,CP67&lt;=19),"ADECUADO PARA EDAD GESTACIONAL",IF(AND(QR67=$QY$2,CP67&gt;19,CP67&lt;38),"ALTO PARA EDAD GESTACIONAL","")))</f>
        <v/>
      </c>
      <c r="QZ67" s="21" t="str">
        <f t="shared" ref="QZ67:QZ129" si="410">IF(AND(QR67=$QZ$2,CP67&gt;1,CP67&lt;14),"BAJO PARA EDAD GESTACIONAL",IF(AND(QR67=$QZ$2,CP67&gt;=14,CP67&lt;=19.5),"ADECUADO PARA EDAD GESTACIONAL",IF(AND(QR67=$QZ$2,CP67&gt;19.5,CP67&lt;38),"ALTO PARA EDAD GESTACIONAL","")))</f>
        <v/>
      </c>
      <c r="RA67" s="21" t="str">
        <f t="shared" ref="RA67:RA129" si="411">IF(AND(QR67=$RA$2,CP67&gt;1,CP67&lt;15),"BAJO PARA EDAD GESTACIONAL",IF(AND(QR67=$RA$2,CP67&gt;=15,CP67&lt;=21),"ADECUADO PARA EDAD GESTACIONAL",IF(AND(QR67=$RA$2,CP67&gt;21,CP67&lt;38),"ALTO PARA EDAD GESTACIONAL","")))</f>
        <v/>
      </c>
      <c r="RB67" s="21" t="str">
        <f t="shared" ref="RB67:RB129" si="412">IF(AND(QR67=$RB$2,CP67&gt;1,CP67&lt;15.5),"BAJO PARA EDAD GESTACIONAL",IF(AND(QR67=$RB$2,CP67&gt;=15.5,CP67&lt;=21.5),"ADECUADO PARA EDAD GESTACIONAL",IF(AND(QR67=$RB$2,CP67&gt;21.5,CP67&lt;38),"ALTO PARA EDAD GESTACIONAL","")))</f>
        <v/>
      </c>
      <c r="RC67" s="21" t="str">
        <f t="shared" ref="RC67:RC129" si="413">IF(AND(QR67=$RC$2,CP67&gt;1,CP67&lt;16.5),"BAJO PARA EDAD GESTACIONAL",IF(AND(QR67=$RC$2,CP67&gt;=16.5,CP67&lt;=22.5),"ADECUADO PARA EDAD GESTACIONAL",IF(AND(QR67=$RC$2,CP67&gt;22.5,CP67&lt;38),"ALTO PARA EDAD GESTACIONAL","")))</f>
        <v/>
      </c>
      <c r="RD67" s="21" t="str">
        <f t="shared" ref="RD67:RD129" si="414">IF(AND(QR67=$RD$2,CP67&gt;1,CP67&lt;17.5),"BAJO PARA EDAD GESTACIONAL",IF(AND(QR67=$RD$2,CP67&gt;=17.5,CP67&lt;=23),"ADECUADO PARA EDAD GESTACIONAL",IF(AND(QR67=$RD$2,CP67&gt;23,CP67&lt;38),"ALTO PARA EDAD GESTACIONAL","")))</f>
        <v/>
      </c>
      <c r="RE67" s="21" t="str">
        <f t="shared" ref="RE67:RE129" si="415">IF(AND(QR67=$RE$2,CP67&gt;1,CP67&lt;18.5),"BAJO PARA EDAD GESTACIONAL",IF(AND(QR67=$RE$2,CP67&gt;=18.5,CP67&lt;=24),"ADECUADO PARA EDAD GESTACIONAL",IF(AND(QR67=$RE$2,CP67&gt;24,CP67&lt;38),"ALTO PARA EDAD GESTACIONAL","")))</f>
        <v/>
      </c>
      <c r="RF67" s="21" t="str">
        <f t="shared" ref="RF67:RF129" si="416">IF(AND(QR67=$RF$2,CP67&gt;1,CP67&lt;19.5),"BAJO PARA EDAD GESTACIONAL",IF(AND(QR67=$RF$2,CP67&gt;=19.5,CP67&lt;=25),"ADECUADO PARA EDAD GESTACIONAL",IF(AND(QR67=$RF$2,CP67&gt;25,CP67&lt;38),"ALTO PARA EDAD GESTACIONAL","")))</f>
        <v/>
      </c>
      <c r="RG67" s="21" t="str">
        <f t="shared" ref="RG67:RG129" si="417">IF(AND(QR67=$RG$2,CP67&gt;1,CP67&lt;20),"BAJO PARA EDAD GESTACIONAL",IF(AND(QR67=$RG$2,CP67&gt;=20,CP67&lt;=25.5),"ADECUADO PARA EDAD GESTACIONAL",IF(AND(QR67=$RG$2,CP67&gt;25.5,CP67&lt;38),"ALTO PARA EDAD GESTACIONAL","")))</f>
        <v/>
      </c>
      <c r="RH67" s="21" t="str">
        <f t="shared" ref="RH67:RH129" si="418">IF(AND(QR67=$RH$2,CP67&gt;1,CP67&lt;20.5),"BAJO PARA EDAD GESTACIONAL",IF(AND(QR67=$RH$2,CP67&gt;=20.5,CP67&lt;=26.5),"ADECUADO PARA EDAD GESTACIONAL",IF(AND(QR67=$RH$2,CP67&gt;26.5,CP67&lt;38),"ALTO PARA EDAD GESTACIONAL","")))</f>
        <v/>
      </c>
      <c r="RI67" s="21" t="str">
        <f t="shared" ref="RI67:RI129" si="419">IF(AND(QR67=$RI$2,CP67&gt;1,CP67&lt;21),"BAJO PARA EDAD GESTACIONAL",IF(AND(QR67=$RI$2,CP67&gt;=21,CP67&lt;=27),"ADECUADO PARA EDAD GESTACIONAL",IF(AND(QR67=$RI$2,CP67&gt;27,CP67&lt;38),"ALTO PARA EDAD GESTACIONAL","")))</f>
        <v/>
      </c>
      <c r="RJ67" s="21" t="str">
        <f t="shared" ref="RJ67:RJ129" si="420">IF(AND(QR67=$RJ$2,CP67&gt;1,CP67&lt;22.5),"BAJO PARA EDAD GESTACIONAL",IF(AND(QR67=$RJ$2,CP67&gt;=22.5,CP67&lt;=28),"ADECUADO PARA EDAD GESTACIONAL",IF(AND(QR67=$RJ$2,CP67&gt;28,CP67&lt;38),"ALTO PARA EDAD GESTACIONAL","")))</f>
        <v/>
      </c>
      <c r="RK67" s="21" t="str">
        <f t="shared" ref="RK67:RK129" si="421">IF(AND(QR67=$RK$2,CP67&gt;1,CP67&lt;23.5),"BAJO PARA EDAD GESTACIONAL",IF(AND(QR67=$RK$2,CP67&gt;=23.5,CP67&lt;=29),"ADECUADO PARA EDAD GESTACIONAL",IF(AND(QR67=$RK$2,CP67&gt;29,CP67&lt;38),"ALTO PARA EDAD GESTACIONAL","")))</f>
        <v/>
      </c>
      <c r="RL67" s="21" t="str">
        <f t="shared" ref="RL67:RL129" si="422">IF(AND(QR67=$RL$2,CP67&gt;1,CP67&lt;24),"BAJO PARA EDAD GESTACIONAL",IF(AND(QR67=$RL$2,CP67&gt;=24,CP67&lt;=29.5),"ADECUADO PARA EDAD GESTACIONAL",IF(AND(QR67=$RL$2,CP67&gt;29.5,CP67&lt;38),"ALTO PARA EDAD GESTACIONAL","")))</f>
        <v/>
      </c>
      <c r="RM67" s="21" t="str">
        <f t="shared" ref="RM67:RM129" si="423">IF(AND(QR67=$RM$2,CP67&gt;1,CP67&lt;25),"BAJO PARA EDAD GESTACIONAL",IF(AND(QR67=$RM$2,CP67&gt;=25,CP67&lt;=30),"ADECUADO PARA EDAD GESTACIONAL",IF(AND(QR67=$RM$2,CP67&gt;30,CP67&lt;38),"ALTO PARA EDAD GESTACIONAL","")))</f>
        <v/>
      </c>
      <c r="RN67" s="21" t="str">
        <f t="shared" ref="RN67:RN129" si="424">IF(AND(QR67=$RN$2,CP67&gt;1,CP67&lt;25.5),"BAJO PARA EDAD GESTACIONAL",IF(AND(QR67=$RN$2,CP67&gt;=25.5,CP67&lt;=31),"ADECUADO PARA EDAD GESTACIONAL",IF(AND(QR67=$RN$2,CP67&gt;31,CP67&lt;38),"ALTO PARA EDAD GESTACIONAL","")))</f>
        <v/>
      </c>
      <c r="RO67" s="21" t="str">
        <f t="shared" ref="RO67:RO129" si="425">IF(AND(QR67=$RO$2,CP67&gt;1,CP67&lt;26),"BAJO PARA EDAD GESTACIONAL",IF(AND(QR67=$RO$2,CP67&gt;=26,CP67&lt;=32),"ADECUADO PARA EDAD GESTACIONAL",IF(AND(QR67=$RO$2,CP67&gt;32,CP67&lt;38),"ALTO PARA EDAD GESTACIONAL","")))</f>
        <v/>
      </c>
      <c r="RP67" s="21" t="str">
        <f t="shared" ref="RP67:RP129" si="426">IF(AND(QR67=$RP$2,CP67&gt;1,CP67&lt;26.5),"BAJO PARA EDAD GESTACIONAL",IF(AND(QR67=$RP$2,CP67&gt;=26.5,CP67&lt;=33),"ADECUADO PARA EDAD GESTACIONAL",IF(AND(QR67=$RP$2,CP67&gt;33,CP67&lt;38),"ALTO PARA EDAD GESTACIONAL","")))</f>
        <v/>
      </c>
      <c r="RQ67" s="21" t="str">
        <f t="shared" ref="RQ67:RQ129" si="427">IF(AND(QR67=$RQ$2,CP67&gt;1,CP67&lt;28),"BAJO PARA EDAD GESTACIONAL",IF(AND(QR67=$RQ$2,CP67&gt;=28,CP67&lt;=33),"ADECUADO PARA EDAD GESTACIONAL",IF(AND(QR67=$RQ$2,CP67&gt;33,CP67&lt;38),"ALTO PARA EDAD GESTACIONAL","")))</f>
        <v/>
      </c>
      <c r="RR67" s="21" t="str">
        <f t="shared" ref="RR67:RR129" si="428">IF(AND(QR67=$RR$2,CP67&gt;1,CP67&lt;28.5),"BAJO PARA EDAD GESTACIONAL",IF(AND(QR67=$RR$2,CP67&gt;=28.5,CP67&lt;=34),"ADECUADO PARA EDAD GESTACIONAL",IF(AND(QR67=$RR$2,CP67&gt;34,CP67&lt;38),"ALTO PARA EDAD GESTACIONAL","")))</f>
        <v/>
      </c>
      <c r="RS67" s="21" t="str">
        <f t="shared" ref="RS67:RS129" si="429">IF(AND(QR67=$RS$2,CP67&gt;1,CP67&lt;29.5),"BAJO PARA EDAD GESTACIONAL",IF(AND(QR67=$RS$2,CP67&gt;=29.5,CP67&lt;=34),"ADECUADO PARA EDAD GESTACIONAL",IF(AND(QR67=$RS$2,CP67&gt;34,CP67&lt;38),"ALTO PARA EDAD GESTACIONAL","")))</f>
        <v/>
      </c>
      <c r="RT67" s="21" t="str">
        <f t="shared" ref="RT67:RT129" si="430">IF(AND(QR67=$RT$2,CP67&gt;1,CP67&lt;30.5),"BAJO PARA EDAD GESTACIONAL",IF(AND(QR67=$RT$2,CP67&gt;=30.5,CP67&lt;=34),"ADECUADO PARA EDAD GESTACIONAL",IF(AND(QR67=$RT$2,CP67&gt;34,CP67&lt;38),"ALTO PARA EDAD GESTACIONAL","")))</f>
        <v/>
      </c>
      <c r="RU67" s="21" t="str">
        <f t="shared" ref="RU67:RU129" si="431">IF(AND(QR67=$RU$2,CP67&gt;1,CP67&lt;31),"BAJO PARA EDAD GESTACIONAL",IF(AND(QR67=$RU$2,CP67&gt;=31,CP67&lt;=34.5),"ADECUADO PARA EDAD GESTACIONAL",IF(AND(QR67=$RU$2,CP67&gt;34.5,CP67&lt;38),"ALTO PARA EDAD GESTACIONAL","")))</f>
        <v/>
      </c>
      <c r="RV67" s="21">
        <f t="shared" ref="RV67:RV129" si="432">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19.873972602739727</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t="str">
        <f t="shared" ca="1" si="289"/>
        <v>**********************MULTIPARIDAD*****************</v>
      </c>
      <c r="HK68" s="21" t="str">
        <f t="shared" si="290"/>
        <v>SIN ANTECEDENTES DE RIESGO</v>
      </c>
      <c r="HL68" s="24" t="str">
        <f t="shared" si="291"/>
        <v>APARENTEMENTE NORMAL</v>
      </c>
      <c r="HM68" s="21" t="str">
        <f t="shared" ca="1" si="292"/>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3"/>
        <v>18</v>
      </c>
      <c r="IA68" s="26" t="s">
        <v>864</v>
      </c>
      <c r="IB68" s="26"/>
      <c r="IC68" s="111"/>
      <c r="ID68" s="22"/>
      <c r="IE68" s="22" t="str">
        <f t="shared" ca="1" si="294"/>
        <v>SALE SIN VACUNA</v>
      </c>
      <c r="IF68" s="22"/>
      <c r="IG68" s="22">
        <f t="shared" si="295"/>
        <v>45064</v>
      </c>
      <c r="IH68" s="29">
        <f t="shared" ca="1" si="296"/>
        <v>-168</v>
      </c>
      <c r="II68" s="22" t="str">
        <f t="shared" ca="1" si="297"/>
        <v>POSIBLEMENTE NACIO</v>
      </c>
      <c r="IJ68" s="22"/>
      <c r="IK68" s="21" t="s">
        <v>1652</v>
      </c>
      <c r="IL68" s="21"/>
      <c r="IM68" s="34"/>
      <c r="IN68" s="349">
        <v>45051</v>
      </c>
      <c r="IO68" s="21" t="s">
        <v>1186</v>
      </c>
      <c r="IP68" s="29">
        <f t="shared" si="298"/>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9"/>
        <v>PESO ADECUADO EDAD GESTACIONAL</v>
      </c>
      <c r="JF68" s="30"/>
      <c r="JG68" s="21"/>
      <c r="JH68" s="21"/>
      <c r="JI68" s="21" t="s">
        <v>854</v>
      </c>
      <c r="JJ68" s="30" t="s">
        <v>866</v>
      </c>
      <c r="JK68" s="22"/>
      <c r="JL68" s="22"/>
      <c r="JM68" s="21"/>
      <c r="JN68" s="36"/>
      <c r="JO68" s="21" t="str">
        <f t="shared" si="300"/>
        <v/>
      </c>
      <c r="JP68" s="22"/>
      <c r="JQ68" s="21"/>
      <c r="JR68" s="21"/>
      <c r="JS68" s="21"/>
      <c r="JT68" s="30"/>
      <c r="JU68" s="22"/>
      <c r="JV68" s="22"/>
      <c r="JW68" s="33"/>
      <c r="JX68" s="28" t="str">
        <f t="shared" si="301"/>
        <v>INASISTENTE</v>
      </c>
      <c r="JY68" s="33"/>
      <c r="JZ68" s="28" t="str">
        <f t="shared" si="302"/>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3"/>
        <v>0</v>
      </c>
      <c r="MI68" s="43" t="str">
        <f t="shared" si="304"/>
        <v/>
      </c>
      <c r="MJ68" s="43" t="str">
        <f t="shared" si="305"/>
        <v/>
      </c>
      <c r="MK68" s="43">
        <f t="shared" si="306"/>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7"/>
        <v>17.857142857142858</v>
      </c>
      <c r="MN68" s="43">
        <f t="shared" si="308"/>
        <v>12</v>
      </c>
      <c r="MO68" s="43">
        <f t="shared" si="309"/>
        <v>2022</v>
      </c>
      <c r="MP68" s="43" t="str">
        <f t="shared" si="310"/>
        <v>IV TRIMESTRE AÑO</v>
      </c>
      <c r="MQ68" s="43">
        <f t="shared" si="311"/>
        <v>18.70072273324573</v>
      </c>
      <c r="MR68" s="43">
        <f t="shared" si="312"/>
        <v>0</v>
      </c>
      <c r="MS68" s="43" t="str">
        <f t="shared" si="313"/>
        <v>DE 14 A 19AÑOS</v>
      </c>
      <c r="MT68" s="43">
        <f t="shared" si="314"/>
        <v>0</v>
      </c>
      <c r="MU68" s="43">
        <f t="shared" si="315"/>
        <v>1</v>
      </c>
      <c r="MV68" s="43">
        <f t="shared" si="316"/>
        <v>0</v>
      </c>
      <c r="MW68" s="43">
        <f t="shared" si="317"/>
        <v>0</v>
      </c>
      <c r="MX68" s="43" t="str">
        <f t="shared" si="318"/>
        <v/>
      </c>
      <c r="MY68" s="43" t="str">
        <f t="shared" ca="1" si="229"/>
        <v/>
      </c>
      <c r="MZ68" s="43" t="str">
        <f t="shared" si="319"/>
        <v/>
      </c>
      <c r="NA68" s="43">
        <f t="shared" si="320"/>
        <v>0</v>
      </c>
      <c r="NB68" s="43" t="str">
        <f t="shared" si="321"/>
        <v/>
      </c>
      <c r="NC68" s="43" t="str">
        <f t="shared" si="322"/>
        <v/>
      </c>
      <c r="ND68" s="43">
        <f t="shared" ca="1" si="323"/>
        <v>1</v>
      </c>
      <c r="NE68" s="43">
        <f>IF(OR(O68&gt;0,R68&gt;0),SUM(COUNTIF(Tabla1[[#This Row],[AÑOS AL INICIO5 CPN]],"&gt;=40"),COUNTIF(AS68,"0"),COUNTIF(AR68,"SI"),COUNTIF(CC68,"SI"),COUNTIF(BQ68,"&gt;119"),COUNTIF(CI68,"&gt;=35")),"")</f>
        <v>1</v>
      </c>
      <c r="NF68" s="43" t="str">
        <f t="shared" si="324"/>
        <v/>
      </c>
      <c r="NG68" s="43">
        <f t="shared" si="325"/>
        <v>0</v>
      </c>
      <c r="NH68" s="43">
        <f t="shared" si="326"/>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7"/>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8"/>
        <v>II TRIM</v>
      </c>
      <c r="NQ68" s="21" t="str">
        <f t="shared" si="241"/>
        <v/>
      </c>
      <c r="NR68" s="21">
        <f t="shared" si="242"/>
        <v>2</v>
      </c>
      <c r="NS68" s="205">
        <f t="shared" ca="1" si="329"/>
        <v>2</v>
      </c>
      <c r="NT68" s="21">
        <f t="shared" ca="1" si="330"/>
        <v>2</v>
      </c>
      <c r="NU68" s="21" t="str">
        <f t="shared" ca="1" si="331"/>
        <v>COMPLETO</v>
      </c>
      <c r="NV68" s="21" t="str">
        <f t="shared" ca="1" si="332"/>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3"/>
        <v>SIN VACUNAR</v>
      </c>
      <c r="NY68" s="43">
        <f>ROW(Tabla1[[#This Row],['# DE TAMIZAJES SIFILIS TOMADOS ]])</f>
        <v>68</v>
      </c>
      <c r="NZ68" s="43">
        <f t="shared" si="334"/>
        <v>17</v>
      </c>
      <c r="OA68" s="43" t="str">
        <f t="shared" si="335"/>
        <v/>
      </c>
      <c r="OB68" s="43" t="str">
        <f t="shared" si="336"/>
        <v/>
      </c>
      <c r="OC68" s="43" t="str">
        <f t="shared" si="337"/>
        <v/>
      </c>
      <c r="OD68" s="43" t="str">
        <f t="shared" si="338"/>
        <v/>
      </c>
      <c r="OE68" s="43" t="str">
        <f t="shared" si="339"/>
        <v/>
      </c>
      <c r="OF68" s="43" t="str">
        <f t="shared" si="340"/>
        <v/>
      </c>
      <c r="OG68" s="43" t="str">
        <f t="shared" si="341"/>
        <v/>
      </c>
      <c r="OH68" s="43" t="str">
        <f t="shared" si="342"/>
        <v/>
      </c>
      <c r="OI68" s="43" t="str">
        <f t="shared" si="343"/>
        <v>SOBREPESO</v>
      </c>
      <c r="OJ68" s="43" t="str">
        <f t="shared" si="344"/>
        <v/>
      </c>
      <c r="OK68" s="43" t="str">
        <f t="shared" si="345"/>
        <v/>
      </c>
      <c r="OL68" s="43" t="str">
        <f t="shared" si="346"/>
        <v/>
      </c>
      <c r="OM68" s="43" t="str">
        <f t="shared" si="347"/>
        <v/>
      </c>
      <c r="ON68" s="43" t="str">
        <f t="shared" si="348"/>
        <v/>
      </c>
      <c r="OO68" s="43" t="str">
        <f t="shared" si="349"/>
        <v/>
      </c>
      <c r="OP68" s="43" t="str">
        <f t="shared" si="350"/>
        <v/>
      </c>
      <c r="OQ68" s="43" t="str">
        <f t="shared" si="351"/>
        <v/>
      </c>
      <c r="OR68" s="43" t="str">
        <f t="shared" si="352"/>
        <v/>
      </c>
      <c r="OS68" s="43" t="str">
        <f t="shared" si="353"/>
        <v/>
      </c>
      <c r="OT68" s="43" t="str">
        <f t="shared" si="354"/>
        <v/>
      </c>
      <c r="OU68" s="43" t="str">
        <f t="shared" si="355"/>
        <v/>
      </c>
      <c r="OV68" s="110" t="str">
        <f t="shared" si="356"/>
        <v/>
      </c>
      <c r="OW68" s="43" t="str">
        <f t="shared" si="357"/>
        <v/>
      </c>
      <c r="OX68" s="43" t="str">
        <f t="shared" si="358"/>
        <v/>
      </c>
      <c r="OY68" s="43" t="str">
        <f t="shared" si="359"/>
        <v/>
      </c>
      <c r="OZ68" s="43" t="str">
        <f t="shared" si="360"/>
        <v/>
      </c>
      <c r="PA68" s="43" t="str">
        <f t="shared" si="361"/>
        <v/>
      </c>
      <c r="PB68" s="43" t="str">
        <f t="shared" si="362"/>
        <v/>
      </c>
      <c r="PC68" s="43" t="str">
        <f t="shared" si="363"/>
        <v/>
      </c>
      <c r="PD68" s="43" t="str">
        <f t="shared" si="364"/>
        <v/>
      </c>
      <c r="PE68" s="43" t="str">
        <f t="shared" si="365"/>
        <v/>
      </c>
      <c r="PF68" s="43" t="str">
        <f t="shared" si="366"/>
        <v/>
      </c>
      <c r="PG68" s="43" t="str">
        <f t="shared" si="367"/>
        <v/>
      </c>
      <c r="PH68" s="43" t="str">
        <f t="shared" si="368"/>
        <v/>
      </c>
      <c r="PI68" s="43">
        <f t="shared" si="369"/>
        <v>37</v>
      </c>
      <c r="PJ68" s="43" t="str">
        <f t="shared" si="370"/>
        <v/>
      </c>
      <c r="PK68" s="43" t="str">
        <f t="shared" si="371"/>
        <v/>
      </c>
      <c r="PL68" s="43" t="str">
        <f t="shared" si="372"/>
        <v/>
      </c>
      <c r="PM68" s="43" t="str">
        <f t="shared" si="373"/>
        <v/>
      </c>
      <c r="PN68" s="43" t="str">
        <f t="shared" si="374"/>
        <v/>
      </c>
      <c r="PO68" s="43" t="str">
        <f t="shared" si="375"/>
        <v/>
      </c>
      <c r="PP68" s="43" t="str">
        <f t="shared" si="376"/>
        <v/>
      </c>
      <c r="PQ68" s="43" t="str">
        <f t="shared" si="377"/>
        <v/>
      </c>
      <c r="PR68" s="43" t="str">
        <f t="shared" si="378"/>
        <v/>
      </c>
      <c r="PS68" s="43" t="str">
        <f t="shared" si="379"/>
        <v/>
      </c>
      <c r="PT68" s="43" t="str">
        <f t="shared" si="380"/>
        <v/>
      </c>
      <c r="PU68" s="43" t="str">
        <f t="shared" si="381"/>
        <v/>
      </c>
      <c r="PV68" s="43" t="str">
        <f t="shared" si="382"/>
        <v/>
      </c>
      <c r="PW68" s="43" t="str">
        <f t="shared" si="383"/>
        <v/>
      </c>
      <c r="PX68" s="43" t="str">
        <f t="shared" si="384"/>
        <v/>
      </c>
      <c r="PY68" s="43" t="str">
        <f t="shared" si="385"/>
        <v/>
      </c>
      <c r="PZ68" s="43" t="str">
        <f t="shared" si="386"/>
        <v/>
      </c>
      <c r="QA68" s="43" t="str">
        <f t="shared" si="387"/>
        <v/>
      </c>
      <c r="QB68" s="43" t="str">
        <f t="shared" si="388"/>
        <v/>
      </c>
      <c r="QC68" s="43" t="str">
        <f t="shared" si="389"/>
        <v/>
      </c>
      <c r="QD68" s="43" t="str">
        <f t="shared" si="390"/>
        <v/>
      </c>
      <c r="QE68" s="43" t="str">
        <f t="shared" si="391"/>
        <v/>
      </c>
      <c r="QF68" s="43" t="str">
        <f t="shared" si="392"/>
        <v/>
      </c>
      <c r="QG68" s="43" t="str">
        <f t="shared" si="393"/>
        <v/>
      </c>
      <c r="QH68" s="43" t="str">
        <f t="shared" si="394"/>
        <v/>
      </c>
      <c r="QI68" s="43" t="str">
        <f t="shared" si="395"/>
        <v/>
      </c>
      <c r="QJ68" s="43" t="str">
        <f t="shared" si="396"/>
        <v/>
      </c>
      <c r="QK68" s="43" t="str">
        <f t="shared" si="397"/>
        <v/>
      </c>
      <c r="QL68" s="43" t="str">
        <f t="shared" si="398"/>
        <v/>
      </c>
      <c r="QM68" s="43" t="str">
        <f t="shared" si="399"/>
        <v/>
      </c>
      <c r="QN68" s="43" t="str">
        <f t="shared" si="400"/>
        <v/>
      </c>
      <c r="QO68" s="43" t="str">
        <f t="shared" si="401"/>
        <v/>
      </c>
      <c r="QP68" s="43" t="str">
        <f t="shared" si="402"/>
        <v/>
      </c>
      <c r="QQ68" s="43" t="str">
        <f t="shared" si="403"/>
        <v/>
      </c>
      <c r="QR68" s="43">
        <f t="shared" ref="QR68:QR130" si="433">IF(DZ68="","",IF(DZ68&lt;13,"Menor",IF(DZ68&gt;40,"Mayor",DZ68)))</f>
        <v>37</v>
      </c>
      <c r="QS68" s="43"/>
      <c r="QT68" s="21" t="str">
        <f t="shared" si="404"/>
        <v/>
      </c>
      <c r="QU68" s="21" t="str">
        <f t="shared" si="405"/>
        <v/>
      </c>
      <c r="QV68" s="21" t="str">
        <f t="shared" si="406"/>
        <v/>
      </c>
      <c r="QW68" s="21" t="str">
        <f t="shared" si="407"/>
        <v/>
      </c>
      <c r="QX68" s="21" t="str">
        <f t="shared" si="408"/>
        <v/>
      </c>
      <c r="QY68" s="21" t="str">
        <f t="shared" si="409"/>
        <v/>
      </c>
      <c r="QZ68" s="21" t="str">
        <f t="shared" si="410"/>
        <v/>
      </c>
      <c r="RA68" s="21" t="str">
        <f t="shared" si="411"/>
        <v/>
      </c>
      <c r="RB68" s="21" t="str">
        <f t="shared" si="412"/>
        <v/>
      </c>
      <c r="RC68" s="21" t="str">
        <f t="shared" si="413"/>
        <v/>
      </c>
      <c r="RD68" s="21" t="str">
        <f t="shared" si="414"/>
        <v/>
      </c>
      <c r="RE68" s="21" t="str">
        <f t="shared" si="415"/>
        <v/>
      </c>
      <c r="RF68" s="21" t="str">
        <f t="shared" si="416"/>
        <v/>
      </c>
      <c r="RG68" s="21" t="str">
        <f t="shared" si="417"/>
        <v/>
      </c>
      <c r="RH68" s="21" t="str">
        <f t="shared" si="418"/>
        <v/>
      </c>
      <c r="RI68" s="21" t="str">
        <f t="shared" si="419"/>
        <v/>
      </c>
      <c r="RJ68" s="21" t="str">
        <f t="shared" si="420"/>
        <v/>
      </c>
      <c r="RK68" s="21" t="str">
        <f t="shared" si="421"/>
        <v/>
      </c>
      <c r="RL68" s="21" t="str">
        <f t="shared" si="422"/>
        <v/>
      </c>
      <c r="RM68" s="21" t="str">
        <f t="shared" si="423"/>
        <v/>
      </c>
      <c r="RN68" s="21" t="str">
        <f t="shared" si="424"/>
        <v/>
      </c>
      <c r="RO68" s="21" t="str">
        <f t="shared" si="425"/>
        <v/>
      </c>
      <c r="RP68" s="21" t="str">
        <f t="shared" si="426"/>
        <v/>
      </c>
      <c r="RQ68" s="21" t="str">
        <f t="shared" si="427"/>
        <v/>
      </c>
      <c r="RR68" s="21" t="str">
        <f t="shared" si="428"/>
        <v>ADECUADO PARA EDAD GESTACIONAL</v>
      </c>
      <c r="RS68" s="21" t="str">
        <f t="shared" si="429"/>
        <v/>
      </c>
      <c r="RT68" s="21" t="str">
        <f t="shared" si="430"/>
        <v/>
      </c>
      <c r="RU68" s="21" t="str">
        <f t="shared" si="431"/>
        <v/>
      </c>
      <c r="RV68" s="21">
        <f t="shared" si="432"/>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4">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29.616438356164384</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t="str">
        <f t="shared" ca="1" si="289"/>
        <v>*************************CESAREAS PREVIAS**************</v>
      </c>
      <c r="HK69" s="21" t="str">
        <f t="shared" si="290"/>
        <v>SIN ANTECEDENTES DE RIESGO</v>
      </c>
      <c r="HL69" s="24" t="str">
        <f t="shared" si="291"/>
        <v>APARENTEMENTE NORMAL</v>
      </c>
      <c r="HM69" s="21" t="str">
        <f t="shared" ca="1" si="292"/>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3"/>
        <v>7.1428571428571432</v>
      </c>
      <c r="IA69" s="26" t="s">
        <v>864</v>
      </c>
      <c r="IB69" s="26"/>
      <c r="IC69" s="111"/>
      <c r="ID69" s="22"/>
      <c r="IE69" s="22" t="str">
        <f t="shared" ca="1" si="294"/>
        <v>SALE SIN VACUNA</v>
      </c>
      <c r="IF69" s="22"/>
      <c r="IG69" s="22">
        <f t="shared" si="295"/>
        <v>45140</v>
      </c>
      <c r="IH69" s="29">
        <f t="shared" ca="1" si="296"/>
        <v>-92</v>
      </c>
      <c r="II69" s="22" t="str">
        <f t="shared" ca="1" si="297"/>
        <v>POSIBLEMENTE NACIO</v>
      </c>
      <c r="IJ69" s="22"/>
      <c r="IK69" s="21" t="s">
        <v>1652</v>
      </c>
      <c r="IL69" s="21"/>
      <c r="IM69" s="34"/>
      <c r="IN69" s="349">
        <v>45126</v>
      </c>
      <c r="IO69" s="21" t="s">
        <v>1186</v>
      </c>
      <c r="IP69" s="29">
        <f t="shared" si="298"/>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9"/>
        <v>PESO ADECUADO EDAD GESTACIONAL</v>
      </c>
      <c r="JF69" s="30"/>
      <c r="JG69" s="21"/>
      <c r="JH69" s="21"/>
      <c r="JI69" s="21" t="s">
        <v>854</v>
      </c>
      <c r="JJ69" s="30" t="s">
        <v>866</v>
      </c>
      <c r="JK69" s="22"/>
      <c r="JL69" s="22"/>
      <c r="JM69" s="21"/>
      <c r="JN69" s="36"/>
      <c r="JO69" s="21" t="str">
        <f t="shared" si="300"/>
        <v/>
      </c>
      <c r="JP69" s="22"/>
      <c r="JQ69" s="21"/>
      <c r="JR69" s="21"/>
      <c r="JS69" s="21"/>
      <c r="JT69" s="30"/>
      <c r="JU69" s="22"/>
      <c r="JV69" s="22"/>
      <c r="JW69" s="33"/>
      <c r="JX69" s="28" t="str">
        <f t="shared" si="301"/>
        <v>INASISTENTE</v>
      </c>
      <c r="JY69" s="33"/>
      <c r="JZ69" s="28" t="str">
        <f t="shared" si="302"/>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3"/>
        <v>0</v>
      </c>
      <c r="MI69" s="43" t="str">
        <f t="shared" si="304"/>
        <v/>
      </c>
      <c r="MJ69" s="43" t="str">
        <f t="shared" si="305"/>
        <v/>
      </c>
      <c r="MK69" s="43">
        <f t="shared" si="306"/>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7"/>
        <v>7.1428571428571432</v>
      </c>
      <c r="MN69" s="43">
        <f t="shared" si="308"/>
        <v>12</v>
      </c>
      <c r="MO69" s="43">
        <f t="shared" si="309"/>
        <v>2022</v>
      </c>
      <c r="MP69" s="43" t="str">
        <f t="shared" si="310"/>
        <v>IV TRIMESTRE AÑO</v>
      </c>
      <c r="MQ69" s="43">
        <f t="shared" si="311"/>
        <v>28.296101620674548</v>
      </c>
      <c r="MR69" s="43">
        <f t="shared" si="312"/>
        <v>0</v>
      </c>
      <c r="MS69" s="43" t="str">
        <f t="shared" si="313"/>
        <v xml:space="preserve"> DE 25 A 29 AÑOS</v>
      </c>
      <c r="MT69" s="43">
        <f t="shared" si="314"/>
        <v>0</v>
      </c>
      <c r="MU69" s="43">
        <f t="shared" si="315"/>
        <v>0</v>
      </c>
      <c r="MV69" s="43">
        <f t="shared" si="316"/>
        <v>1</v>
      </c>
      <c r="MW69" s="43">
        <f t="shared" si="317"/>
        <v>0</v>
      </c>
      <c r="MX69" s="43" t="str">
        <f t="shared" si="318"/>
        <v/>
      </c>
      <c r="MY69" s="43" t="str">
        <f t="shared" ca="1" si="229"/>
        <v/>
      </c>
      <c r="MZ69" s="43" t="str">
        <f t="shared" si="319"/>
        <v/>
      </c>
      <c r="NA69" s="43">
        <f t="shared" si="320"/>
        <v>0</v>
      </c>
      <c r="NB69" s="43" t="str">
        <f t="shared" si="321"/>
        <v/>
      </c>
      <c r="NC69" s="43" t="str">
        <f t="shared" si="322"/>
        <v/>
      </c>
      <c r="ND69" s="43">
        <f t="shared" ca="1" si="323"/>
        <v>1</v>
      </c>
      <c r="NE69" s="43">
        <f>IF(OR(O69&gt;0,R69&gt;0),SUM(COUNTIF(Tabla1[[#This Row],[AÑOS AL INICIO5 CPN]],"&gt;=40"),COUNTIF(AS69,"0"),COUNTIF(AR69,"SI"),COUNTIF(CC69,"SI"),COUNTIF(BQ69,"&gt;119"),COUNTIF(CI69,"&gt;=35")),"")</f>
        <v>1</v>
      </c>
      <c r="NF69" s="43" t="str">
        <f t="shared" si="324"/>
        <v/>
      </c>
      <c r="NG69" s="43">
        <f t="shared" si="325"/>
        <v>0</v>
      </c>
      <c r="NH69" s="43">
        <f t="shared" si="326"/>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7"/>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8"/>
        <v>I TRIM</v>
      </c>
      <c r="NQ69" s="21" t="str">
        <f t="shared" si="241"/>
        <v/>
      </c>
      <c r="NR69" s="21">
        <f t="shared" si="242"/>
        <v>3</v>
      </c>
      <c r="NS69" s="205">
        <f t="shared" ca="1" si="329"/>
        <v>1</v>
      </c>
      <c r="NT69" s="21">
        <f t="shared" ca="1" si="330"/>
        <v>1</v>
      </c>
      <c r="NU69" s="21" t="str">
        <f t="shared" ca="1" si="331"/>
        <v>INCOMPLETO</v>
      </c>
      <c r="NV69" s="21" t="str">
        <f t="shared" ca="1" si="332"/>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3"/>
        <v>SIN VACUNAR</v>
      </c>
      <c r="NY69" s="43">
        <f>ROW(Tabla1[[#This Row],['# DE TAMIZAJES SIFILIS TOMADOS ]])</f>
        <v>69</v>
      </c>
      <c r="NZ69" s="43" t="str">
        <f t="shared" si="334"/>
        <v>Menor</v>
      </c>
      <c r="OA69" s="43" t="str">
        <f t="shared" si="335"/>
        <v>OBESIDAD</v>
      </c>
      <c r="OB69" s="43" t="str">
        <f t="shared" si="336"/>
        <v/>
      </c>
      <c r="OC69" s="43" t="str">
        <f t="shared" si="337"/>
        <v/>
      </c>
      <c r="OD69" s="43" t="str">
        <f t="shared" si="338"/>
        <v/>
      </c>
      <c r="OE69" s="43" t="str">
        <f t="shared" si="339"/>
        <v/>
      </c>
      <c r="OF69" s="43" t="str">
        <f t="shared" si="340"/>
        <v/>
      </c>
      <c r="OG69" s="43" t="str">
        <f t="shared" si="341"/>
        <v/>
      </c>
      <c r="OH69" s="43" t="str">
        <f t="shared" si="342"/>
        <v/>
      </c>
      <c r="OI69" s="43" t="str">
        <f t="shared" si="343"/>
        <v/>
      </c>
      <c r="OJ69" s="43" t="str">
        <f t="shared" si="344"/>
        <v/>
      </c>
      <c r="OK69" s="43" t="str">
        <f t="shared" si="345"/>
        <v/>
      </c>
      <c r="OL69" s="43" t="str">
        <f t="shared" si="346"/>
        <v/>
      </c>
      <c r="OM69" s="43" t="str">
        <f t="shared" si="347"/>
        <v/>
      </c>
      <c r="ON69" s="43" t="str">
        <f t="shared" si="348"/>
        <v/>
      </c>
      <c r="OO69" s="43" t="str">
        <f t="shared" si="349"/>
        <v/>
      </c>
      <c r="OP69" s="43" t="str">
        <f t="shared" si="350"/>
        <v/>
      </c>
      <c r="OQ69" s="43" t="str">
        <f t="shared" si="351"/>
        <v/>
      </c>
      <c r="OR69" s="43" t="str">
        <f t="shared" si="352"/>
        <v/>
      </c>
      <c r="OS69" s="43" t="str">
        <f t="shared" si="353"/>
        <v/>
      </c>
      <c r="OT69" s="43" t="str">
        <f t="shared" si="354"/>
        <v/>
      </c>
      <c r="OU69" s="43" t="str">
        <f t="shared" si="355"/>
        <v/>
      </c>
      <c r="OV69" s="110" t="str">
        <f t="shared" si="356"/>
        <v/>
      </c>
      <c r="OW69" s="43" t="str">
        <f t="shared" si="357"/>
        <v/>
      </c>
      <c r="OX69" s="43" t="str">
        <f t="shared" si="358"/>
        <v/>
      </c>
      <c r="OY69" s="43" t="str">
        <f t="shared" si="359"/>
        <v/>
      </c>
      <c r="OZ69" s="43" t="str">
        <f t="shared" si="360"/>
        <v/>
      </c>
      <c r="PA69" s="43" t="str">
        <f t="shared" si="361"/>
        <v/>
      </c>
      <c r="PB69" s="43" t="str">
        <f t="shared" si="362"/>
        <v/>
      </c>
      <c r="PC69" s="43" t="str">
        <f t="shared" si="363"/>
        <v/>
      </c>
      <c r="PD69" s="43" t="str">
        <f t="shared" si="364"/>
        <v/>
      </c>
      <c r="PE69" s="43" t="str">
        <f t="shared" si="365"/>
        <v/>
      </c>
      <c r="PF69" s="43" t="str">
        <f t="shared" si="366"/>
        <v/>
      </c>
      <c r="PG69" s="43" t="str">
        <f t="shared" si="367"/>
        <v/>
      </c>
      <c r="PH69" s="43" t="str">
        <f t="shared" si="368"/>
        <v/>
      </c>
      <c r="PI69" s="43">
        <f t="shared" si="369"/>
        <v>31</v>
      </c>
      <c r="PJ69" s="43" t="str">
        <f t="shared" si="370"/>
        <v/>
      </c>
      <c r="PK69" s="43" t="str">
        <f t="shared" si="371"/>
        <v/>
      </c>
      <c r="PL69" s="43" t="str">
        <f t="shared" si="372"/>
        <v/>
      </c>
      <c r="PM69" s="43" t="str">
        <f t="shared" si="373"/>
        <v/>
      </c>
      <c r="PN69" s="43" t="str">
        <f t="shared" si="374"/>
        <v/>
      </c>
      <c r="PO69" s="43" t="str">
        <f t="shared" si="375"/>
        <v/>
      </c>
      <c r="PP69" s="43" t="str">
        <f t="shared" si="376"/>
        <v/>
      </c>
      <c r="PQ69" s="43" t="str">
        <f t="shared" si="377"/>
        <v/>
      </c>
      <c r="PR69" s="43" t="str">
        <f t="shared" si="378"/>
        <v/>
      </c>
      <c r="PS69" s="43" t="str">
        <f t="shared" si="379"/>
        <v/>
      </c>
      <c r="PT69" s="43" t="str">
        <f t="shared" si="380"/>
        <v/>
      </c>
      <c r="PU69" s="43" t="str">
        <f t="shared" si="381"/>
        <v/>
      </c>
      <c r="PV69" s="43" t="str">
        <f t="shared" si="382"/>
        <v/>
      </c>
      <c r="PW69" s="43" t="str">
        <f t="shared" si="383"/>
        <v/>
      </c>
      <c r="PX69" s="43" t="str">
        <f t="shared" si="384"/>
        <v/>
      </c>
      <c r="PY69" s="43" t="str">
        <f t="shared" si="385"/>
        <v/>
      </c>
      <c r="PZ69" s="43" t="str">
        <f t="shared" si="386"/>
        <v/>
      </c>
      <c r="QA69" s="43" t="str">
        <f t="shared" si="387"/>
        <v/>
      </c>
      <c r="QB69" s="43" t="str">
        <f t="shared" si="388"/>
        <v/>
      </c>
      <c r="QC69" s="43" t="str">
        <f t="shared" si="389"/>
        <v/>
      </c>
      <c r="QD69" s="43" t="str">
        <f t="shared" si="390"/>
        <v/>
      </c>
      <c r="QE69" s="43" t="str">
        <f t="shared" si="391"/>
        <v/>
      </c>
      <c r="QF69" s="43" t="str">
        <f t="shared" si="392"/>
        <v>OBESIDAD</v>
      </c>
      <c r="QG69" s="43" t="str">
        <f t="shared" si="393"/>
        <v/>
      </c>
      <c r="QH69" s="43" t="str">
        <f t="shared" si="394"/>
        <v/>
      </c>
      <c r="QI69" s="43" t="str">
        <f t="shared" si="395"/>
        <v/>
      </c>
      <c r="QJ69" s="43" t="str">
        <f t="shared" si="396"/>
        <v/>
      </c>
      <c r="QK69" s="43" t="str">
        <f t="shared" si="397"/>
        <v/>
      </c>
      <c r="QL69" s="43" t="str">
        <f t="shared" si="398"/>
        <v/>
      </c>
      <c r="QM69" s="43" t="str">
        <f t="shared" si="399"/>
        <v/>
      </c>
      <c r="QN69" s="43" t="str">
        <f t="shared" si="400"/>
        <v/>
      </c>
      <c r="QO69" s="43" t="str">
        <f t="shared" si="401"/>
        <v/>
      </c>
      <c r="QP69" s="43" t="str">
        <f t="shared" si="402"/>
        <v/>
      </c>
      <c r="QQ69" s="43" t="str">
        <f t="shared" si="403"/>
        <v/>
      </c>
      <c r="QR69" s="43">
        <f t="shared" si="433"/>
        <v>31</v>
      </c>
      <c r="QS69" s="43"/>
      <c r="QT69" s="21" t="str">
        <f t="shared" si="404"/>
        <v/>
      </c>
      <c r="QU69" s="21" t="str">
        <f t="shared" si="405"/>
        <v/>
      </c>
      <c r="QV69" s="21" t="str">
        <f t="shared" si="406"/>
        <v/>
      </c>
      <c r="QW69" s="21" t="str">
        <f t="shared" si="407"/>
        <v/>
      </c>
      <c r="QX69" s="21" t="str">
        <f t="shared" si="408"/>
        <v/>
      </c>
      <c r="QY69" s="21" t="str">
        <f t="shared" si="409"/>
        <v/>
      </c>
      <c r="QZ69" s="21" t="str">
        <f t="shared" si="410"/>
        <v/>
      </c>
      <c r="RA69" s="21" t="str">
        <f t="shared" si="411"/>
        <v/>
      </c>
      <c r="RB69" s="21" t="str">
        <f t="shared" si="412"/>
        <v/>
      </c>
      <c r="RC69" s="21" t="str">
        <f t="shared" si="413"/>
        <v/>
      </c>
      <c r="RD69" s="21" t="str">
        <f t="shared" si="414"/>
        <v/>
      </c>
      <c r="RE69" s="21" t="str">
        <f t="shared" si="415"/>
        <v/>
      </c>
      <c r="RF69" s="21" t="str">
        <f t="shared" si="416"/>
        <v/>
      </c>
      <c r="RG69" s="21" t="str">
        <f t="shared" si="417"/>
        <v/>
      </c>
      <c r="RH69" s="21" t="str">
        <f t="shared" si="418"/>
        <v/>
      </c>
      <c r="RI69" s="21" t="str">
        <f t="shared" si="419"/>
        <v/>
      </c>
      <c r="RJ69" s="21" t="str">
        <f t="shared" si="420"/>
        <v/>
      </c>
      <c r="RK69" s="21" t="str">
        <f t="shared" si="421"/>
        <v/>
      </c>
      <c r="RL69" s="21" t="str">
        <f t="shared" si="422"/>
        <v>ADECUADO PARA EDAD GESTACIONAL</v>
      </c>
      <c r="RM69" s="21" t="str">
        <f t="shared" si="423"/>
        <v/>
      </c>
      <c r="RN69" s="21" t="str">
        <f t="shared" si="424"/>
        <v/>
      </c>
      <c r="RO69" s="21" t="str">
        <f t="shared" si="425"/>
        <v/>
      </c>
      <c r="RP69" s="21" t="str">
        <f t="shared" si="426"/>
        <v/>
      </c>
      <c r="RQ69" s="21" t="str">
        <f t="shared" si="427"/>
        <v/>
      </c>
      <c r="RR69" s="21" t="str">
        <f t="shared" si="428"/>
        <v/>
      </c>
      <c r="RS69" s="21" t="str">
        <f t="shared" si="429"/>
        <v/>
      </c>
      <c r="RT69" s="21" t="str">
        <f t="shared" si="430"/>
        <v/>
      </c>
      <c r="RU69" s="21" t="str">
        <f t="shared" si="431"/>
        <v/>
      </c>
      <c r="RV69" s="21">
        <f t="shared" si="432"/>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4"/>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24.386301369863013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t="str">
        <f t="shared" ca="1" si="289"/>
        <v>***************************************</v>
      </c>
      <c r="HK70" s="21" t="str">
        <f t="shared" si="290"/>
        <v>SIN ANTECEDENTES DE RIESGO</v>
      </c>
      <c r="HL70" s="24" t="str">
        <f t="shared" si="291"/>
        <v>APARENTEMENTE NORMAL</v>
      </c>
      <c r="HM70" s="21" t="str">
        <f t="shared" ca="1" si="292"/>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3"/>
        <v>17.714285714285715</v>
      </c>
      <c r="IA70" s="26" t="s">
        <v>864</v>
      </c>
      <c r="IB70" s="26"/>
      <c r="IC70" s="111"/>
      <c r="ID70" s="22"/>
      <c r="IE70" s="22" t="str">
        <f t="shared" ca="1" si="294"/>
        <v>SALE SIN VACUNA</v>
      </c>
      <c r="IF70" s="22"/>
      <c r="IG70" s="22">
        <f t="shared" si="295"/>
        <v>45072</v>
      </c>
      <c r="IH70" s="29">
        <f t="shared" ca="1" si="296"/>
        <v>-160</v>
      </c>
      <c r="II70" s="22" t="str">
        <f t="shared" ca="1" si="297"/>
        <v>POSIBLEMENTE NACIO</v>
      </c>
      <c r="IJ70" s="22"/>
      <c r="IK70" s="21" t="s">
        <v>898</v>
      </c>
      <c r="IL70" s="21"/>
      <c r="IM70" s="34"/>
      <c r="IN70" s="349">
        <v>45083</v>
      </c>
      <c r="IO70" s="21" t="s">
        <v>1640</v>
      </c>
      <c r="IP70" s="29">
        <f t="shared" si="298"/>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9"/>
        <v>PESO ADECUADO EDAD GESTACIONAL</v>
      </c>
      <c r="JF70" s="30"/>
      <c r="JG70" s="21"/>
      <c r="JH70" s="21"/>
      <c r="JI70" s="21"/>
      <c r="JJ70" s="30"/>
      <c r="JK70" s="22"/>
      <c r="JL70" s="22"/>
      <c r="JM70" s="21"/>
      <c r="JN70" s="36"/>
      <c r="JO70" s="21" t="str">
        <f t="shared" si="300"/>
        <v/>
      </c>
      <c r="JP70" s="22"/>
      <c r="JQ70" s="21"/>
      <c r="JR70" s="21"/>
      <c r="JS70" s="21"/>
      <c r="JT70" s="30"/>
      <c r="JU70" s="22"/>
      <c r="JV70" s="22"/>
      <c r="JW70" s="33"/>
      <c r="JX70" s="28" t="str">
        <f t="shared" si="301"/>
        <v>INASISTENTE</v>
      </c>
      <c r="JY70" s="33"/>
      <c r="JZ70" s="28" t="str">
        <f t="shared" si="302"/>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3"/>
        <v>0</v>
      </c>
      <c r="MI70" s="43" t="str">
        <f t="shared" si="304"/>
        <v/>
      </c>
      <c r="MJ70" s="43" t="str">
        <f t="shared" si="305"/>
        <v/>
      </c>
      <c r="MK70" s="43">
        <f t="shared" si="306"/>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7"/>
        <v>17.714285714285715</v>
      </c>
      <c r="MN70" s="43">
        <f t="shared" si="308"/>
        <v>12</v>
      </c>
      <c r="MO70" s="43">
        <f t="shared" si="309"/>
        <v>2022</v>
      </c>
      <c r="MP70" s="43" t="str">
        <f t="shared" si="310"/>
        <v>IV TRIMESTRE AÑO</v>
      </c>
      <c r="MQ70" s="43">
        <f t="shared" si="311"/>
        <v>23.163053000438023</v>
      </c>
      <c r="MR70" s="43">
        <f t="shared" si="312"/>
        <v>0</v>
      </c>
      <c r="MS70" s="43" t="str">
        <f t="shared" si="313"/>
        <v xml:space="preserve"> DE 20 A 24 AÑOS</v>
      </c>
      <c r="MT70" s="43">
        <f t="shared" si="314"/>
        <v>0</v>
      </c>
      <c r="MU70" s="43">
        <f t="shared" si="315"/>
        <v>0</v>
      </c>
      <c r="MV70" s="43">
        <f t="shared" si="316"/>
        <v>0</v>
      </c>
      <c r="MW70" s="43">
        <f t="shared" si="317"/>
        <v>0</v>
      </c>
      <c r="MX70" s="43" t="str">
        <f t="shared" si="318"/>
        <v/>
      </c>
      <c r="MY70" s="43" t="str">
        <f t="shared" ca="1" si="229"/>
        <v/>
      </c>
      <c r="MZ70" s="43" t="str">
        <f t="shared" si="319"/>
        <v/>
      </c>
      <c r="NA70" s="43" t="str">
        <f t="shared" si="320"/>
        <v/>
      </c>
      <c r="NB70" s="43" t="str">
        <f t="shared" si="321"/>
        <v/>
      </c>
      <c r="NC70" s="43" t="str">
        <f t="shared" si="322"/>
        <v/>
      </c>
      <c r="ND70" s="43">
        <f t="shared" ca="1" si="323"/>
        <v>0</v>
      </c>
      <c r="NE70" s="43">
        <f>IF(OR(O70&gt;0,R70&gt;0),SUM(COUNTIF(Tabla1[[#This Row],[AÑOS AL INICIO5 CPN]],"&gt;=40"),COUNTIF(AS70,"0"),COUNTIF(AR70,"SI"),COUNTIF(CC70,"SI"),COUNTIF(BQ70,"&gt;119"),COUNTIF(CI70,"&gt;=35")),"")</f>
        <v>0</v>
      </c>
      <c r="NF70" s="43" t="str">
        <f t="shared" si="324"/>
        <v/>
      </c>
      <c r="NG70" s="43">
        <f t="shared" si="325"/>
        <v>0</v>
      </c>
      <c r="NH70" s="43">
        <f t="shared" si="326"/>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7"/>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8"/>
        <v>II TRIM</v>
      </c>
      <c r="NQ70" s="21" t="str">
        <f t="shared" si="241"/>
        <v/>
      </c>
      <c r="NR70" s="21">
        <f t="shared" si="242"/>
        <v>2</v>
      </c>
      <c r="NS70" s="205">
        <f t="shared" ca="1" si="329"/>
        <v>2</v>
      </c>
      <c r="NT70" s="21">
        <f t="shared" ca="1" si="330"/>
        <v>1</v>
      </c>
      <c r="NU70" s="21" t="str">
        <f t="shared" ca="1" si="331"/>
        <v>COMPLETO</v>
      </c>
      <c r="NV70" s="21" t="str">
        <f t="shared" ca="1" si="332"/>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3"/>
        <v>SIN VACUNAR</v>
      </c>
      <c r="NY70" s="43">
        <f>ROW(Tabla1[[#This Row],['# DE TAMIZAJES SIFILIS TOMADOS ]])</f>
        <v>70</v>
      </c>
      <c r="NZ70" s="43">
        <f t="shared" si="334"/>
        <v>17</v>
      </c>
      <c r="OA70" s="43" t="str">
        <f t="shared" si="335"/>
        <v/>
      </c>
      <c r="OB70" s="43" t="str">
        <f t="shared" si="336"/>
        <v/>
      </c>
      <c r="OC70" s="43" t="str">
        <f t="shared" si="337"/>
        <v/>
      </c>
      <c r="OD70" s="43" t="str">
        <f t="shared" si="338"/>
        <v/>
      </c>
      <c r="OE70" s="43" t="str">
        <f t="shared" si="339"/>
        <v/>
      </c>
      <c r="OF70" s="43" t="str">
        <f t="shared" si="340"/>
        <v/>
      </c>
      <c r="OG70" s="43" t="str">
        <f t="shared" si="341"/>
        <v/>
      </c>
      <c r="OH70" s="43" t="str">
        <f t="shared" si="342"/>
        <v/>
      </c>
      <c r="OI70" s="43" t="str">
        <f t="shared" si="343"/>
        <v>SOBREPESO</v>
      </c>
      <c r="OJ70" s="43" t="str">
        <f t="shared" si="344"/>
        <v/>
      </c>
      <c r="OK70" s="43" t="str">
        <f t="shared" si="345"/>
        <v/>
      </c>
      <c r="OL70" s="43" t="str">
        <f t="shared" si="346"/>
        <v/>
      </c>
      <c r="OM70" s="43" t="str">
        <f t="shared" si="347"/>
        <v/>
      </c>
      <c r="ON70" s="43" t="str">
        <f t="shared" si="348"/>
        <v/>
      </c>
      <c r="OO70" s="43" t="str">
        <f t="shared" si="349"/>
        <v/>
      </c>
      <c r="OP70" s="43" t="str">
        <f t="shared" si="350"/>
        <v/>
      </c>
      <c r="OQ70" s="43" t="str">
        <f t="shared" si="351"/>
        <v/>
      </c>
      <c r="OR70" s="43" t="str">
        <f t="shared" si="352"/>
        <v/>
      </c>
      <c r="OS70" s="43" t="str">
        <f t="shared" si="353"/>
        <v/>
      </c>
      <c r="OT70" s="43" t="str">
        <f t="shared" si="354"/>
        <v/>
      </c>
      <c r="OU70" s="43" t="str">
        <f t="shared" si="355"/>
        <v/>
      </c>
      <c r="OV70" s="110" t="str">
        <f t="shared" si="356"/>
        <v/>
      </c>
      <c r="OW70" s="43" t="str">
        <f t="shared" si="357"/>
        <v/>
      </c>
      <c r="OX70" s="43" t="str">
        <f t="shared" si="358"/>
        <v/>
      </c>
      <c r="OY70" s="43" t="str">
        <f t="shared" si="359"/>
        <v/>
      </c>
      <c r="OZ70" s="43" t="str">
        <f t="shared" si="360"/>
        <v/>
      </c>
      <c r="PA70" s="43" t="str">
        <f t="shared" si="361"/>
        <v/>
      </c>
      <c r="PB70" s="43" t="str">
        <f t="shared" si="362"/>
        <v/>
      </c>
      <c r="PC70" s="43" t="str">
        <f t="shared" si="363"/>
        <v/>
      </c>
      <c r="PD70" s="43" t="str">
        <f t="shared" si="364"/>
        <v/>
      </c>
      <c r="PE70" s="43" t="str">
        <f t="shared" si="365"/>
        <v/>
      </c>
      <c r="PF70" s="43" t="str">
        <f t="shared" si="366"/>
        <v/>
      </c>
      <c r="PG70" s="43" t="str">
        <f t="shared" si="367"/>
        <v/>
      </c>
      <c r="PH70" s="43" t="str">
        <f t="shared" si="368"/>
        <v/>
      </c>
      <c r="PI70" s="43">
        <f t="shared" si="369"/>
        <v>39</v>
      </c>
      <c r="PJ70" s="43" t="str">
        <f t="shared" si="370"/>
        <v/>
      </c>
      <c r="PK70" s="43" t="str">
        <f t="shared" si="371"/>
        <v/>
      </c>
      <c r="PL70" s="43" t="str">
        <f t="shared" si="372"/>
        <v/>
      </c>
      <c r="PM70" s="43" t="str">
        <f t="shared" si="373"/>
        <v/>
      </c>
      <c r="PN70" s="43" t="str">
        <f t="shared" si="374"/>
        <v/>
      </c>
      <c r="PO70" s="43" t="str">
        <f t="shared" si="375"/>
        <v/>
      </c>
      <c r="PP70" s="43" t="str">
        <f t="shared" si="376"/>
        <v/>
      </c>
      <c r="PQ70" s="43" t="str">
        <f t="shared" si="377"/>
        <v/>
      </c>
      <c r="PR70" s="43" t="str">
        <f t="shared" si="378"/>
        <v/>
      </c>
      <c r="PS70" s="43" t="str">
        <f t="shared" si="379"/>
        <v/>
      </c>
      <c r="PT70" s="43" t="str">
        <f t="shared" si="380"/>
        <v/>
      </c>
      <c r="PU70" s="43" t="str">
        <f t="shared" si="381"/>
        <v/>
      </c>
      <c r="PV70" s="43" t="str">
        <f t="shared" si="382"/>
        <v/>
      </c>
      <c r="PW70" s="43" t="str">
        <f t="shared" si="383"/>
        <v/>
      </c>
      <c r="PX70" s="43" t="str">
        <f t="shared" si="384"/>
        <v/>
      </c>
      <c r="PY70" s="43" t="str">
        <f t="shared" si="385"/>
        <v/>
      </c>
      <c r="PZ70" s="43" t="str">
        <f t="shared" si="386"/>
        <v/>
      </c>
      <c r="QA70" s="43" t="str">
        <f t="shared" si="387"/>
        <v/>
      </c>
      <c r="QB70" s="43" t="str">
        <f t="shared" si="388"/>
        <v/>
      </c>
      <c r="QC70" s="43" t="str">
        <f t="shared" si="389"/>
        <v/>
      </c>
      <c r="QD70" s="43" t="str">
        <f t="shared" si="390"/>
        <v/>
      </c>
      <c r="QE70" s="43" t="str">
        <f t="shared" si="391"/>
        <v/>
      </c>
      <c r="QF70" s="43" t="str">
        <f t="shared" si="392"/>
        <v/>
      </c>
      <c r="QG70" s="43" t="str">
        <f t="shared" si="393"/>
        <v/>
      </c>
      <c r="QH70" s="43" t="str">
        <f t="shared" si="394"/>
        <v/>
      </c>
      <c r="QI70" s="43" t="str">
        <f t="shared" si="395"/>
        <v/>
      </c>
      <c r="QJ70" s="43" t="str">
        <f t="shared" si="396"/>
        <v/>
      </c>
      <c r="QK70" s="43" t="str">
        <f t="shared" si="397"/>
        <v/>
      </c>
      <c r="QL70" s="43" t="str">
        <f t="shared" si="398"/>
        <v/>
      </c>
      <c r="QM70" s="43" t="str">
        <f t="shared" si="399"/>
        <v/>
      </c>
      <c r="QN70" s="43" t="str">
        <f t="shared" si="400"/>
        <v>SOBREPESO</v>
      </c>
      <c r="QO70" s="43" t="str">
        <f t="shared" si="401"/>
        <v/>
      </c>
      <c r="QP70" s="43" t="str">
        <f t="shared" si="402"/>
        <v/>
      </c>
      <c r="QQ70" s="43" t="str">
        <f t="shared" si="403"/>
        <v/>
      </c>
      <c r="QR70" s="43">
        <f t="shared" si="433"/>
        <v>39</v>
      </c>
      <c r="QS70" s="43"/>
      <c r="QT70" s="21" t="str">
        <f t="shared" si="404"/>
        <v/>
      </c>
      <c r="QU70" s="21" t="str">
        <f t="shared" si="405"/>
        <v/>
      </c>
      <c r="QV70" s="21" t="str">
        <f t="shared" si="406"/>
        <v/>
      </c>
      <c r="QW70" s="21" t="str">
        <f t="shared" si="407"/>
        <v/>
      </c>
      <c r="QX70" s="21" t="str">
        <f t="shared" si="408"/>
        <v/>
      </c>
      <c r="QY70" s="21" t="str">
        <f t="shared" si="409"/>
        <v/>
      </c>
      <c r="QZ70" s="21" t="str">
        <f t="shared" si="410"/>
        <v/>
      </c>
      <c r="RA70" s="21" t="str">
        <f t="shared" si="411"/>
        <v/>
      </c>
      <c r="RB70" s="21" t="str">
        <f t="shared" si="412"/>
        <v/>
      </c>
      <c r="RC70" s="21" t="str">
        <f t="shared" si="413"/>
        <v/>
      </c>
      <c r="RD70" s="21" t="str">
        <f t="shared" si="414"/>
        <v/>
      </c>
      <c r="RE70" s="21" t="str">
        <f t="shared" si="415"/>
        <v/>
      </c>
      <c r="RF70" s="21" t="str">
        <f t="shared" si="416"/>
        <v/>
      </c>
      <c r="RG70" s="21" t="str">
        <f t="shared" si="417"/>
        <v/>
      </c>
      <c r="RH70" s="21" t="str">
        <f t="shared" si="418"/>
        <v/>
      </c>
      <c r="RI70" s="21" t="str">
        <f t="shared" si="419"/>
        <v/>
      </c>
      <c r="RJ70" s="21" t="str">
        <f t="shared" si="420"/>
        <v/>
      </c>
      <c r="RK70" s="21" t="str">
        <f t="shared" si="421"/>
        <v/>
      </c>
      <c r="RL70" s="21" t="str">
        <f t="shared" si="422"/>
        <v/>
      </c>
      <c r="RM70" s="21" t="str">
        <f t="shared" si="423"/>
        <v/>
      </c>
      <c r="RN70" s="21" t="str">
        <f t="shared" si="424"/>
        <v/>
      </c>
      <c r="RO70" s="21" t="str">
        <f t="shared" si="425"/>
        <v/>
      </c>
      <c r="RP70" s="21" t="str">
        <f t="shared" si="426"/>
        <v/>
      </c>
      <c r="RQ70" s="21" t="str">
        <f t="shared" si="427"/>
        <v/>
      </c>
      <c r="RR70" s="21" t="str">
        <f t="shared" si="428"/>
        <v/>
      </c>
      <c r="RS70" s="21" t="str">
        <f t="shared" si="429"/>
        <v/>
      </c>
      <c r="RT70" s="21" t="str">
        <f t="shared" si="430"/>
        <v/>
      </c>
      <c r="RU70" s="21" t="str">
        <f t="shared" si="431"/>
        <v/>
      </c>
      <c r="RV70" s="21">
        <f t="shared" si="432"/>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4"/>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18.002739726027396</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t="str">
        <f t="shared" ca="1" si="289"/>
        <v>**********************MULTIPARIDAD*****************</v>
      </c>
      <c r="HK71" s="21" t="str">
        <f t="shared" si="290"/>
        <v>SIN ANTECEDENTES DE RIESGO</v>
      </c>
      <c r="HL71" s="24" t="str">
        <f t="shared" si="291"/>
        <v>REGISTRE DATO PRESIÓN ARTERIAL MENSUAL</v>
      </c>
      <c r="HM71" s="21" t="e">
        <f t="shared" ca="1" si="292"/>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3"/>
        <v>PENDIENTE CONSULTA</v>
      </c>
      <c r="IA71" s="26" t="s">
        <v>864</v>
      </c>
      <c r="IB71" s="26"/>
      <c r="IC71" s="111"/>
      <c r="ID71" s="22"/>
      <c r="IE71" s="22" t="str">
        <f t="shared" ca="1" si="294"/>
        <v/>
      </c>
      <c r="IF71" s="22"/>
      <c r="IG71" s="22">
        <f t="shared" si="295"/>
        <v>45156</v>
      </c>
      <c r="IH71" s="29">
        <f t="shared" ca="1" si="296"/>
        <v>-76</v>
      </c>
      <c r="II71" s="22" t="str">
        <f t="shared" ca="1" si="297"/>
        <v>POSIBLEMENTE NACIO</v>
      </c>
      <c r="IJ71" s="22"/>
      <c r="IK71" s="21"/>
      <c r="IL71" s="21"/>
      <c r="IM71" s="34"/>
      <c r="IN71" s="349"/>
      <c r="IO71" s="21"/>
      <c r="IP71" s="29" t="str">
        <f t="shared" si="298"/>
        <v/>
      </c>
      <c r="IQ71" s="110"/>
      <c r="IR71" s="21"/>
      <c r="IS71" s="21"/>
      <c r="IT71" s="21"/>
      <c r="IU71" s="21"/>
      <c r="IV71" s="21"/>
      <c r="IW71" s="21"/>
      <c r="IX71" s="21"/>
      <c r="IY71" s="21"/>
      <c r="IZ71" s="21"/>
      <c r="JA71" s="21"/>
      <c r="JB71" s="30"/>
      <c r="JC71" s="21"/>
      <c r="JD71" s="36"/>
      <c r="JE71" s="21" t="str">
        <f t="shared" si="299"/>
        <v/>
      </c>
      <c r="JF71" s="30"/>
      <c r="JG71" s="21"/>
      <c r="JH71" s="21"/>
      <c r="JI71" s="21"/>
      <c r="JJ71" s="30"/>
      <c r="JK71" s="22"/>
      <c r="JL71" s="22"/>
      <c r="JM71" s="21"/>
      <c r="JN71" s="36"/>
      <c r="JO71" s="21" t="str">
        <f t="shared" si="300"/>
        <v/>
      </c>
      <c r="JP71" s="22"/>
      <c r="JQ71" s="21"/>
      <c r="JR71" s="21"/>
      <c r="JS71" s="21"/>
      <c r="JT71" s="30"/>
      <c r="JU71" s="22"/>
      <c r="JV71" s="22"/>
      <c r="JW71" s="33"/>
      <c r="JX71" s="28" t="str">
        <f t="shared" si="301"/>
        <v/>
      </c>
      <c r="JY71" s="33"/>
      <c r="JZ71" s="28" t="str">
        <f t="shared" si="302"/>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3"/>
        <v>0</v>
      </c>
      <c r="MI71" s="43" t="str">
        <f t="shared" si="304"/>
        <v/>
      </c>
      <c r="MJ71" s="43" t="str">
        <f t="shared" si="305"/>
        <v/>
      </c>
      <c r="MK71" s="43">
        <f t="shared" si="306"/>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7"/>
        <v>5</v>
      </c>
      <c r="MN71" s="43">
        <f t="shared" si="308"/>
        <v>12</v>
      </c>
      <c r="MO71" s="43">
        <f t="shared" si="309"/>
        <v>2022</v>
      </c>
      <c r="MP71" s="43" t="str">
        <f t="shared" si="310"/>
        <v>IV TRIMESTRE AÑO</v>
      </c>
      <c r="MQ71" s="43">
        <f t="shared" si="311"/>
        <v>16.86651335961454</v>
      </c>
      <c r="MR71" s="43">
        <f t="shared" si="312"/>
        <v>0</v>
      </c>
      <c r="MS71" s="43" t="str">
        <f t="shared" si="313"/>
        <v>DE 14 A 19AÑOS</v>
      </c>
      <c r="MT71" s="43">
        <f t="shared" si="314"/>
        <v>0</v>
      </c>
      <c r="MU71" s="43">
        <f t="shared" si="315"/>
        <v>1</v>
      </c>
      <c r="MV71" s="43">
        <f t="shared" si="316"/>
        <v>0</v>
      </c>
      <c r="MW71" s="43">
        <f t="shared" si="317"/>
        <v>0</v>
      </c>
      <c r="MX71" s="43" t="str">
        <f t="shared" si="318"/>
        <v/>
      </c>
      <c r="MY71" s="43" t="str">
        <f t="shared" ca="1" si="229"/>
        <v/>
      </c>
      <c r="MZ71" s="43" t="str">
        <f t="shared" si="319"/>
        <v/>
      </c>
      <c r="NA71" s="43">
        <f t="shared" si="320"/>
        <v>0</v>
      </c>
      <c r="NB71" s="43" t="str">
        <f t="shared" si="321"/>
        <v/>
      </c>
      <c r="NC71" s="43" t="str">
        <f t="shared" si="322"/>
        <v/>
      </c>
      <c r="ND71" s="43">
        <f t="shared" ca="1" si="323"/>
        <v>1</v>
      </c>
      <c r="NE71" s="43">
        <f>IF(OR(O71&gt;0,R71&gt;0),SUM(COUNTIF(Tabla1[[#This Row],[AÑOS AL INICIO5 CPN]],"&gt;=40"),COUNTIF(AS71,"0"),COUNTIF(AR71,"SI"),COUNTIF(CC71,"SI"),COUNTIF(BQ71,"&gt;119"),COUNTIF(CI71,"&gt;=35")),"")</f>
        <v>1</v>
      </c>
      <c r="NF71" s="43" t="str">
        <f t="shared" si="324"/>
        <v/>
      </c>
      <c r="NG71" s="43">
        <f t="shared" si="325"/>
        <v>0</v>
      </c>
      <c r="NH71" s="43">
        <f t="shared" si="326"/>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7"/>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8"/>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9"/>
        <v>1</v>
      </c>
      <c r="NT71" s="21">
        <f t="shared" ca="1" si="330"/>
        <v>1</v>
      </c>
      <c r="NU71" s="21" t="str">
        <f t="shared" ca="1" si="331"/>
        <v>POR DEFINIR</v>
      </c>
      <c r="NV71" s="21" t="str">
        <f t="shared" ca="1" si="332"/>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3"/>
        <v>SIN VACUNAR</v>
      </c>
      <c r="NY71" s="43">
        <f>ROW(Tabla1[[#This Row],['# DE TAMIZAJES SIFILIS TOMADOS ]])</f>
        <v>71</v>
      </c>
      <c r="NZ71" s="43" t="str">
        <f t="shared" si="334"/>
        <v>Menor</v>
      </c>
      <c r="OA71" s="43" t="str">
        <f t="shared" si="335"/>
        <v>NORMAL</v>
      </c>
      <c r="OB71" s="43" t="str">
        <f t="shared" si="336"/>
        <v/>
      </c>
      <c r="OC71" s="43" t="str">
        <f t="shared" si="337"/>
        <v/>
      </c>
      <c r="OD71" s="43" t="str">
        <f t="shared" si="338"/>
        <v/>
      </c>
      <c r="OE71" s="43" t="str">
        <f t="shared" si="339"/>
        <v/>
      </c>
      <c r="OF71" s="43" t="str">
        <f t="shared" si="340"/>
        <v/>
      </c>
      <c r="OG71" s="43" t="str">
        <f t="shared" si="341"/>
        <v/>
      </c>
      <c r="OH71" s="43" t="str">
        <f t="shared" si="342"/>
        <v/>
      </c>
      <c r="OI71" s="43" t="str">
        <f t="shared" si="343"/>
        <v/>
      </c>
      <c r="OJ71" s="43" t="str">
        <f t="shared" si="344"/>
        <v/>
      </c>
      <c r="OK71" s="43" t="str">
        <f t="shared" si="345"/>
        <v/>
      </c>
      <c r="OL71" s="43" t="str">
        <f t="shared" si="346"/>
        <v/>
      </c>
      <c r="OM71" s="43" t="str">
        <f t="shared" si="347"/>
        <v/>
      </c>
      <c r="ON71" s="43" t="str">
        <f t="shared" si="348"/>
        <v/>
      </c>
      <c r="OO71" s="43" t="str">
        <f t="shared" si="349"/>
        <v/>
      </c>
      <c r="OP71" s="43" t="str">
        <f t="shared" si="350"/>
        <v/>
      </c>
      <c r="OQ71" s="43" t="str">
        <f t="shared" si="351"/>
        <v/>
      </c>
      <c r="OR71" s="43" t="str">
        <f t="shared" si="352"/>
        <v/>
      </c>
      <c r="OS71" s="43" t="str">
        <f t="shared" si="353"/>
        <v/>
      </c>
      <c r="OT71" s="43" t="str">
        <f t="shared" si="354"/>
        <v/>
      </c>
      <c r="OU71" s="43" t="str">
        <f t="shared" si="355"/>
        <v/>
      </c>
      <c r="OV71" s="110" t="str">
        <f t="shared" si="356"/>
        <v/>
      </c>
      <c r="OW71" s="43" t="str">
        <f t="shared" si="357"/>
        <v/>
      </c>
      <c r="OX71" s="43" t="str">
        <f t="shared" si="358"/>
        <v/>
      </c>
      <c r="OY71" s="43" t="str">
        <f t="shared" si="359"/>
        <v/>
      </c>
      <c r="OZ71" s="43" t="str">
        <f t="shared" si="360"/>
        <v/>
      </c>
      <c r="PA71" s="43" t="str">
        <f t="shared" si="361"/>
        <v/>
      </c>
      <c r="PB71" s="43" t="str">
        <f t="shared" si="362"/>
        <v/>
      </c>
      <c r="PC71" s="43" t="str">
        <f t="shared" si="363"/>
        <v/>
      </c>
      <c r="PD71" s="43" t="str">
        <f t="shared" si="364"/>
        <v/>
      </c>
      <c r="PE71" s="43" t="str">
        <f t="shared" si="365"/>
        <v/>
      </c>
      <c r="PF71" s="43" t="str">
        <f t="shared" si="366"/>
        <v/>
      </c>
      <c r="PG71" s="43" t="str">
        <f t="shared" si="367"/>
        <v/>
      </c>
      <c r="PH71" s="43" t="str">
        <f t="shared" si="368"/>
        <v/>
      </c>
      <c r="PI71" s="43" t="str">
        <f t="shared" si="369"/>
        <v>Menor</v>
      </c>
      <c r="PJ71" s="43" t="str">
        <f t="shared" si="370"/>
        <v/>
      </c>
      <c r="PK71" s="43" t="str">
        <f t="shared" si="371"/>
        <v/>
      </c>
      <c r="PL71" s="43" t="str">
        <f t="shared" si="372"/>
        <v/>
      </c>
      <c r="PM71" s="43" t="str">
        <f t="shared" si="373"/>
        <v/>
      </c>
      <c r="PN71" s="43" t="str">
        <f t="shared" si="374"/>
        <v/>
      </c>
      <c r="PO71" s="43" t="str">
        <f t="shared" si="375"/>
        <v/>
      </c>
      <c r="PP71" s="43" t="str">
        <f t="shared" si="376"/>
        <v/>
      </c>
      <c r="PQ71" s="43" t="str">
        <f t="shared" si="377"/>
        <v/>
      </c>
      <c r="PR71" s="43" t="str">
        <f t="shared" si="378"/>
        <v/>
      </c>
      <c r="PS71" s="43" t="str">
        <f t="shared" si="379"/>
        <v/>
      </c>
      <c r="PT71" s="43" t="str">
        <f t="shared" si="380"/>
        <v/>
      </c>
      <c r="PU71" s="43" t="str">
        <f t="shared" si="381"/>
        <v/>
      </c>
      <c r="PV71" s="43" t="str">
        <f t="shared" si="382"/>
        <v/>
      </c>
      <c r="PW71" s="43" t="str">
        <f t="shared" si="383"/>
        <v/>
      </c>
      <c r="PX71" s="43" t="str">
        <f t="shared" si="384"/>
        <v/>
      </c>
      <c r="PY71" s="43" t="str">
        <f t="shared" si="385"/>
        <v/>
      </c>
      <c r="PZ71" s="43" t="str">
        <f t="shared" si="386"/>
        <v/>
      </c>
      <c r="QA71" s="43" t="str">
        <f t="shared" si="387"/>
        <v/>
      </c>
      <c r="QB71" s="43" t="str">
        <f t="shared" si="388"/>
        <v/>
      </c>
      <c r="QC71" s="43" t="str">
        <f t="shared" si="389"/>
        <v/>
      </c>
      <c r="QD71" s="43" t="str">
        <f t="shared" si="390"/>
        <v/>
      </c>
      <c r="QE71" s="43" t="str">
        <f t="shared" si="391"/>
        <v/>
      </c>
      <c r="QF71" s="43" t="str">
        <f t="shared" si="392"/>
        <v/>
      </c>
      <c r="QG71" s="43" t="str">
        <f t="shared" si="393"/>
        <v/>
      </c>
      <c r="QH71" s="43" t="str">
        <f t="shared" si="394"/>
        <v/>
      </c>
      <c r="QI71" s="43" t="str">
        <f t="shared" si="395"/>
        <v/>
      </c>
      <c r="QJ71" s="43" t="str">
        <f t="shared" si="396"/>
        <v/>
      </c>
      <c r="QK71" s="43" t="str">
        <f t="shared" si="397"/>
        <v/>
      </c>
      <c r="QL71" s="43" t="str">
        <f t="shared" si="398"/>
        <v/>
      </c>
      <c r="QM71" s="43" t="str">
        <f t="shared" si="399"/>
        <v/>
      </c>
      <c r="QN71" s="43" t="str">
        <f t="shared" si="400"/>
        <v/>
      </c>
      <c r="QO71" s="43" t="str">
        <f t="shared" si="401"/>
        <v/>
      </c>
      <c r="QP71" s="43" t="str">
        <f t="shared" si="402"/>
        <v/>
      </c>
      <c r="QQ71" s="43" t="str">
        <f t="shared" si="403"/>
        <v/>
      </c>
      <c r="QR71" s="43" t="str">
        <f t="shared" si="433"/>
        <v>Menor</v>
      </c>
      <c r="QS71" s="43"/>
      <c r="QT71" s="21" t="str">
        <f t="shared" si="404"/>
        <v/>
      </c>
      <c r="QU71" s="21" t="str">
        <f t="shared" si="405"/>
        <v/>
      </c>
      <c r="QV71" s="21" t="str">
        <f t="shared" si="406"/>
        <v/>
      </c>
      <c r="QW71" s="21" t="str">
        <f t="shared" si="407"/>
        <v/>
      </c>
      <c r="QX71" s="21" t="str">
        <f t="shared" si="408"/>
        <v/>
      </c>
      <c r="QY71" s="21" t="str">
        <f t="shared" si="409"/>
        <v/>
      </c>
      <c r="QZ71" s="21" t="str">
        <f t="shared" si="410"/>
        <v/>
      </c>
      <c r="RA71" s="21" t="str">
        <f t="shared" si="411"/>
        <v/>
      </c>
      <c r="RB71" s="21" t="str">
        <f t="shared" si="412"/>
        <v/>
      </c>
      <c r="RC71" s="21" t="str">
        <f t="shared" si="413"/>
        <v/>
      </c>
      <c r="RD71" s="21" t="str">
        <f t="shared" si="414"/>
        <v/>
      </c>
      <c r="RE71" s="21" t="str">
        <f t="shared" si="415"/>
        <v/>
      </c>
      <c r="RF71" s="21" t="str">
        <f t="shared" si="416"/>
        <v/>
      </c>
      <c r="RG71" s="21" t="str">
        <f t="shared" si="417"/>
        <v/>
      </c>
      <c r="RH71" s="21" t="str">
        <f t="shared" si="418"/>
        <v/>
      </c>
      <c r="RI71" s="21" t="str">
        <f t="shared" si="419"/>
        <v/>
      </c>
      <c r="RJ71" s="21" t="str">
        <f t="shared" si="420"/>
        <v/>
      </c>
      <c r="RK71" s="21" t="str">
        <f t="shared" si="421"/>
        <v/>
      </c>
      <c r="RL71" s="21" t="str">
        <f t="shared" si="422"/>
        <v/>
      </c>
      <c r="RM71" s="21" t="str">
        <f t="shared" si="423"/>
        <v/>
      </c>
      <c r="RN71" s="21" t="str">
        <f t="shared" si="424"/>
        <v/>
      </c>
      <c r="RO71" s="21" t="str">
        <f t="shared" si="425"/>
        <v/>
      </c>
      <c r="RP71" s="21" t="str">
        <f t="shared" si="426"/>
        <v/>
      </c>
      <c r="RQ71" s="21" t="str">
        <f t="shared" si="427"/>
        <v/>
      </c>
      <c r="RR71" s="21" t="str">
        <f t="shared" si="428"/>
        <v/>
      </c>
      <c r="RS71" s="21" t="str">
        <f t="shared" si="429"/>
        <v/>
      </c>
      <c r="RT71" s="21" t="str">
        <f t="shared" si="430"/>
        <v/>
      </c>
      <c r="RU71" s="21" t="str">
        <f t="shared" si="431"/>
        <v/>
      </c>
      <c r="RV71" s="21">
        <f t="shared" si="432"/>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4"/>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37.180821917808217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t="str">
        <f t="shared" ca="1" si="289"/>
        <v>************************RIESGO POR EDAD***************</v>
      </c>
      <c r="HK72" s="21" t="str">
        <f t="shared" si="290"/>
        <v>SIN ANTECEDENTES DE RIESGO</v>
      </c>
      <c r="HL72" s="24" t="str">
        <f t="shared" si="291"/>
        <v>PRE HTA,RIESGO ALTO PREECLAMPSIA</v>
      </c>
      <c r="HM72" s="21" t="str">
        <f t="shared" ca="1" si="292"/>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3"/>
        <v>PENDIENTE CONSULTA</v>
      </c>
      <c r="IA72" s="26" t="s">
        <v>864</v>
      </c>
      <c r="IB72" s="26"/>
      <c r="IC72" s="111"/>
      <c r="ID72" s="22"/>
      <c r="IE72" s="22" t="str">
        <f t="shared" ca="1" si="294"/>
        <v>SALE SIN VACUNA</v>
      </c>
      <c r="IF72" s="22"/>
      <c r="IG72" s="22">
        <f t="shared" si="295"/>
        <v>45044</v>
      </c>
      <c r="IH72" s="29">
        <f t="shared" ca="1" si="296"/>
        <v>-188</v>
      </c>
      <c r="II72" s="22" t="str">
        <f t="shared" ca="1" si="297"/>
        <v>POSIBLEMENTE NACIO</v>
      </c>
      <c r="IJ72" s="22"/>
      <c r="IK72" s="21" t="s">
        <v>898</v>
      </c>
      <c r="IL72" s="21"/>
      <c r="IM72" s="34"/>
      <c r="IN72" s="352">
        <v>45060</v>
      </c>
      <c r="IO72" s="21" t="s">
        <v>1640</v>
      </c>
      <c r="IP72" s="29">
        <f t="shared" si="298"/>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5">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3"/>
        <v>0</v>
      </c>
      <c r="MI72" s="43" t="str">
        <f t="shared" si="304"/>
        <v/>
      </c>
      <c r="MJ72" s="43" t="str">
        <f t="shared" si="305"/>
        <v/>
      </c>
      <c r="MK72" s="43">
        <f t="shared" si="306"/>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7"/>
        <v>22</v>
      </c>
      <c r="MN72" s="43">
        <f t="shared" si="308"/>
        <v>12</v>
      </c>
      <c r="MO72" s="43">
        <f t="shared" si="309"/>
        <v>2022</v>
      </c>
      <c r="MP72" s="43" t="str">
        <f t="shared" si="310"/>
        <v>IV TRIMESTRE AÑO</v>
      </c>
      <c r="MQ72" s="43">
        <f t="shared" si="311"/>
        <v>35.772558037669732</v>
      </c>
      <c r="MR72" s="43">
        <f t="shared" si="312"/>
        <v>2</v>
      </c>
      <c r="MS72" s="43" t="str">
        <f t="shared" si="313"/>
        <v xml:space="preserve"> DE 35 A 39 AÑOS</v>
      </c>
      <c r="MT72" s="43">
        <f t="shared" si="314"/>
        <v>0</v>
      </c>
      <c r="MU72" s="43">
        <f t="shared" si="315"/>
        <v>0</v>
      </c>
      <c r="MV72" s="43">
        <f t="shared" si="316"/>
        <v>0</v>
      </c>
      <c r="MW72" s="43">
        <f t="shared" si="317"/>
        <v>0</v>
      </c>
      <c r="MX72" s="43" t="str">
        <f t="shared" si="318"/>
        <v/>
      </c>
      <c r="MY72" s="43" t="str">
        <f ca="1">IF(AND(AND(BU72&gt;40.9,BU72&lt;43),IN73=""),1,"")</f>
        <v/>
      </c>
      <c r="MZ72" s="43" t="str">
        <f t="shared" si="319"/>
        <v/>
      </c>
      <c r="NA72" s="43">
        <f t="shared" si="320"/>
        <v>0</v>
      </c>
      <c r="NB72" s="43" t="str">
        <f t="shared" si="321"/>
        <v/>
      </c>
      <c r="NC72" s="43" t="str">
        <f t="shared" si="322"/>
        <v/>
      </c>
      <c r="ND72" s="43">
        <f t="shared" ca="1" si="323"/>
        <v>2</v>
      </c>
      <c r="NE72" s="43">
        <f>IF(OR(O72&gt;0,R72&gt;0),SUM(COUNTIF(Tabla1[[#This Row],[AÑOS AL INICIO5 CPN]],"&gt;=40"),COUNTIF(AS72,"0"),COUNTIF(AR72,"SI"),COUNTIF(CC72,"SI"),COUNTIF(BQ72,"&gt;119"),COUNTIF(CI72,"&gt;=35")),"")</f>
        <v>0</v>
      </c>
      <c r="NF72" s="43" t="str">
        <f t="shared" si="324"/>
        <v/>
      </c>
      <c r="NG72" s="43">
        <f t="shared" si="325"/>
        <v>0</v>
      </c>
      <c r="NH72" s="43">
        <f t="shared" si="326"/>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7"/>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8"/>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9"/>
        <v>1</v>
      </c>
      <c r="NT72" s="21">
        <f t="shared" ca="1" si="330"/>
        <v>1</v>
      </c>
      <c r="NU72" s="21" t="str">
        <f t="shared" ca="1" si="331"/>
        <v>INCOMPLETO</v>
      </c>
      <c r="NV72" s="21" t="str">
        <f t="shared" ca="1" si="332"/>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3"/>
        <v>SIN VACUNAR</v>
      </c>
      <c r="NY72" s="43">
        <f>ROW(Tabla1[[#This Row],['# DE TAMIZAJES SIFILIS TOMADOS ]])</f>
        <v>72</v>
      </c>
      <c r="NZ72" s="43">
        <f t="shared" si="334"/>
        <v>22</v>
      </c>
      <c r="OA72" s="43" t="str">
        <f t="shared" si="335"/>
        <v/>
      </c>
      <c r="OB72" s="43" t="str">
        <f t="shared" si="336"/>
        <v/>
      </c>
      <c r="OC72" s="43" t="str">
        <f t="shared" si="337"/>
        <v/>
      </c>
      <c r="OD72" s="43" t="str">
        <f t="shared" si="338"/>
        <v/>
      </c>
      <c r="OE72" s="43" t="str">
        <f t="shared" si="339"/>
        <v/>
      </c>
      <c r="OF72" s="43" t="str">
        <f t="shared" si="340"/>
        <v/>
      </c>
      <c r="OG72" s="43" t="str">
        <f t="shared" si="341"/>
        <v/>
      </c>
      <c r="OH72" s="43" t="str">
        <f t="shared" si="342"/>
        <v/>
      </c>
      <c r="OI72" s="43" t="str">
        <f t="shared" si="343"/>
        <v/>
      </c>
      <c r="OJ72" s="43" t="str">
        <f t="shared" si="344"/>
        <v/>
      </c>
      <c r="OK72" s="43" t="str">
        <f t="shared" si="345"/>
        <v/>
      </c>
      <c r="OL72" s="43" t="str">
        <f t="shared" si="346"/>
        <v/>
      </c>
      <c r="OM72" s="43" t="str">
        <f t="shared" si="347"/>
        <v/>
      </c>
      <c r="ON72" s="43" t="str">
        <f t="shared" si="348"/>
        <v>SOBREPESO</v>
      </c>
      <c r="OO72" s="43" t="str">
        <f t="shared" si="349"/>
        <v/>
      </c>
      <c r="OP72" s="43" t="str">
        <f t="shared" si="350"/>
        <v/>
      </c>
      <c r="OQ72" s="43" t="str">
        <f t="shared" si="351"/>
        <v/>
      </c>
      <c r="OR72" s="43" t="str">
        <f t="shared" si="352"/>
        <v/>
      </c>
      <c r="OS72" s="43" t="str">
        <f t="shared" si="353"/>
        <v/>
      </c>
      <c r="OT72" s="43" t="str">
        <f t="shared" si="354"/>
        <v/>
      </c>
      <c r="OU72" s="43" t="str">
        <f t="shared" si="355"/>
        <v/>
      </c>
      <c r="OV72" s="110" t="str">
        <f t="shared" si="356"/>
        <v/>
      </c>
      <c r="OW72" s="43" t="str">
        <f t="shared" si="357"/>
        <v/>
      </c>
      <c r="OX72" s="43" t="str">
        <f t="shared" si="358"/>
        <v/>
      </c>
      <c r="OY72" s="43" t="str">
        <f t="shared" si="359"/>
        <v/>
      </c>
      <c r="OZ72" s="43" t="str">
        <f t="shared" si="360"/>
        <v/>
      </c>
      <c r="PA72" s="43" t="str">
        <f t="shared" si="361"/>
        <v/>
      </c>
      <c r="PB72" s="43" t="str">
        <f t="shared" si="362"/>
        <v/>
      </c>
      <c r="PC72" s="43" t="str">
        <f t="shared" si="363"/>
        <v/>
      </c>
      <c r="PD72" s="43" t="str">
        <f t="shared" si="364"/>
        <v/>
      </c>
      <c r="PE72" s="43" t="str">
        <f t="shared" si="365"/>
        <v/>
      </c>
      <c r="PF72" s="43" t="str">
        <f t="shared" si="366"/>
        <v/>
      </c>
      <c r="PG72" s="43" t="str">
        <f t="shared" si="367"/>
        <v/>
      </c>
      <c r="PH72" s="43" t="str">
        <f t="shared" si="368"/>
        <v/>
      </c>
      <c r="PI72" s="43">
        <f t="shared" si="369"/>
        <v>41</v>
      </c>
      <c r="PJ72" s="43" t="str">
        <f t="shared" si="370"/>
        <v/>
      </c>
      <c r="PK72" s="43" t="str">
        <f t="shared" si="371"/>
        <v/>
      </c>
      <c r="PL72" s="43" t="str">
        <f t="shared" si="372"/>
        <v/>
      </c>
      <c r="PM72" s="43" t="str">
        <f t="shared" si="373"/>
        <v/>
      </c>
      <c r="PN72" s="43" t="str">
        <f t="shared" si="374"/>
        <v/>
      </c>
      <c r="PO72" s="43" t="str">
        <f t="shared" si="375"/>
        <v/>
      </c>
      <c r="PP72" s="43" t="str">
        <f t="shared" si="376"/>
        <v/>
      </c>
      <c r="PQ72" s="43" t="str">
        <f t="shared" si="377"/>
        <v/>
      </c>
      <c r="PR72" s="43" t="str">
        <f t="shared" si="378"/>
        <v/>
      </c>
      <c r="PS72" s="43" t="str">
        <f t="shared" si="379"/>
        <v/>
      </c>
      <c r="PT72" s="43" t="str">
        <f t="shared" si="380"/>
        <v/>
      </c>
      <c r="PU72" s="43" t="str">
        <f t="shared" si="381"/>
        <v/>
      </c>
      <c r="PV72" s="43" t="str">
        <f t="shared" si="382"/>
        <v/>
      </c>
      <c r="PW72" s="43" t="str">
        <f t="shared" si="383"/>
        <v/>
      </c>
      <c r="PX72" s="43" t="str">
        <f t="shared" si="384"/>
        <v/>
      </c>
      <c r="PY72" s="43" t="str">
        <f t="shared" si="385"/>
        <v/>
      </c>
      <c r="PZ72" s="43" t="str">
        <f t="shared" si="386"/>
        <v/>
      </c>
      <c r="QA72" s="43" t="str">
        <f t="shared" si="387"/>
        <v/>
      </c>
      <c r="QB72" s="43" t="str">
        <f t="shared" si="388"/>
        <v/>
      </c>
      <c r="QC72" s="43" t="str">
        <f t="shared" si="389"/>
        <v/>
      </c>
      <c r="QD72" s="43" t="str">
        <f t="shared" si="390"/>
        <v/>
      </c>
      <c r="QE72" s="43" t="str">
        <f t="shared" si="391"/>
        <v/>
      </c>
      <c r="QF72" s="43" t="str">
        <f t="shared" si="392"/>
        <v/>
      </c>
      <c r="QG72" s="43" t="str">
        <f t="shared" si="393"/>
        <v/>
      </c>
      <c r="QH72" s="43" t="str">
        <f t="shared" si="394"/>
        <v/>
      </c>
      <c r="QI72" s="43" t="str">
        <f t="shared" si="395"/>
        <v/>
      </c>
      <c r="QJ72" s="43" t="str">
        <f t="shared" si="396"/>
        <v/>
      </c>
      <c r="QK72" s="43" t="str">
        <f t="shared" si="397"/>
        <v/>
      </c>
      <c r="QL72" s="43" t="str">
        <f t="shared" si="398"/>
        <v/>
      </c>
      <c r="QM72" s="43" t="str">
        <f t="shared" si="399"/>
        <v/>
      </c>
      <c r="QN72" s="43" t="str">
        <f t="shared" si="400"/>
        <v/>
      </c>
      <c r="QO72" s="43" t="str">
        <f t="shared" si="401"/>
        <v/>
      </c>
      <c r="QP72" s="43" t="str">
        <f t="shared" si="402"/>
        <v>SOBREPESO</v>
      </c>
      <c r="QQ72" s="43" t="str">
        <f t="shared" si="403"/>
        <v/>
      </c>
      <c r="QR72" s="43" t="str">
        <f t="shared" si="433"/>
        <v>Mayor</v>
      </c>
      <c r="QS72" s="43"/>
      <c r="QT72" s="21" t="str">
        <f t="shared" si="404"/>
        <v/>
      </c>
      <c r="QU72" s="21" t="str">
        <f t="shared" si="405"/>
        <v/>
      </c>
      <c r="QV72" s="21" t="str">
        <f t="shared" si="406"/>
        <v/>
      </c>
      <c r="QW72" s="21" t="str">
        <f t="shared" si="407"/>
        <v/>
      </c>
      <c r="QX72" s="21" t="str">
        <f t="shared" si="408"/>
        <v/>
      </c>
      <c r="QY72" s="21" t="str">
        <f t="shared" si="409"/>
        <v/>
      </c>
      <c r="QZ72" s="21" t="str">
        <f t="shared" si="410"/>
        <v/>
      </c>
      <c r="RA72" s="21" t="str">
        <f t="shared" si="411"/>
        <v/>
      </c>
      <c r="RB72" s="21" t="str">
        <f t="shared" si="412"/>
        <v/>
      </c>
      <c r="RC72" s="21" t="str">
        <f t="shared" si="413"/>
        <v/>
      </c>
      <c r="RD72" s="21" t="str">
        <f t="shared" si="414"/>
        <v/>
      </c>
      <c r="RE72" s="21" t="str">
        <f t="shared" si="415"/>
        <v/>
      </c>
      <c r="RF72" s="21" t="str">
        <f t="shared" si="416"/>
        <v/>
      </c>
      <c r="RG72" s="21" t="str">
        <f t="shared" si="417"/>
        <v/>
      </c>
      <c r="RH72" s="21" t="str">
        <f t="shared" si="418"/>
        <v/>
      </c>
      <c r="RI72" s="21" t="str">
        <f t="shared" si="419"/>
        <v/>
      </c>
      <c r="RJ72" s="21" t="str">
        <f t="shared" si="420"/>
        <v/>
      </c>
      <c r="RK72" s="21" t="str">
        <f t="shared" si="421"/>
        <v/>
      </c>
      <c r="RL72" s="21" t="str">
        <f t="shared" si="422"/>
        <v/>
      </c>
      <c r="RM72" s="21" t="str">
        <f t="shared" si="423"/>
        <v/>
      </c>
      <c r="RN72" s="21" t="str">
        <f t="shared" si="424"/>
        <v/>
      </c>
      <c r="RO72" s="21" t="str">
        <f t="shared" si="425"/>
        <v/>
      </c>
      <c r="RP72" s="21" t="str">
        <f t="shared" si="426"/>
        <v/>
      </c>
      <c r="RQ72" s="21" t="str">
        <f t="shared" si="427"/>
        <v/>
      </c>
      <c r="RR72" s="21" t="str">
        <f t="shared" si="428"/>
        <v/>
      </c>
      <c r="RS72" s="21" t="str">
        <f t="shared" si="429"/>
        <v/>
      </c>
      <c r="RT72" s="21" t="str">
        <f t="shared" si="430"/>
        <v/>
      </c>
      <c r="RU72" s="21" t="str">
        <f t="shared" si="431"/>
        <v/>
      </c>
      <c r="RV72" s="21">
        <f t="shared" si="432"/>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4"/>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15.967123287671233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t="str">
        <f t="shared" ca="1" si="289"/>
        <v>**********************MULTIPARIDAD**RIESGO POR EDAD***************</v>
      </c>
      <c r="HK73" s="21" t="str">
        <f t="shared" si="290"/>
        <v>SIN ANTECEDENTES DE RIESGO</v>
      </c>
      <c r="HL73" s="24" t="str">
        <f t="shared" si="291"/>
        <v>REGISTRE DATO PRESIÓN ARTERIAL MENSUAL</v>
      </c>
      <c r="HM73" s="21" t="str">
        <f t="shared" ca="1" si="292"/>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3"/>
        <v>12.428571428571429</v>
      </c>
      <c r="IA73" s="26" t="s">
        <v>864</v>
      </c>
      <c r="IB73" s="26"/>
      <c r="IC73" s="111"/>
      <c r="ID73" s="22"/>
      <c r="IE73" s="22" t="str">
        <f t="shared" ca="1" si="294"/>
        <v>SALE SIN VACUNA</v>
      </c>
      <c r="IF73" s="22"/>
      <c r="IG73" s="22">
        <f t="shared" si="295"/>
        <v>45103</v>
      </c>
      <c r="IH73" s="29">
        <f t="shared" ca="1" si="296"/>
        <v>-129</v>
      </c>
      <c r="II73" s="22" t="str">
        <f t="shared" ca="1" si="297"/>
        <v>POSIBLEMENTE NACIO</v>
      </c>
      <c r="IJ73" s="22"/>
      <c r="IK73" s="21" t="s">
        <v>898</v>
      </c>
      <c r="IL73" s="21"/>
      <c r="IM73" s="34"/>
      <c r="IN73" s="349">
        <v>45034</v>
      </c>
      <c r="IO73" s="21" t="s">
        <v>1640</v>
      </c>
      <c r="IP73" s="29">
        <f t="shared" si="298"/>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5"/>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3"/>
        <v>0</v>
      </c>
      <c r="MI73" s="43" t="str">
        <f t="shared" si="304"/>
        <v/>
      </c>
      <c r="MJ73" s="43" t="str">
        <f t="shared" si="305"/>
        <v/>
      </c>
      <c r="MK73" s="43">
        <f t="shared" si="306"/>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7"/>
        <v>12.428571428571429</v>
      </c>
      <c r="MN73" s="43">
        <f t="shared" si="308"/>
        <v>12</v>
      </c>
      <c r="MO73" s="43">
        <f t="shared" si="309"/>
        <v>2022</v>
      </c>
      <c r="MP73" s="43" t="str">
        <f t="shared" si="310"/>
        <v>IV TRIMESTRE AÑO</v>
      </c>
      <c r="MQ73" s="43">
        <f t="shared" si="311"/>
        <v>14.857095926412613</v>
      </c>
      <c r="MR73" s="43">
        <f t="shared" si="312"/>
        <v>1</v>
      </c>
      <c r="MS73" s="43" t="str">
        <f t="shared" si="313"/>
        <v>DE 14 A 19AÑOS</v>
      </c>
      <c r="MT73" s="43">
        <f t="shared" si="314"/>
        <v>0</v>
      </c>
      <c r="MU73" s="43">
        <f t="shared" si="315"/>
        <v>1</v>
      </c>
      <c r="MV73" s="43">
        <f t="shared" si="316"/>
        <v>0</v>
      </c>
      <c r="MW73" s="43">
        <f t="shared" si="317"/>
        <v>0</v>
      </c>
      <c r="MX73" s="43" t="str">
        <f t="shared" si="318"/>
        <v/>
      </c>
      <c r="MY73" s="43" t="str">
        <f ca="1">IF(AND(AND(BU73&gt;40.9,BU73&lt;43),IN74=""),1,"")</f>
        <v/>
      </c>
      <c r="MZ73" s="43" t="str">
        <f t="shared" si="319"/>
        <v/>
      </c>
      <c r="NA73" s="43" t="str">
        <f t="shared" si="320"/>
        <v/>
      </c>
      <c r="NB73" s="43" t="str">
        <f t="shared" si="321"/>
        <v/>
      </c>
      <c r="NC73" s="43" t="str">
        <f t="shared" si="322"/>
        <v/>
      </c>
      <c r="ND73" s="43">
        <f t="shared" ca="1" si="323"/>
        <v>2</v>
      </c>
      <c r="NE73" s="43">
        <f>IF(OR(O73&gt;0,R73&gt;0),SUM(COUNTIF(Tabla1[[#This Row],[AÑOS AL INICIO5 CPN]],"&gt;=40"),COUNTIF(AS73,"0"),COUNTIF(AR73,"SI"),COUNTIF(CC73,"SI"),COUNTIF(BQ73,"&gt;119"),COUNTIF(CI73,"&gt;=35")),"")</f>
        <v>1</v>
      </c>
      <c r="NF73" s="43" t="str">
        <f t="shared" si="324"/>
        <v/>
      </c>
      <c r="NG73" s="43">
        <f t="shared" si="325"/>
        <v>0</v>
      </c>
      <c r="NH73" s="43" t="str">
        <f t="shared" si="326"/>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7"/>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8"/>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9"/>
        <v>0</v>
      </c>
      <c r="NT73" s="21">
        <f t="shared" ca="1" si="330"/>
        <v>0</v>
      </c>
      <c r="NU73" s="21" t="str">
        <f t="shared" ca="1" si="331"/>
        <v>INCOMPLETO</v>
      </c>
      <c r="NV73" s="21" t="str">
        <f t="shared" ca="1" si="332"/>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3"/>
        <v>SIN VACUNAR</v>
      </c>
      <c r="NY73" s="43">
        <f>ROW(Tabla1[[#This Row],['# DE TAMIZAJES SIFILIS TOMADOS ]])</f>
        <v>73</v>
      </c>
      <c r="NZ73" s="43">
        <f t="shared" si="334"/>
        <v>12</v>
      </c>
      <c r="OA73" s="43" t="str">
        <f t="shared" si="335"/>
        <v/>
      </c>
      <c r="OB73" s="43" t="str">
        <f t="shared" si="336"/>
        <v/>
      </c>
      <c r="OC73" s="43" t="str">
        <f t="shared" si="337"/>
        <v/>
      </c>
      <c r="OD73" s="43" t="str">
        <f t="shared" si="338"/>
        <v>NORMAL</v>
      </c>
      <c r="OE73" s="43" t="str">
        <f t="shared" si="339"/>
        <v/>
      </c>
      <c r="OF73" s="43" t="str">
        <f t="shared" si="340"/>
        <v/>
      </c>
      <c r="OG73" s="43" t="str">
        <f t="shared" si="341"/>
        <v/>
      </c>
      <c r="OH73" s="43" t="str">
        <f t="shared" si="342"/>
        <v/>
      </c>
      <c r="OI73" s="43" t="str">
        <f t="shared" si="343"/>
        <v/>
      </c>
      <c r="OJ73" s="43" t="str">
        <f t="shared" si="344"/>
        <v/>
      </c>
      <c r="OK73" s="43" t="str">
        <f t="shared" si="345"/>
        <v/>
      </c>
      <c r="OL73" s="43" t="str">
        <f t="shared" si="346"/>
        <v/>
      </c>
      <c r="OM73" s="43" t="str">
        <f t="shared" si="347"/>
        <v/>
      </c>
      <c r="ON73" s="43" t="str">
        <f t="shared" si="348"/>
        <v/>
      </c>
      <c r="OO73" s="43" t="str">
        <f t="shared" si="349"/>
        <v/>
      </c>
      <c r="OP73" s="43" t="str">
        <f t="shared" si="350"/>
        <v/>
      </c>
      <c r="OQ73" s="43" t="str">
        <f t="shared" si="351"/>
        <v/>
      </c>
      <c r="OR73" s="43" t="str">
        <f t="shared" si="352"/>
        <v/>
      </c>
      <c r="OS73" s="43" t="str">
        <f t="shared" si="353"/>
        <v/>
      </c>
      <c r="OT73" s="43" t="str">
        <f t="shared" si="354"/>
        <v/>
      </c>
      <c r="OU73" s="43" t="str">
        <f t="shared" si="355"/>
        <v/>
      </c>
      <c r="OV73" s="110" t="str">
        <f t="shared" si="356"/>
        <v/>
      </c>
      <c r="OW73" s="43" t="str">
        <f t="shared" si="357"/>
        <v/>
      </c>
      <c r="OX73" s="43" t="str">
        <f t="shared" si="358"/>
        <v/>
      </c>
      <c r="OY73" s="43" t="str">
        <f t="shared" si="359"/>
        <v/>
      </c>
      <c r="OZ73" s="43" t="str">
        <f t="shared" si="360"/>
        <v/>
      </c>
      <c r="PA73" s="43" t="str">
        <f t="shared" si="361"/>
        <v/>
      </c>
      <c r="PB73" s="43" t="str">
        <f t="shared" si="362"/>
        <v/>
      </c>
      <c r="PC73" s="43" t="str">
        <f t="shared" si="363"/>
        <v/>
      </c>
      <c r="PD73" s="43" t="str">
        <f t="shared" si="364"/>
        <v/>
      </c>
      <c r="PE73" s="43" t="str">
        <f t="shared" si="365"/>
        <v/>
      </c>
      <c r="PF73" s="43" t="str">
        <f t="shared" si="366"/>
        <v/>
      </c>
      <c r="PG73" s="43" t="str">
        <f t="shared" si="367"/>
        <v/>
      </c>
      <c r="PH73" s="43" t="str">
        <f t="shared" si="368"/>
        <v/>
      </c>
      <c r="PI73" s="43">
        <f t="shared" si="369"/>
        <v>23</v>
      </c>
      <c r="PJ73" s="43" t="str">
        <f t="shared" si="370"/>
        <v/>
      </c>
      <c r="PK73" s="43" t="str">
        <f t="shared" si="371"/>
        <v/>
      </c>
      <c r="PL73" s="43" t="str">
        <f t="shared" si="372"/>
        <v/>
      </c>
      <c r="PM73" s="43" t="str">
        <f t="shared" si="373"/>
        <v/>
      </c>
      <c r="PN73" s="43" t="str">
        <f t="shared" si="374"/>
        <v/>
      </c>
      <c r="PO73" s="43" t="str">
        <f t="shared" si="375"/>
        <v/>
      </c>
      <c r="PP73" s="43" t="str">
        <f t="shared" si="376"/>
        <v/>
      </c>
      <c r="PQ73" s="43" t="str">
        <f t="shared" si="377"/>
        <v/>
      </c>
      <c r="PR73" s="43" t="str">
        <f t="shared" si="378"/>
        <v/>
      </c>
      <c r="PS73" s="43" t="str">
        <f t="shared" si="379"/>
        <v/>
      </c>
      <c r="PT73" s="43" t="str">
        <f t="shared" si="380"/>
        <v/>
      </c>
      <c r="PU73" s="43" t="str">
        <f t="shared" si="381"/>
        <v/>
      </c>
      <c r="PV73" s="43" t="str">
        <f t="shared" si="382"/>
        <v/>
      </c>
      <c r="PW73" s="43" t="str">
        <f t="shared" si="383"/>
        <v/>
      </c>
      <c r="PX73" s="43" t="str">
        <f t="shared" si="384"/>
        <v/>
      </c>
      <c r="PY73" s="43" t="str">
        <f t="shared" si="385"/>
        <v/>
      </c>
      <c r="PZ73" s="43" t="str">
        <f t="shared" si="386"/>
        <v/>
      </c>
      <c r="QA73" s="43" t="str">
        <f t="shared" si="387"/>
        <v/>
      </c>
      <c r="QB73" s="43" t="str">
        <f t="shared" si="388"/>
        <v/>
      </c>
      <c r="QC73" s="43" t="str">
        <f t="shared" si="389"/>
        <v/>
      </c>
      <c r="QD73" s="43" t="str">
        <f t="shared" si="390"/>
        <v/>
      </c>
      <c r="QE73" s="43" t="str">
        <f t="shared" si="391"/>
        <v/>
      </c>
      <c r="QF73" s="43" t="str">
        <f t="shared" si="392"/>
        <v/>
      </c>
      <c r="QG73" s="43" t="str">
        <f t="shared" si="393"/>
        <v/>
      </c>
      <c r="QH73" s="43" t="str">
        <f t="shared" si="394"/>
        <v/>
      </c>
      <c r="QI73" s="43" t="str">
        <f t="shared" si="395"/>
        <v/>
      </c>
      <c r="QJ73" s="43" t="str">
        <f t="shared" si="396"/>
        <v/>
      </c>
      <c r="QK73" s="43" t="str">
        <f t="shared" si="397"/>
        <v/>
      </c>
      <c r="QL73" s="43" t="str">
        <f t="shared" si="398"/>
        <v/>
      </c>
      <c r="QM73" s="43" t="str">
        <f t="shared" si="399"/>
        <v/>
      </c>
      <c r="QN73" s="43" t="str">
        <f t="shared" si="400"/>
        <v/>
      </c>
      <c r="QO73" s="43" t="str">
        <f t="shared" si="401"/>
        <v/>
      </c>
      <c r="QP73" s="43" t="str">
        <f t="shared" si="402"/>
        <v/>
      </c>
      <c r="QQ73" s="43" t="str">
        <f t="shared" si="403"/>
        <v/>
      </c>
      <c r="QR73" s="43">
        <f t="shared" si="433"/>
        <v>23</v>
      </c>
      <c r="QS73" s="43"/>
      <c r="QT73" s="21" t="str">
        <f t="shared" si="404"/>
        <v/>
      </c>
      <c r="QU73" s="21" t="str">
        <f t="shared" si="405"/>
        <v/>
      </c>
      <c r="QV73" s="21" t="str">
        <f t="shared" si="406"/>
        <v/>
      </c>
      <c r="QW73" s="21" t="str">
        <f t="shared" si="407"/>
        <v/>
      </c>
      <c r="QX73" s="21" t="str">
        <f t="shared" si="408"/>
        <v/>
      </c>
      <c r="QY73" s="21" t="str">
        <f t="shared" si="409"/>
        <v/>
      </c>
      <c r="QZ73" s="21" t="str">
        <f t="shared" si="410"/>
        <v/>
      </c>
      <c r="RA73" s="21" t="str">
        <f t="shared" si="411"/>
        <v/>
      </c>
      <c r="RB73" s="21" t="str">
        <f t="shared" si="412"/>
        <v/>
      </c>
      <c r="RC73" s="21" t="str">
        <f t="shared" si="413"/>
        <v/>
      </c>
      <c r="RD73" s="21" t="str">
        <f t="shared" si="414"/>
        <v/>
      </c>
      <c r="RE73" s="21" t="str">
        <f t="shared" si="415"/>
        <v/>
      </c>
      <c r="RF73" s="21" t="str">
        <f t="shared" si="416"/>
        <v/>
      </c>
      <c r="RG73" s="21" t="str">
        <f t="shared" si="417"/>
        <v/>
      </c>
      <c r="RH73" s="21" t="str">
        <f t="shared" si="418"/>
        <v/>
      </c>
      <c r="RI73" s="21" t="str">
        <f t="shared" si="419"/>
        <v/>
      </c>
      <c r="RJ73" s="21" t="str">
        <f t="shared" si="420"/>
        <v/>
      </c>
      <c r="RK73" s="21" t="str">
        <f t="shared" si="421"/>
        <v/>
      </c>
      <c r="RL73" s="21" t="str">
        <f t="shared" si="422"/>
        <v/>
      </c>
      <c r="RM73" s="21" t="str">
        <f t="shared" si="423"/>
        <v/>
      </c>
      <c r="RN73" s="21" t="str">
        <f t="shared" si="424"/>
        <v/>
      </c>
      <c r="RO73" s="21" t="str">
        <f t="shared" si="425"/>
        <v/>
      </c>
      <c r="RP73" s="21" t="str">
        <f t="shared" si="426"/>
        <v/>
      </c>
      <c r="RQ73" s="21" t="str">
        <f t="shared" si="427"/>
        <v/>
      </c>
      <c r="RR73" s="21" t="str">
        <f t="shared" si="428"/>
        <v/>
      </c>
      <c r="RS73" s="21" t="str">
        <f t="shared" si="429"/>
        <v/>
      </c>
      <c r="RT73" s="21" t="str">
        <f t="shared" si="430"/>
        <v/>
      </c>
      <c r="RU73" s="21" t="str">
        <f t="shared" si="431"/>
        <v/>
      </c>
      <c r="RV73" s="21">
        <f t="shared" si="432"/>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4"/>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16.717808219178082</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t="str">
        <f t="shared" ca="1" si="289"/>
        <v>**********************MULTIPARIDAD**RIESGO POR EDAD*CESAREAS PREVIAS**************</v>
      </c>
      <c r="HK74" s="21" t="str">
        <f t="shared" si="290"/>
        <v>SIN ANTECEDENTES DE RIESGO</v>
      </c>
      <c r="HL74" s="24" t="str">
        <f t="shared" si="291"/>
        <v>REGISTRE DATO PRESIÓN ARTERIAL MENSUAL</v>
      </c>
      <c r="HM74" s="21" t="str">
        <f t="shared" ca="1" si="292"/>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3"/>
        <v>17.285714285714285</v>
      </c>
      <c r="IA74" s="26" t="s">
        <v>864</v>
      </c>
      <c r="IB74" s="26"/>
      <c r="IC74" s="111">
        <v>44960</v>
      </c>
      <c r="ID74" s="22">
        <v>44960</v>
      </c>
      <c r="IE74" s="22" t="str">
        <f t="shared" ca="1" si="294"/>
        <v>VACUNA APLICADA ENTRE SEMANA 20 Y SEMANA 26</v>
      </c>
      <c r="IF74" s="22"/>
      <c r="IG74" s="22">
        <f t="shared" si="295"/>
        <v>45069</v>
      </c>
      <c r="IH74" s="29">
        <f t="shared" ca="1" si="296"/>
        <v>-163</v>
      </c>
      <c r="II74" s="22" t="str">
        <f t="shared" ca="1" si="297"/>
        <v>POSIBLEMENTE NACIO</v>
      </c>
      <c r="IJ74" s="22"/>
      <c r="IK74" s="21" t="s">
        <v>898</v>
      </c>
      <c r="IL74" s="21"/>
      <c r="IM74" s="34"/>
      <c r="IN74" s="349">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5"/>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3"/>
        <v>0</v>
      </c>
      <c r="MI74" s="43" t="str">
        <f t="shared" si="304"/>
        <v/>
      </c>
      <c r="MJ74" s="43" t="str">
        <f t="shared" si="305"/>
        <v/>
      </c>
      <c r="MK74" s="43">
        <f t="shared" si="306"/>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7"/>
        <v>17.285714285714285</v>
      </c>
      <c r="MN74" s="43">
        <f t="shared" si="308"/>
        <v>12</v>
      </c>
      <c r="MO74" s="43">
        <f t="shared" si="309"/>
        <v>2022</v>
      </c>
      <c r="MP74" s="43" t="str">
        <f t="shared" si="310"/>
        <v>IV TRIMESTRE AÑO</v>
      </c>
      <c r="MQ74" s="43">
        <f t="shared" si="311"/>
        <v>15.598992553657467</v>
      </c>
      <c r="MR74" s="43">
        <f t="shared" si="312"/>
        <v>1</v>
      </c>
      <c r="MS74" s="43" t="str">
        <f t="shared" si="313"/>
        <v>DE 14 A 19AÑOS</v>
      </c>
      <c r="MT74" s="43">
        <f t="shared" si="314"/>
        <v>0</v>
      </c>
      <c r="MU74" s="43">
        <f t="shared" si="315"/>
        <v>1</v>
      </c>
      <c r="MV74" s="43">
        <f t="shared" si="316"/>
        <v>1</v>
      </c>
      <c r="MW74" s="43">
        <f t="shared" si="317"/>
        <v>0</v>
      </c>
      <c r="MX74" s="43" t="str">
        <f t="shared" si="318"/>
        <v/>
      </c>
      <c r="MY74" s="43" t="str">
        <f ca="1">IF(AND(AND(BU74&gt;40.9,BU74&lt;43),IN75=""),1,"")</f>
        <v/>
      </c>
      <c r="MZ74" s="43" t="str">
        <f t="shared" si="319"/>
        <v/>
      </c>
      <c r="NA74" s="43" t="str">
        <f t="shared" si="320"/>
        <v/>
      </c>
      <c r="NB74" s="43" t="str">
        <f t="shared" si="321"/>
        <v/>
      </c>
      <c r="NC74" s="43" t="str">
        <f t="shared" si="322"/>
        <v/>
      </c>
      <c r="ND74" s="43">
        <f t="shared" ca="1" si="323"/>
        <v>3</v>
      </c>
      <c r="NE74" s="43">
        <f>IF(OR(O74&gt;0,R74&gt;0),SUM(COUNTIF(Tabla1[[#This Row],[AÑOS AL INICIO5 CPN]],"&gt;=40"),COUNTIF(AS74,"0"),COUNTIF(AR74,"SI"),COUNTIF(CC74,"SI"),COUNTIF(BQ74,"&gt;119"),COUNTIF(CI74,"&gt;=35")),"")</f>
        <v>1</v>
      </c>
      <c r="NF74" s="43">
        <f t="shared" si="324"/>
        <v>24.428571428571427</v>
      </c>
      <c r="NG74" s="43">
        <f t="shared" si="325"/>
        <v>0</v>
      </c>
      <c r="NH74" s="43">
        <f t="shared" si="326"/>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7"/>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8"/>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9"/>
        <v>1</v>
      </c>
      <c r="NT74" s="21">
        <f t="shared" ca="1" si="330"/>
        <v>1</v>
      </c>
      <c r="NU74" s="21" t="str">
        <f t="shared" ca="1" si="331"/>
        <v>INCOMPLETO</v>
      </c>
      <c r="NV74" s="21" t="str">
        <f t="shared" ca="1" si="332"/>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3"/>
        <v>VACUNADA</v>
      </c>
      <c r="NY74" s="43">
        <f>ROW(Tabla1[[#This Row],['# DE TAMIZAJES SIFILIS TOMADOS ]])</f>
        <v>74</v>
      </c>
      <c r="NZ74" s="43">
        <f t="shared" si="334"/>
        <v>17</v>
      </c>
      <c r="OA74" s="43" t="str">
        <f t="shared" si="335"/>
        <v/>
      </c>
      <c r="OB74" s="43" t="str">
        <f t="shared" si="336"/>
        <v/>
      </c>
      <c r="OC74" s="43" t="str">
        <f t="shared" si="337"/>
        <v/>
      </c>
      <c r="OD74" s="43" t="str">
        <f t="shared" si="338"/>
        <v/>
      </c>
      <c r="OE74" s="43" t="str">
        <f t="shared" si="339"/>
        <v/>
      </c>
      <c r="OF74" s="43" t="str">
        <f t="shared" si="340"/>
        <v/>
      </c>
      <c r="OG74" s="43" t="str">
        <f t="shared" si="341"/>
        <v/>
      </c>
      <c r="OH74" s="43" t="str">
        <f t="shared" si="342"/>
        <v/>
      </c>
      <c r="OI74" s="43" t="str">
        <f t="shared" si="343"/>
        <v>NORMAL</v>
      </c>
      <c r="OJ74" s="43" t="str">
        <f t="shared" si="344"/>
        <v/>
      </c>
      <c r="OK74" s="43" t="str">
        <f t="shared" si="345"/>
        <v/>
      </c>
      <c r="OL74" s="43" t="str">
        <f t="shared" si="346"/>
        <v/>
      </c>
      <c r="OM74" s="43" t="str">
        <f t="shared" si="347"/>
        <v/>
      </c>
      <c r="ON74" s="43" t="str">
        <f t="shared" si="348"/>
        <v/>
      </c>
      <c r="OO74" s="43" t="str">
        <f t="shared" si="349"/>
        <v/>
      </c>
      <c r="OP74" s="43" t="str">
        <f t="shared" si="350"/>
        <v/>
      </c>
      <c r="OQ74" s="43" t="str">
        <f t="shared" si="351"/>
        <v/>
      </c>
      <c r="OR74" s="43" t="str">
        <f t="shared" si="352"/>
        <v/>
      </c>
      <c r="OS74" s="43" t="str">
        <f t="shared" si="353"/>
        <v/>
      </c>
      <c r="OT74" s="43" t="str">
        <f t="shared" si="354"/>
        <v/>
      </c>
      <c r="OU74" s="43" t="str">
        <f t="shared" si="355"/>
        <v/>
      </c>
      <c r="OV74" s="110" t="str">
        <f t="shared" si="356"/>
        <v/>
      </c>
      <c r="OW74" s="43" t="str">
        <f t="shared" si="357"/>
        <v/>
      </c>
      <c r="OX74" s="43" t="str">
        <f t="shared" si="358"/>
        <v/>
      </c>
      <c r="OY74" s="43" t="str">
        <f t="shared" si="359"/>
        <v/>
      </c>
      <c r="OZ74" s="43" t="str">
        <f t="shared" si="360"/>
        <v/>
      </c>
      <c r="PA74" s="43" t="str">
        <f t="shared" si="361"/>
        <v/>
      </c>
      <c r="PB74" s="43" t="str">
        <f t="shared" si="362"/>
        <v/>
      </c>
      <c r="PC74" s="43" t="str">
        <f t="shared" si="363"/>
        <v/>
      </c>
      <c r="PD74" s="43" t="str">
        <f t="shared" si="364"/>
        <v/>
      </c>
      <c r="PE74" s="43" t="str">
        <f t="shared" si="365"/>
        <v/>
      </c>
      <c r="PF74" s="43" t="str">
        <f t="shared" si="366"/>
        <v/>
      </c>
      <c r="PG74" s="43" t="str">
        <f t="shared" si="367"/>
        <v/>
      </c>
      <c r="PH74" s="43" t="str">
        <f t="shared" si="368"/>
        <v/>
      </c>
      <c r="PI74" s="43">
        <f t="shared" si="369"/>
        <v>33</v>
      </c>
      <c r="PJ74" s="43" t="str">
        <f t="shared" si="370"/>
        <v/>
      </c>
      <c r="PK74" s="43" t="str">
        <f t="shared" si="371"/>
        <v/>
      </c>
      <c r="PL74" s="43" t="str">
        <f t="shared" si="372"/>
        <v/>
      </c>
      <c r="PM74" s="43" t="str">
        <f t="shared" si="373"/>
        <v/>
      </c>
      <c r="PN74" s="43" t="str">
        <f t="shared" si="374"/>
        <v/>
      </c>
      <c r="PO74" s="43" t="str">
        <f t="shared" si="375"/>
        <v/>
      </c>
      <c r="PP74" s="43" t="str">
        <f t="shared" si="376"/>
        <v/>
      </c>
      <c r="PQ74" s="43" t="str">
        <f t="shared" si="377"/>
        <v/>
      </c>
      <c r="PR74" s="43" t="str">
        <f t="shared" si="378"/>
        <v/>
      </c>
      <c r="PS74" s="43" t="str">
        <f t="shared" si="379"/>
        <v/>
      </c>
      <c r="PT74" s="43" t="str">
        <f t="shared" si="380"/>
        <v/>
      </c>
      <c r="PU74" s="43" t="str">
        <f t="shared" si="381"/>
        <v/>
      </c>
      <c r="PV74" s="43" t="str">
        <f t="shared" si="382"/>
        <v/>
      </c>
      <c r="PW74" s="43" t="str">
        <f t="shared" si="383"/>
        <v/>
      </c>
      <c r="PX74" s="43" t="str">
        <f t="shared" si="384"/>
        <v/>
      </c>
      <c r="PY74" s="43" t="str">
        <f t="shared" si="385"/>
        <v/>
      </c>
      <c r="PZ74" s="43" t="str">
        <f t="shared" si="386"/>
        <v/>
      </c>
      <c r="QA74" s="43" t="str">
        <f t="shared" si="387"/>
        <v/>
      </c>
      <c r="QB74" s="43" t="str">
        <f t="shared" si="388"/>
        <v/>
      </c>
      <c r="QC74" s="43" t="str">
        <f t="shared" si="389"/>
        <v/>
      </c>
      <c r="QD74" s="43" t="str">
        <f t="shared" si="390"/>
        <v/>
      </c>
      <c r="QE74" s="43" t="str">
        <f t="shared" si="391"/>
        <v/>
      </c>
      <c r="QF74" s="43" t="str">
        <f t="shared" si="392"/>
        <v/>
      </c>
      <c r="QG74" s="43" t="str">
        <f t="shared" si="393"/>
        <v/>
      </c>
      <c r="QH74" s="43" t="str">
        <f t="shared" si="394"/>
        <v/>
      </c>
      <c r="QI74" s="43" t="str">
        <f t="shared" si="395"/>
        <v/>
      </c>
      <c r="QJ74" s="43" t="str">
        <f t="shared" si="396"/>
        <v/>
      </c>
      <c r="QK74" s="43" t="str">
        <f t="shared" si="397"/>
        <v/>
      </c>
      <c r="QL74" s="43" t="str">
        <f t="shared" si="398"/>
        <v/>
      </c>
      <c r="QM74" s="43" t="str">
        <f t="shared" si="399"/>
        <v/>
      </c>
      <c r="QN74" s="43" t="str">
        <f t="shared" si="400"/>
        <v/>
      </c>
      <c r="QO74" s="43" t="str">
        <f t="shared" si="401"/>
        <v/>
      </c>
      <c r="QP74" s="43" t="str">
        <f t="shared" si="402"/>
        <v/>
      </c>
      <c r="QQ74" s="43" t="str">
        <f t="shared" si="403"/>
        <v/>
      </c>
      <c r="QR74" s="43">
        <f t="shared" si="433"/>
        <v>33</v>
      </c>
      <c r="QS74" s="43"/>
      <c r="QT74" s="21" t="str">
        <f t="shared" si="404"/>
        <v/>
      </c>
      <c r="QU74" s="21" t="str">
        <f t="shared" si="405"/>
        <v/>
      </c>
      <c r="QV74" s="21" t="str">
        <f t="shared" si="406"/>
        <v/>
      </c>
      <c r="QW74" s="21" t="str">
        <f t="shared" si="407"/>
        <v/>
      </c>
      <c r="QX74" s="21" t="str">
        <f t="shared" si="408"/>
        <v/>
      </c>
      <c r="QY74" s="21" t="str">
        <f t="shared" si="409"/>
        <v/>
      </c>
      <c r="QZ74" s="21" t="str">
        <f t="shared" si="410"/>
        <v/>
      </c>
      <c r="RA74" s="21" t="str">
        <f t="shared" si="411"/>
        <v/>
      </c>
      <c r="RB74" s="21" t="str">
        <f t="shared" si="412"/>
        <v/>
      </c>
      <c r="RC74" s="21" t="str">
        <f t="shared" si="413"/>
        <v/>
      </c>
      <c r="RD74" s="21" t="str">
        <f t="shared" si="414"/>
        <v/>
      </c>
      <c r="RE74" s="21" t="str">
        <f t="shared" si="415"/>
        <v/>
      </c>
      <c r="RF74" s="21" t="str">
        <f t="shared" si="416"/>
        <v/>
      </c>
      <c r="RG74" s="21" t="str">
        <f t="shared" si="417"/>
        <v/>
      </c>
      <c r="RH74" s="21" t="str">
        <f t="shared" si="418"/>
        <v/>
      </c>
      <c r="RI74" s="21" t="str">
        <f t="shared" si="419"/>
        <v/>
      </c>
      <c r="RJ74" s="21" t="str">
        <f t="shared" si="420"/>
        <v/>
      </c>
      <c r="RK74" s="21" t="str">
        <f t="shared" si="421"/>
        <v/>
      </c>
      <c r="RL74" s="21" t="str">
        <f t="shared" si="422"/>
        <v/>
      </c>
      <c r="RM74" s="21" t="str">
        <f t="shared" si="423"/>
        <v/>
      </c>
      <c r="RN74" s="21" t="str">
        <f t="shared" si="424"/>
        <v/>
      </c>
      <c r="RO74" s="21" t="str">
        <f t="shared" si="425"/>
        <v/>
      </c>
      <c r="RP74" s="21" t="str">
        <f t="shared" si="426"/>
        <v/>
      </c>
      <c r="RQ74" s="21" t="str">
        <f t="shared" si="427"/>
        <v/>
      </c>
      <c r="RR74" s="21" t="str">
        <f t="shared" si="428"/>
        <v/>
      </c>
      <c r="RS74" s="21" t="str">
        <f t="shared" si="429"/>
        <v/>
      </c>
      <c r="RT74" s="21" t="str">
        <f t="shared" si="430"/>
        <v/>
      </c>
      <c r="RU74" s="21" t="str">
        <f t="shared" si="431"/>
        <v/>
      </c>
      <c r="RV74" s="21">
        <f t="shared" si="432"/>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4"/>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31.723287671232878</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t="str">
        <f t="shared" ca="1" si="289"/>
        <v>**********************MULTIPARIDAD*****************</v>
      </c>
      <c r="HK75" s="21" t="str">
        <f t="shared" si="290"/>
        <v>SIN ANTECEDENTES DE RIESGO</v>
      </c>
      <c r="HL75" s="24" t="str">
        <f t="shared" si="291"/>
        <v>APARENTEMENTE NORMAL</v>
      </c>
      <c r="HM75" s="21" t="str">
        <f t="shared" ca="1" si="292"/>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3"/>
        <v>13.714285714285714</v>
      </c>
      <c r="IA75" s="26" t="s">
        <v>864</v>
      </c>
      <c r="IB75" s="26"/>
      <c r="IC75" s="111"/>
      <c r="ID75" s="22"/>
      <c r="IE75" s="22" t="str">
        <f t="shared" ca="1" si="294"/>
        <v>SALE SIN VACUNA</v>
      </c>
      <c r="IF75" s="22"/>
      <c r="IG75" s="22">
        <f t="shared" si="295"/>
        <v>45101</v>
      </c>
      <c r="IH75" s="29">
        <f t="shared" ca="1" si="296"/>
        <v>-131</v>
      </c>
      <c r="II75" s="22" t="str">
        <f t="shared" ca="1" si="297"/>
        <v>POSIBLEMENTE NACIO</v>
      </c>
      <c r="IJ75" s="22"/>
      <c r="IK75" s="21" t="s">
        <v>898</v>
      </c>
      <c r="IL75" s="21"/>
      <c r="IM75" s="34"/>
      <c r="IN75" s="352">
        <v>45067</v>
      </c>
      <c r="IO75" s="339" t="s">
        <v>1186</v>
      </c>
      <c r="IP75" s="29">
        <f t="shared" ref="IP75:IP106" si="436">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5"/>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3"/>
        <v>0</v>
      </c>
      <c r="MI75" s="43" t="str">
        <f t="shared" si="304"/>
        <v/>
      </c>
      <c r="MJ75" s="43" t="str">
        <f t="shared" si="305"/>
        <v/>
      </c>
      <c r="MK75" s="43">
        <f t="shared" si="306"/>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7"/>
        <v>13.714285714285714</v>
      </c>
      <c r="MN75" s="43">
        <f t="shared" si="308"/>
        <v>12</v>
      </c>
      <c r="MO75" s="43">
        <f t="shared" si="309"/>
        <v>2022</v>
      </c>
      <c r="MP75" s="43" t="str">
        <f t="shared" si="310"/>
        <v>IV TRIMESTRE AÑO</v>
      </c>
      <c r="MQ75" s="43">
        <f t="shared" si="311"/>
        <v>30.39586070959264</v>
      </c>
      <c r="MR75" s="43">
        <f t="shared" si="312"/>
        <v>0</v>
      </c>
      <c r="MS75" s="43" t="str">
        <f t="shared" si="313"/>
        <v xml:space="preserve"> DE 30 A 34 AÑOS</v>
      </c>
      <c r="MT75" s="43">
        <f t="shared" si="314"/>
        <v>0</v>
      </c>
      <c r="MU75" s="43">
        <f t="shared" si="315"/>
        <v>1</v>
      </c>
      <c r="MV75" s="43">
        <f t="shared" si="316"/>
        <v>0</v>
      </c>
      <c r="MW75" s="43">
        <f t="shared" si="317"/>
        <v>0</v>
      </c>
      <c r="MX75" s="43" t="str">
        <f t="shared" si="318"/>
        <v/>
      </c>
      <c r="MY75" s="43" t="str">
        <f ca="1">IF(AND(AND(BU75&gt;40.9,BU75&lt;43),IN76=""),1,"")</f>
        <v/>
      </c>
      <c r="MZ75" s="43" t="str">
        <f t="shared" si="319"/>
        <v/>
      </c>
      <c r="NA75" s="43">
        <f t="shared" si="320"/>
        <v>0</v>
      </c>
      <c r="NB75" s="43" t="str">
        <f t="shared" si="321"/>
        <v/>
      </c>
      <c r="NC75" s="43" t="str">
        <f t="shared" si="322"/>
        <v/>
      </c>
      <c r="ND75" s="43">
        <f t="shared" ca="1" si="323"/>
        <v>1</v>
      </c>
      <c r="NE75" s="43">
        <f>IF(OR(O75&gt;0,R75&gt;0),SUM(COUNTIF(Tabla1[[#This Row],[AÑOS AL INICIO5 CPN]],"&gt;=40"),COUNTIF(AS75,"0"),COUNTIF(AR75,"SI"),COUNTIF(CC75,"SI"),COUNTIF(BQ75,"&gt;119"),COUNTIF(CI75,"&gt;=35")),"")</f>
        <v>1</v>
      </c>
      <c r="NF75" s="43" t="str">
        <f t="shared" si="324"/>
        <v/>
      </c>
      <c r="NG75" s="43">
        <f t="shared" si="325"/>
        <v>0</v>
      </c>
      <c r="NH75" s="43">
        <f t="shared" si="326"/>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7"/>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8"/>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9"/>
        <v>2</v>
      </c>
      <c r="NT75" s="21">
        <f t="shared" ca="1" si="330"/>
        <v>1</v>
      </c>
      <c r="NU75" s="21" t="str">
        <f t="shared" ca="1" si="331"/>
        <v>COMPLETO</v>
      </c>
      <c r="NV75" s="21" t="str">
        <f t="shared" ca="1" si="332"/>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3"/>
        <v>SIN VACUNAR</v>
      </c>
      <c r="NY75" s="43">
        <f>ROW(Tabla1[[#This Row],['# DE TAMIZAJES SIFILIS TOMADOS ]])</f>
        <v>75</v>
      </c>
      <c r="NZ75" s="43">
        <f t="shared" si="334"/>
        <v>13</v>
      </c>
      <c r="OA75" s="43" t="str">
        <f t="shared" si="335"/>
        <v/>
      </c>
      <c r="OB75" s="43" t="str">
        <f t="shared" si="336"/>
        <v/>
      </c>
      <c r="OC75" s="43" t="str">
        <f t="shared" si="337"/>
        <v/>
      </c>
      <c r="OD75" s="43" t="str">
        <f t="shared" si="338"/>
        <v/>
      </c>
      <c r="OE75" s="43" t="str">
        <f t="shared" si="339"/>
        <v>SOBREPESO</v>
      </c>
      <c r="OF75" s="43" t="str">
        <f t="shared" si="340"/>
        <v/>
      </c>
      <c r="OG75" s="43" t="str">
        <f t="shared" si="341"/>
        <v/>
      </c>
      <c r="OH75" s="43" t="str">
        <f t="shared" si="342"/>
        <v/>
      </c>
      <c r="OI75" s="43" t="str">
        <f t="shared" si="343"/>
        <v/>
      </c>
      <c r="OJ75" s="43" t="str">
        <f t="shared" si="344"/>
        <v/>
      </c>
      <c r="OK75" s="43" t="str">
        <f t="shared" si="345"/>
        <v/>
      </c>
      <c r="OL75" s="43" t="str">
        <f t="shared" si="346"/>
        <v/>
      </c>
      <c r="OM75" s="43" t="str">
        <f t="shared" si="347"/>
        <v/>
      </c>
      <c r="ON75" s="43" t="str">
        <f t="shared" si="348"/>
        <v/>
      </c>
      <c r="OO75" s="43" t="str">
        <f t="shared" si="349"/>
        <v/>
      </c>
      <c r="OP75" s="43" t="str">
        <f t="shared" si="350"/>
        <v/>
      </c>
      <c r="OQ75" s="43" t="str">
        <f t="shared" si="351"/>
        <v/>
      </c>
      <c r="OR75" s="43" t="str">
        <f t="shared" si="352"/>
        <v/>
      </c>
      <c r="OS75" s="43" t="str">
        <f t="shared" si="353"/>
        <v/>
      </c>
      <c r="OT75" s="43" t="str">
        <f t="shared" si="354"/>
        <v/>
      </c>
      <c r="OU75" s="43" t="str">
        <f t="shared" si="355"/>
        <v/>
      </c>
      <c r="OV75" s="110" t="str">
        <f t="shared" si="356"/>
        <v/>
      </c>
      <c r="OW75" s="43" t="str">
        <f t="shared" si="357"/>
        <v/>
      </c>
      <c r="OX75" s="43" t="str">
        <f t="shared" si="358"/>
        <v/>
      </c>
      <c r="OY75" s="43" t="str">
        <f t="shared" si="359"/>
        <v/>
      </c>
      <c r="OZ75" s="43" t="str">
        <f t="shared" si="360"/>
        <v/>
      </c>
      <c r="PA75" s="43" t="str">
        <f t="shared" si="361"/>
        <v/>
      </c>
      <c r="PB75" s="43" t="str">
        <f t="shared" si="362"/>
        <v/>
      </c>
      <c r="PC75" s="43" t="str">
        <f t="shared" si="363"/>
        <v/>
      </c>
      <c r="PD75" s="43" t="str">
        <f t="shared" si="364"/>
        <v/>
      </c>
      <c r="PE75" s="43" t="str">
        <f t="shared" si="365"/>
        <v/>
      </c>
      <c r="PF75" s="43" t="str">
        <f t="shared" si="366"/>
        <v/>
      </c>
      <c r="PG75" s="43" t="str">
        <f t="shared" si="367"/>
        <v/>
      </c>
      <c r="PH75" s="43" t="str">
        <f t="shared" si="368"/>
        <v/>
      </c>
      <c r="PI75" s="43">
        <f t="shared" si="369"/>
        <v>34</v>
      </c>
      <c r="PJ75" s="43" t="str">
        <f t="shared" si="370"/>
        <v/>
      </c>
      <c r="PK75" s="43" t="str">
        <f t="shared" si="371"/>
        <v/>
      </c>
      <c r="PL75" s="43" t="str">
        <f t="shared" si="372"/>
        <v/>
      </c>
      <c r="PM75" s="43" t="str">
        <f t="shared" si="373"/>
        <v/>
      </c>
      <c r="PN75" s="43" t="str">
        <f t="shared" si="374"/>
        <v/>
      </c>
      <c r="PO75" s="43" t="str">
        <f t="shared" si="375"/>
        <v/>
      </c>
      <c r="PP75" s="43" t="str">
        <f t="shared" si="376"/>
        <v/>
      </c>
      <c r="PQ75" s="43" t="str">
        <f t="shared" si="377"/>
        <v/>
      </c>
      <c r="PR75" s="43" t="str">
        <f t="shared" si="378"/>
        <v/>
      </c>
      <c r="PS75" s="43" t="str">
        <f t="shared" si="379"/>
        <v/>
      </c>
      <c r="PT75" s="43" t="str">
        <f t="shared" si="380"/>
        <v/>
      </c>
      <c r="PU75" s="43" t="str">
        <f t="shared" si="381"/>
        <v/>
      </c>
      <c r="PV75" s="43" t="str">
        <f t="shared" si="382"/>
        <v/>
      </c>
      <c r="PW75" s="43" t="str">
        <f t="shared" si="383"/>
        <v/>
      </c>
      <c r="PX75" s="43" t="str">
        <f t="shared" si="384"/>
        <v/>
      </c>
      <c r="PY75" s="43" t="str">
        <f t="shared" si="385"/>
        <v/>
      </c>
      <c r="PZ75" s="43" t="str">
        <f t="shared" si="386"/>
        <v/>
      </c>
      <c r="QA75" s="43" t="str">
        <f t="shared" si="387"/>
        <v/>
      </c>
      <c r="QB75" s="43" t="str">
        <f t="shared" si="388"/>
        <v/>
      </c>
      <c r="QC75" s="43" t="str">
        <f t="shared" si="389"/>
        <v/>
      </c>
      <c r="QD75" s="43" t="str">
        <f t="shared" si="390"/>
        <v/>
      </c>
      <c r="QE75" s="43" t="str">
        <f t="shared" si="391"/>
        <v/>
      </c>
      <c r="QF75" s="43" t="str">
        <f t="shared" si="392"/>
        <v/>
      </c>
      <c r="QG75" s="43" t="str">
        <f t="shared" si="393"/>
        <v/>
      </c>
      <c r="QH75" s="43" t="str">
        <f t="shared" si="394"/>
        <v/>
      </c>
      <c r="QI75" s="43" t="str">
        <f t="shared" si="395"/>
        <v>SOBREPESO</v>
      </c>
      <c r="QJ75" s="43" t="str">
        <f t="shared" si="396"/>
        <v/>
      </c>
      <c r="QK75" s="43" t="str">
        <f t="shared" si="397"/>
        <v/>
      </c>
      <c r="QL75" s="43" t="str">
        <f t="shared" si="398"/>
        <v/>
      </c>
      <c r="QM75" s="43" t="str">
        <f t="shared" si="399"/>
        <v/>
      </c>
      <c r="QN75" s="43" t="str">
        <f t="shared" si="400"/>
        <v/>
      </c>
      <c r="QO75" s="43" t="str">
        <f t="shared" si="401"/>
        <v/>
      </c>
      <c r="QP75" s="43" t="str">
        <f t="shared" si="402"/>
        <v/>
      </c>
      <c r="QQ75" s="43" t="str">
        <f t="shared" si="403"/>
        <v/>
      </c>
      <c r="QR75" s="43">
        <f t="shared" si="433"/>
        <v>34</v>
      </c>
      <c r="QS75" s="43"/>
      <c r="QT75" s="21" t="str">
        <f t="shared" si="404"/>
        <v/>
      </c>
      <c r="QU75" s="21" t="str">
        <f t="shared" si="405"/>
        <v/>
      </c>
      <c r="QV75" s="21" t="str">
        <f t="shared" si="406"/>
        <v/>
      </c>
      <c r="QW75" s="21" t="str">
        <f t="shared" si="407"/>
        <v/>
      </c>
      <c r="QX75" s="21" t="str">
        <f t="shared" si="408"/>
        <v/>
      </c>
      <c r="QY75" s="21" t="str">
        <f t="shared" si="409"/>
        <v/>
      </c>
      <c r="QZ75" s="21" t="str">
        <f t="shared" si="410"/>
        <v/>
      </c>
      <c r="RA75" s="21" t="str">
        <f t="shared" si="411"/>
        <v/>
      </c>
      <c r="RB75" s="21" t="str">
        <f t="shared" si="412"/>
        <v/>
      </c>
      <c r="RC75" s="21" t="str">
        <f t="shared" si="413"/>
        <v/>
      </c>
      <c r="RD75" s="21" t="str">
        <f t="shared" si="414"/>
        <v/>
      </c>
      <c r="RE75" s="21" t="str">
        <f t="shared" si="415"/>
        <v/>
      </c>
      <c r="RF75" s="21" t="str">
        <f t="shared" si="416"/>
        <v/>
      </c>
      <c r="RG75" s="21" t="str">
        <f t="shared" si="417"/>
        <v/>
      </c>
      <c r="RH75" s="21" t="str">
        <f t="shared" si="418"/>
        <v/>
      </c>
      <c r="RI75" s="21" t="str">
        <f t="shared" si="419"/>
        <v/>
      </c>
      <c r="RJ75" s="21" t="str">
        <f t="shared" si="420"/>
        <v/>
      </c>
      <c r="RK75" s="21" t="str">
        <f t="shared" si="421"/>
        <v/>
      </c>
      <c r="RL75" s="21" t="str">
        <f t="shared" si="422"/>
        <v/>
      </c>
      <c r="RM75" s="21" t="str">
        <f t="shared" si="423"/>
        <v/>
      </c>
      <c r="RN75" s="21" t="str">
        <f t="shared" si="424"/>
        <v/>
      </c>
      <c r="RO75" s="21" t="str">
        <f t="shared" si="425"/>
        <v/>
      </c>
      <c r="RP75" s="21" t="str">
        <f t="shared" si="426"/>
        <v/>
      </c>
      <c r="RQ75" s="21" t="str">
        <f t="shared" si="427"/>
        <v/>
      </c>
      <c r="RR75" s="21" t="str">
        <f t="shared" si="428"/>
        <v/>
      </c>
      <c r="RS75" s="21" t="str">
        <f t="shared" si="429"/>
        <v/>
      </c>
      <c r="RT75" s="21" t="str">
        <f t="shared" si="430"/>
        <v/>
      </c>
      <c r="RU75" s="21" t="str">
        <f t="shared" si="431"/>
        <v/>
      </c>
      <c r="RV75" s="21">
        <f t="shared" si="432"/>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4"/>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26.397260273972602</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t="str">
        <f t="shared" ca="1" si="289"/>
        <v>***************PRESENTACIÓN FETAL PODALICA O TRANSVERSA************************</v>
      </c>
      <c r="HK76" s="21" t="str">
        <f t="shared" si="290"/>
        <v>SIN ANTECEDENTES DE RIESGO</v>
      </c>
      <c r="HL76" s="24" t="str">
        <f t="shared" si="291"/>
        <v>REGISTRE DATO PRESIÓN ARTERIAL MENSUAL</v>
      </c>
      <c r="HM76" s="21" t="str">
        <f t="shared" ca="1" si="292"/>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3"/>
        <v>27.142857142857142</v>
      </c>
      <c r="IA76" s="26" t="s">
        <v>864</v>
      </c>
      <c r="IB76" s="26"/>
      <c r="IC76" s="111"/>
      <c r="ID76" s="22"/>
      <c r="IE76" s="22" t="str">
        <f t="shared" ca="1" si="294"/>
        <v>SALE SIN VACUNA</v>
      </c>
      <c r="IF76" s="22"/>
      <c r="IG76" s="22">
        <f t="shared" si="295"/>
        <v>45012</v>
      </c>
      <c r="IH76" s="29">
        <f t="shared" ca="1" si="296"/>
        <v>-220</v>
      </c>
      <c r="II76" s="22" t="str">
        <f t="shared" ca="1" si="297"/>
        <v>POSIBLEMENTE NACIO</v>
      </c>
      <c r="IJ76" s="22"/>
      <c r="IK76" s="21" t="s">
        <v>898</v>
      </c>
      <c r="IL76" s="21"/>
      <c r="IM76" s="34"/>
      <c r="IN76" s="352">
        <v>45033</v>
      </c>
      <c r="IO76" s="339" t="s">
        <v>1186</v>
      </c>
      <c r="IP76" s="29">
        <f t="shared" si="436"/>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5"/>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3"/>
        <v>0</v>
      </c>
      <c r="MI76" s="43" t="str">
        <f t="shared" si="304"/>
        <v/>
      </c>
      <c r="MJ76" s="43" t="str">
        <f t="shared" si="305"/>
        <v/>
      </c>
      <c r="MK76" s="43">
        <f t="shared" si="306"/>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7"/>
        <v>27.142857142857142</v>
      </c>
      <c r="MN76" s="43">
        <f t="shared" si="308"/>
        <v>12</v>
      </c>
      <c r="MO76" s="43">
        <f t="shared" si="309"/>
        <v>2022</v>
      </c>
      <c r="MP76" s="43" t="str">
        <f t="shared" si="310"/>
        <v>IV TRIMESTRE AÑO</v>
      </c>
      <c r="MQ76" s="43">
        <f t="shared" si="311"/>
        <v>25.161519929916775</v>
      </c>
      <c r="MR76" s="43">
        <f t="shared" si="312"/>
        <v>0</v>
      </c>
      <c r="MS76" s="43" t="str">
        <f t="shared" si="313"/>
        <v xml:space="preserve"> DE 25 A 29 AÑOS</v>
      </c>
      <c r="MT76" s="43">
        <f t="shared" si="314"/>
        <v>0</v>
      </c>
      <c r="MU76" s="43">
        <f t="shared" si="315"/>
        <v>0</v>
      </c>
      <c r="MV76" s="43">
        <f t="shared" si="316"/>
        <v>0</v>
      </c>
      <c r="MW76" s="43">
        <f t="shared" si="317"/>
        <v>0</v>
      </c>
      <c r="MX76" s="43" t="str">
        <f t="shared" si="318"/>
        <v/>
      </c>
      <c r="MY76" s="43" t="str">
        <f ca="1">IF(AND(AND(BU76&gt;40.9,BU76&lt;43),IN77=""),1,"")</f>
        <v/>
      </c>
      <c r="MZ76" s="43" t="str">
        <f t="shared" si="319"/>
        <v/>
      </c>
      <c r="NA76" s="43">
        <f t="shared" si="320"/>
        <v>3</v>
      </c>
      <c r="NB76" s="43" t="str">
        <f t="shared" si="321"/>
        <v/>
      </c>
      <c r="NC76" s="43" t="str">
        <f t="shared" si="322"/>
        <v/>
      </c>
      <c r="ND76" s="43">
        <f t="shared" ca="1" si="323"/>
        <v>3</v>
      </c>
      <c r="NE76" s="43">
        <f>IF(OR(O76&gt;0,R76&gt;0),SUM(COUNTIF(Tabla1[[#This Row],[AÑOS AL INICIO5 CPN]],"&gt;=40"),COUNTIF(AS76,"0"),COUNTIF(AR76,"SI"),COUNTIF(CC76,"SI"),COUNTIF(BQ76,"&gt;119"),COUNTIF(CI76,"&gt;=35")),"")</f>
        <v>0</v>
      </c>
      <c r="NF76" s="43" t="str">
        <f t="shared" si="324"/>
        <v/>
      </c>
      <c r="NG76" s="43">
        <f t="shared" si="325"/>
        <v>0</v>
      </c>
      <c r="NH76" s="43">
        <f t="shared" si="326"/>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7"/>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8"/>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9"/>
        <v>1</v>
      </c>
      <c r="NT76" s="21">
        <f t="shared" ca="1" si="330"/>
        <v>1</v>
      </c>
      <c r="NU76" s="21" t="str">
        <f t="shared" ca="1" si="331"/>
        <v>INCOMPLETO</v>
      </c>
      <c r="NV76" s="21" t="str">
        <f t="shared" ca="1" si="332"/>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3"/>
        <v>SIN VACUNAR</v>
      </c>
      <c r="NY76" s="43">
        <f>ROW(Tabla1[[#This Row],['# DE TAMIZAJES SIFILIS TOMADOS ]])</f>
        <v>76</v>
      </c>
      <c r="NZ76" s="43">
        <f t="shared" si="334"/>
        <v>27</v>
      </c>
      <c r="OA76" s="43" t="str">
        <f t="shared" si="335"/>
        <v/>
      </c>
      <c r="OB76" s="43" t="str">
        <f t="shared" si="336"/>
        <v/>
      </c>
      <c r="OC76" s="43" t="str">
        <f t="shared" si="337"/>
        <v/>
      </c>
      <c r="OD76" s="43" t="str">
        <f t="shared" si="338"/>
        <v/>
      </c>
      <c r="OE76" s="43" t="str">
        <f t="shared" si="339"/>
        <v/>
      </c>
      <c r="OF76" s="43" t="str">
        <f t="shared" si="340"/>
        <v/>
      </c>
      <c r="OG76" s="43" t="str">
        <f t="shared" si="341"/>
        <v/>
      </c>
      <c r="OH76" s="43" t="str">
        <f t="shared" si="342"/>
        <v/>
      </c>
      <c r="OI76" s="43" t="str">
        <f t="shared" si="343"/>
        <v/>
      </c>
      <c r="OJ76" s="43" t="str">
        <f t="shared" si="344"/>
        <v/>
      </c>
      <c r="OK76" s="43" t="str">
        <f t="shared" si="345"/>
        <v/>
      </c>
      <c r="OL76" s="43" t="str">
        <f t="shared" si="346"/>
        <v/>
      </c>
      <c r="OM76" s="43" t="str">
        <f t="shared" si="347"/>
        <v/>
      </c>
      <c r="ON76" s="43" t="str">
        <f t="shared" si="348"/>
        <v/>
      </c>
      <c r="OO76" s="43" t="str">
        <f t="shared" si="349"/>
        <v/>
      </c>
      <c r="OP76" s="43" t="str">
        <f t="shared" si="350"/>
        <v/>
      </c>
      <c r="OQ76" s="43" t="str">
        <f t="shared" si="351"/>
        <v/>
      </c>
      <c r="OR76" s="43" t="str">
        <f t="shared" si="352"/>
        <v/>
      </c>
      <c r="OS76" s="43" t="str">
        <f t="shared" si="353"/>
        <v>NORMAL</v>
      </c>
      <c r="OT76" s="43" t="str">
        <f t="shared" si="354"/>
        <v/>
      </c>
      <c r="OU76" s="43" t="str">
        <f t="shared" si="355"/>
        <v/>
      </c>
      <c r="OV76" s="110" t="str">
        <f t="shared" si="356"/>
        <v/>
      </c>
      <c r="OW76" s="43" t="str">
        <f t="shared" si="357"/>
        <v/>
      </c>
      <c r="OX76" s="43" t="str">
        <f t="shared" si="358"/>
        <v/>
      </c>
      <c r="OY76" s="43" t="str">
        <f t="shared" si="359"/>
        <v/>
      </c>
      <c r="OZ76" s="43" t="str">
        <f t="shared" si="360"/>
        <v/>
      </c>
      <c r="PA76" s="43" t="str">
        <f t="shared" si="361"/>
        <v/>
      </c>
      <c r="PB76" s="43" t="str">
        <f t="shared" si="362"/>
        <v/>
      </c>
      <c r="PC76" s="43" t="str">
        <f t="shared" si="363"/>
        <v/>
      </c>
      <c r="PD76" s="43" t="str">
        <f t="shared" si="364"/>
        <v/>
      </c>
      <c r="PE76" s="43" t="str">
        <f t="shared" si="365"/>
        <v/>
      </c>
      <c r="PF76" s="43" t="str">
        <f t="shared" si="366"/>
        <v/>
      </c>
      <c r="PG76" s="43" t="str">
        <f t="shared" si="367"/>
        <v/>
      </c>
      <c r="PH76" s="43" t="str">
        <f t="shared" si="368"/>
        <v/>
      </c>
      <c r="PI76" s="43">
        <f t="shared" si="369"/>
        <v>37</v>
      </c>
      <c r="PJ76" s="43" t="str">
        <f t="shared" si="370"/>
        <v/>
      </c>
      <c r="PK76" s="43" t="str">
        <f t="shared" si="371"/>
        <v/>
      </c>
      <c r="PL76" s="43" t="str">
        <f t="shared" si="372"/>
        <v/>
      </c>
      <c r="PM76" s="43" t="str">
        <f t="shared" si="373"/>
        <v/>
      </c>
      <c r="PN76" s="43" t="str">
        <f t="shared" si="374"/>
        <v/>
      </c>
      <c r="PO76" s="43" t="str">
        <f t="shared" si="375"/>
        <v/>
      </c>
      <c r="PP76" s="43" t="str">
        <f t="shared" si="376"/>
        <v/>
      </c>
      <c r="PQ76" s="43" t="str">
        <f t="shared" si="377"/>
        <v/>
      </c>
      <c r="PR76" s="43" t="str">
        <f t="shared" si="378"/>
        <v/>
      </c>
      <c r="PS76" s="43" t="str">
        <f t="shared" si="379"/>
        <v/>
      </c>
      <c r="PT76" s="43" t="str">
        <f t="shared" si="380"/>
        <v/>
      </c>
      <c r="PU76" s="43" t="str">
        <f t="shared" si="381"/>
        <v/>
      </c>
      <c r="PV76" s="43" t="str">
        <f t="shared" si="382"/>
        <v/>
      </c>
      <c r="PW76" s="43" t="str">
        <f t="shared" si="383"/>
        <v/>
      </c>
      <c r="PX76" s="43" t="str">
        <f t="shared" si="384"/>
        <v/>
      </c>
      <c r="PY76" s="43" t="str">
        <f t="shared" si="385"/>
        <v/>
      </c>
      <c r="PZ76" s="43" t="str">
        <f t="shared" si="386"/>
        <v/>
      </c>
      <c r="QA76" s="43" t="str">
        <f t="shared" si="387"/>
        <v/>
      </c>
      <c r="QB76" s="43" t="str">
        <f t="shared" si="388"/>
        <v/>
      </c>
      <c r="QC76" s="43" t="str">
        <f t="shared" si="389"/>
        <v/>
      </c>
      <c r="QD76" s="43" t="str">
        <f t="shared" si="390"/>
        <v/>
      </c>
      <c r="QE76" s="43" t="str">
        <f t="shared" si="391"/>
        <v/>
      </c>
      <c r="QF76" s="43" t="str">
        <f t="shared" si="392"/>
        <v/>
      </c>
      <c r="QG76" s="43" t="str">
        <f t="shared" si="393"/>
        <v/>
      </c>
      <c r="QH76" s="43" t="str">
        <f t="shared" si="394"/>
        <v/>
      </c>
      <c r="QI76" s="43" t="str">
        <f t="shared" si="395"/>
        <v/>
      </c>
      <c r="QJ76" s="43" t="str">
        <f t="shared" si="396"/>
        <v/>
      </c>
      <c r="QK76" s="43" t="str">
        <f t="shared" si="397"/>
        <v/>
      </c>
      <c r="QL76" s="43" t="str">
        <f t="shared" si="398"/>
        <v/>
      </c>
      <c r="QM76" s="43" t="str">
        <f t="shared" si="399"/>
        <v/>
      </c>
      <c r="QN76" s="43" t="str">
        <f t="shared" si="400"/>
        <v/>
      </c>
      <c r="QO76" s="43" t="str">
        <f t="shared" si="401"/>
        <v/>
      </c>
      <c r="QP76" s="43" t="str">
        <f t="shared" si="402"/>
        <v/>
      </c>
      <c r="QQ76" s="43" t="str">
        <f t="shared" si="403"/>
        <v/>
      </c>
      <c r="QR76" s="43">
        <f t="shared" si="433"/>
        <v>37</v>
      </c>
      <c r="QS76" s="43"/>
      <c r="QT76" s="21" t="str">
        <f t="shared" si="404"/>
        <v/>
      </c>
      <c r="QU76" s="21" t="str">
        <f t="shared" si="405"/>
        <v/>
      </c>
      <c r="QV76" s="21" t="str">
        <f t="shared" si="406"/>
        <v/>
      </c>
      <c r="QW76" s="21" t="str">
        <f t="shared" si="407"/>
        <v/>
      </c>
      <c r="QX76" s="21" t="str">
        <f t="shared" si="408"/>
        <v/>
      </c>
      <c r="QY76" s="21" t="str">
        <f t="shared" si="409"/>
        <v/>
      </c>
      <c r="QZ76" s="21" t="str">
        <f t="shared" si="410"/>
        <v/>
      </c>
      <c r="RA76" s="21" t="str">
        <f t="shared" si="411"/>
        <v/>
      </c>
      <c r="RB76" s="21" t="str">
        <f t="shared" si="412"/>
        <v/>
      </c>
      <c r="RC76" s="21" t="str">
        <f t="shared" si="413"/>
        <v/>
      </c>
      <c r="RD76" s="21" t="str">
        <f t="shared" si="414"/>
        <v/>
      </c>
      <c r="RE76" s="21" t="str">
        <f t="shared" si="415"/>
        <v/>
      </c>
      <c r="RF76" s="21" t="str">
        <f t="shared" si="416"/>
        <v/>
      </c>
      <c r="RG76" s="21" t="str">
        <f t="shared" si="417"/>
        <v/>
      </c>
      <c r="RH76" s="21" t="str">
        <f t="shared" si="418"/>
        <v/>
      </c>
      <c r="RI76" s="21" t="str">
        <f t="shared" si="419"/>
        <v/>
      </c>
      <c r="RJ76" s="21" t="str">
        <f t="shared" si="420"/>
        <v/>
      </c>
      <c r="RK76" s="21" t="str">
        <f t="shared" si="421"/>
        <v/>
      </c>
      <c r="RL76" s="21" t="str">
        <f t="shared" si="422"/>
        <v/>
      </c>
      <c r="RM76" s="21" t="str">
        <f t="shared" si="423"/>
        <v/>
      </c>
      <c r="RN76" s="21" t="str">
        <f t="shared" si="424"/>
        <v/>
      </c>
      <c r="RO76" s="21" t="str">
        <f t="shared" si="425"/>
        <v/>
      </c>
      <c r="RP76" s="21" t="str">
        <f t="shared" si="426"/>
        <v/>
      </c>
      <c r="RQ76" s="21" t="str">
        <f t="shared" si="427"/>
        <v/>
      </c>
      <c r="RR76" s="21" t="str">
        <f t="shared" si="428"/>
        <v/>
      </c>
      <c r="RS76" s="21" t="str">
        <f t="shared" si="429"/>
        <v/>
      </c>
      <c r="RT76" s="21" t="str">
        <f t="shared" si="430"/>
        <v/>
      </c>
      <c r="RU76" s="21" t="str">
        <f t="shared" si="431"/>
        <v/>
      </c>
      <c r="RV76" s="21">
        <f t="shared" si="432"/>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4"/>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24.408219178082192</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t="e">
        <f t="shared" ca="1" si="289"/>
        <v>#REF!</v>
      </c>
      <c r="HK77" s="21" t="str">
        <f t="shared" si="290"/>
        <v>SIN ANTECEDENTES DE RIESGO</v>
      </c>
      <c r="HL77" s="24" t="str">
        <f t="shared" si="291"/>
        <v>REGISTRE DATO PRESIÓN ARTERIAL MENSUAL</v>
      </c>
      <c r="HM77" s="21" t="e">
        <f t="shared" ca="1" si="292"/>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3"/>
        <v>26.285714285714285</v>
      </c>
      <c r="IA77" s="26" t="s">
        <v>864</v>
      </c>
      <c r="IB77" s="26"/>
      <c r="IC77" s="111"/>
      <c r="ID77" s="22"/>
      <c r="IE77" s="22" t="str">
        <f t="shared" ca="1" si="294"/>
        <v>SALE SIN VACUNA</v>
      </c>
      <c r="IF77" s="22"/>
      <c r="IG77" s="22">
        <f t="shared" si="295"/>
        <v>45018</v>
      </c>
      <c r="IH77" s="29">
        <f t="shared" ca="1" si="296"/>
        <v>-214</v>
      </c>
      <c r="II77" s="22" t="str">
        <f t="shared" ca="1" si="297"/>
        <v>POSIBLEMENTE NACIO</v>
      </c>
      <c r="IJ77" s="22"/>
      <c r="IK77" s="21" t="s">
        <v>898</v>
      </c>
      <c r="IL77" s="21"/>
      <c r="IM77" s="34"/>
      <c r="IN77" s="349">
        <v>45037</v>
      </c>
      <c r="IO77" s="21" t="s">
        <v>1186</v>
      </c>
      <c r="IP77" s="29">
        <f t="shared" si="436"/>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5"/>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3"/>
        <v>0</v>
      </c>
      <c r="MI77" s="43" t="str">
        <f t="shared" si="304"/>
        <v/>
      </c>
      <c r="MJ77" s="43" t="str">
        <f t="shared" si="305"/>
        <v/>
      </c>
      <c r="MK77" s="43">
        <f t="shared" si="306"/>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7"/>
        <v>27.428571428571427</v>
      </c>
      <c r="MN77" s="43">
        <f t="shared" si="308"/>
        <v>1</v>
      </c>
      <c r="MO77" s="43">
        <f t="shared" si="309"/>
        <v>2023</v>
      </c>
      <c r="MP77" s="43" t="str">
        <f t="shared" si="310"/>
        <v>I TRIMESTRE AÑO</v>
      </c>
      <c r="MQ77" s="43">
        <f t="shared" si="311"/>
        <v>23.220543144984671</v>
      </c>
      <c r="MR77" s="43">
        <f t="shared" si="312"/>
        <v>0</v>
      </c>
      <c r="MS77" s="43" t="str">
        <f t="shared" si="313"/>
        <v xml:space="preserve"> DE 20 A 24 AÑOS</v>
      </c>
      <c r="MT77" s="43">
        <f t="shared" si="314"/>
        <v>0</v>
      </c>
      <c r="MU77" s="43">
        <f t="shared" si="315"/>
        <v>0</v>
      </c>
      <c r="MV77" s="43">
        <f t="shared" si="316"/>
        <v>0</v>
      </c>
      <c r="MW77" s="43">
        <f t="shared" si="317"/>
        <v>0</v>
      </c>
      <c r="MX77" s="43">
        <f t="shared" si="318"/>
        <v>1</v>
      </c>
      <c r="MY77" s="43" t="e">
        <f ca="1">IF(AND(AND(BU77&gt;40.9,BU77&lt;43),#REF!=""),1,"")</f>
        <v>#REF!</v>
      </c>
      <c r="MZ77" s="43" t="str">
        <f t="shared" si="319"/>
        <v/>
      </c>
      <c r="NA77" s="43">
        <f t="shared" si="320"/>
        <v>0</v>
      </c>
      <c r="NB77" s="43" t="str">
        <f t="shared" si="321"/>
        <v/>
      </c>
      <c r="NC77" s="43" t="str">
        <f t="shared" si="322"/>
        <v/>
      </c>
      <c r="ND77" s="43" t="e">
        <f t="shared" ca="1" si="323"/>
        <v>#REF!</v>
      </c>
      <c r="NE77" s="43">
        <f>IF(OR(O77&gt;0,R77&gt;0),SUM(COUNTIF(Tabla1[[#This Row],[AÑOS AL INICIO5 CPN]],"&gt;=40"),COUNTIF(AS77,"0"),COUNTIF(AR77,"SI"),COUNTIF(CC77,"SI"),COUNTIF(BQ77,"&gt;119"),COUNTIF(CI77,"&gt;=35")),"")</f>
        <v>0</v>
      </c>
      <c r="NF77" s="43" t="str">
        <f t="shared" si="324"/>
        <v/>
      </c>
      <c r="NG77" s="43">
        <f t="shared" si="325"/>
        <v>0</v>
      </c>
      <c r="NH77" s="43">
        <f t="shared" si="326"/>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7"/>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8"/>
        <v>III TRIM</v>
      </c>
      <c r="NQ77" s="21" t="str">
        <f t="shared" ref="NQ77:NQ124" si="437">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9"/>
        <v>0</v>
      </c>
      <c r="NT77" s="21">
        <f t="shared" ca="1" si="330"/>
        <v>0</v>
      </c>
      <c r="NU77" s="21" t="e">
        <f t="shared" si="331"/>
        <v>#REF!</v>
      </c>
      <c r="NV77" s="21" t="e">
        <f t="shared" si="332"/>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3"/>
        <v>SIN VACUNAR</v>
      </c>
      <c r="NY77" s="43">
        <f>ROW(Tabla1[[#This Row],['# DE TAMIZAJES SIFILIS TOMADOS ]])</f>
        <v>77</v>
      </c>
      <c r="NZ77" s="43">
        <f t="shared" si="334"/>
        <v>27</v>
      </c>
      <c r="OA77" s="43" t="str">
        <f t="shared" si="335"/>
        <v/>
      </c>
      <c r="OB77" s="43" t="str">
        <f t="shared" si="336"/>
        <v/>
      </c>
      <c r="OC77" s="43" t="str">
        <f t="shared" si="337"/>
        <v/>
      </c>
      <c r="OD77" s="43" t="str">
        <f t="shared" si="338"/>
        <v/>
      </c>
      <c r="OE77" s="43" t="str">
        <f t="shared" si="339"/>
        <v/>
      </c>
      <c r="OF77" s="43" t="str">
        <f t="shared" si="340"/>
        <v/>
      </c>
      <c r="OG77" s="43" t="str">
        <f t="shared" si="341"/>
        <v/>
      </c>
      <c r="OH77" s="43" t="str">
        <f t="shared" si="342"/>
        <v/>
      </c>
      <c r="OI77" s="43" t="str">
        <f t="shared" si="343"/>
        <v/>
      </c>
      <c r="OJ77" s="43" t="str">
        <f t="shared" si="344"/>
        <v/>
      </c>
      <c r="OK77" s="43" t="str">
        <f t="shared" si="345"/>
        <v/>
      </c>
      <c r="OL77" s="43" t="str">
        <f t="shared" si="346"/>
        <v/>
      </c>
      <c r="OM77" s="43" t="str">
        <f t="shared" si="347"/>
        <v/>
      </c>
      <c r="ON77" s="43" t="str">
        <f t="shared" si="348"/>
        <v/>
      </c>
      <c r="OO77" s="43" t="str">
        <f t="shared" si="349"/>
        <v/>
      </c>
      <c r="OP77" s="43" t="str">
        <f t="shared" si="350"/>
        <v/>
      </c>
      <c r="OQ77" s="43" t="str">
        <f t="shared" si="351"/>
        <v/>
      </c>
      <c r="OR77" s="43" t="str">
        <f t="shared" si="352"/>
        <v/>
      </c>
      <c r="OS77" s="43" t="str">
        <f t="shared" si="353"/>
        <v/>
      </c>
      <c r="OT77" s="43" t="str">
        <f t="shared" si="354"/>
        <v/>
      </c>
      <c r="OU77" s="43" t="str">
        <f t="shared" si="355"/>
        <v/>
      </c>
      <c r="OV77" s="110" t="str">
        <f t="shared" si="356"/>
        <v/>
      </c>
      <c r="OW77" s="43" t="str">
        <f t="shared" si="357"/>
        <v/>
      </c>
      <c r="OX77" s="43" t="str">
        <f t="shared" si="358"/>
        <v/>
      </c>
      <c r="OY77" s="43" t="str">
        <f t="shared" si="359"/>
        <v/>
      </c>
      <c r="OZ77" s="43" t="str">
        <f t="shared" si="360"/>
        <v/>
      </c>
      <c r="PA77" s="43" t="str">
        <f t="shared" si="361"/>
        <v/>
      </c>
      <c r="PB77" s="43" t="str">
        <f t="shared" si="362"/>
        <v/>
      </c>
      <c r="PC77" s="43" t="str">
        <f t="shared" si="363"/>
        <v/>
      </c>
      <c r="PD77" s="43" t="str">
        <f t="shared" si="364"/>
        <v/>
      </c>
      <c r="PE77" s="43" t="str">
        <f t="shared" si="365"/>
        <v/>
      </c>
      <c r="PF77" s="43" t="str">
        <f t="shared" si="366"/>
        <v/>
      </c>
      <c r="PG77" s="43" t="str">
        <f t="shared" si="367"/>
        <v/>
      </c>
      <c r="PH77" s="43" t="str">
        <f t="shared" si="368"/>
        <v/>
      </c>
      <c r="PI77" s="43">
        <f t="shared" si="369"/>
        <v>39</v>
      </c>
      <c r="PJ77" s="43" t="str">
        <f t="shared" si="370"/>
        <v/>
      </c>
      <c r="PK77" s="43" t="str">
        <f t="shared" si="371"/>
        <v/>
      </c>
      <c r="PL77" s="43" t="str">
        <f t="shared" si="372"/>
        <v/>
      </c>
      <c r="PM77" s="43" t="str">
        <f t="shared" si="373"/>
        <v/>
      </c>
      <c r="PN77" s="43" t="str">
        <f t="shared" si="374"/>
        <v/>
      </c>
      <c r="PO77" s="43" t="str">
        <f t="shared" si="375"/>
        <v/>
      </c>
      <c r="PP77" s="43" t="str">
        <f t="shared" si="376"/>
        <v/>
      </c>
      <c r="PQ77" s="43" t="str">
        <f t="shared" si="377"/>
        <v/>
      </c>
      <c r="PR77" s="43" t="str">
        <f t="shared" si="378"/>
        <v/>
      </c>
      <c r="PS77" s="43" t="str">
        <f t="shared" si="379"/>
        <v/>
      </c>
      <c r="PT77" s="43" t="str">
        <f t="shared" si="380"/>
        <v/>
      </c>
      <c r="PU77" s="43" t="str">
        <f t="shared" si="381"/>
        <v/>
      </c>
      <c r="PV77" s="43" t="str">
        <f t="shared" si="382"/>
        <v/>
      </c>
      <c r="PW77" s="43" t="str">
        <f t="shared" si="383"/>
        <v/>
      </c>
      <c r="PX77" s="43" t="str">
        <f t="shared" si="384"/>
        <v/>
      </c>
      <c r="PY77" s="43" t="str">
        <f t="shared" si="385"/>
        <v/>
      </c>
      <c r="PZ77" s="43" t="str">
        <f t="shared" si="386"/>
        <v/>
      </c>
      <c r="QA77" s="43" t="str">
        <f t="shared" si="387"/>
        <v/>
      </c>
      <c r="QB77" s="43" t="str">
        <f t="shared" si="388"/>
        <v/>
      </c>
      <c r="QC77" s="43" t="str">
        <f t="shared" si="389"/>
        <v/>
      </c>
      <c r="QD77" s="43" t="str">
        <f t="shared" si="390"/>
        <v/>
      </c>
      <c r="QE77" s="43" t="str">
        <f t="shared" si="391"/>
        <v/>
      </c>
      <c r="QF77" s="43" t="str">
        <f t="shared" si="392"/>
        <v/>
      </c>
      <c r="QG77" s="43" t="str">
        <f t="shared" si="393"/>
        <v/>
      </c>
      <c r="QH77" s="43" t="str">
        <f t="shared" si="394"/>
        <v/>
      </c>
      <c r="QI77" s="43" t="str">
        <f t="shared" si="395"/>
        <v/>
      </c>
      <c r="QJ77" s="43" t="str">
        <f t="shared" si="396"/>
        <v/>
      </c>
      <c r="QK77" s="43" t="str">
        <f t="shared" si="397"/>
        <v/>
      </c>
      <c r="QL77" s="43" t="str">
        <f t="shared" si="398"/>
        <v/>
      </c>
      <c r="QM77" s="43" t="str">
        <f t="shared" si="399"/>
        <v/>
      </c>
      <c r="QN77" s="43" t="str">
        <f t="shared" si="400"/>
        <v/>
      </c>
      <c r="QO77" s="43" t="str">
        <f t="shared" si="401"/>
        <v/>
      </c>
      <c r="QP77" s="43" t="str">
        <f t="shared" si="402"/>
        <v/>
      </c>
      <c r="QQ77" s="43" t="str">
        <f t="shared" si="403"/>
        <v/>
      </c>
      <c r="QR77" s="43">
        <f t="shared" si="433"/>
        <v>39</v>
      </c>
      <c r="QS77" s="43"/>
      <c r="QT77" s="21" t="str">
        <f t="shared" si="404"/>
        <v/>
      </c>
      <c r="QU77" s="21" t="str">
        <f t="shared" si="405"/>
        <v/>
      </c>
      <c r="QV77" s="21" t="str">
        <f t="shared" si="406"/>
        <v/>
      </c>
      <c r="QW77" s="21" t="str">
        <f t="shared" si="407"/>
        <v/>
      </c>
      <c r="QX77" s="21" t="str">
        <f t="shared" si="408"/>
        <v/>
      </c>
      <c r="QY77" s="21" t="str">
        <f t="shared" si="409"/>
        <v/>
      </c>
      <c r="QZ77" s="21" t="str">
        <f t="shared" si="410"/>
        <v/>
      </c>
      <c r="RA77" s="21" t="str">
        <f t="shared" si="411"/>
        <v/>
      </c>
      <c r="RB77" s="21" t="str">
        <f t="shared" si="412"/>
        <v/>
      </c>
      <c r="RC77" s="21" t="str">
        <f t="shared" si="413"/>
        <v/>
      </c>
      <c r="RD77" s="21" t="str">
        <f t="shared" si="414"/>
        <v/>
      </c>
      <c r="RE77" s="21" t="str">
        <f t="shared" si="415"/>
        <v/>
      </c>
      <c r="RF77" s="21" t="str">
        <f t="shared" si="416"/>
        <v/>
      </c>
      <c r="RG77" s="21" t="str">
        <f t="shared" si="417"/>
        <v/>
      </c>
      <c r="RH77" s="21" t="str">
        <f t="shared" si="418"/>
        <v/>
      </c>
      <c r="RI77" s="21" t="str">
        <f t="shared" si="419"/>
        <v/>
      </c>
      <c r="RJ77" s="21" t="str">
        <f t="shared" si="420"/>
        <v/>
      </c>
      <c r="RK77" s="21" t="str">
        <f t="shared" si="421"/>
        <v/>
      </c>
      <c r="RL77" s="21" t="str">
        <f t="shared" si="422"/>
        <v/>
      </c>
      <c r="RM77" s="21" t="str">
        <f t="shared" si="423"/>
        <v/>
      </c>
      <c r="RN77" s="21" t="str">
        <f t="shared" si="424"/>
        <v/>
      </c>
      <c r="RO77" s="21" t="str">
        <f t="shared" si="425"/>
        <v/>
      </c>
      <c r="RP77" s="21" t="str">
        <f t="shared" si="426"/>
        <v/>
      </c>
      <c r="RQ77" s="21" t="str">
        <f t="shared" si="427"/>
        <v/>
      </c>
      <c r="RR77" s="21" t="str">
        <f t="shared" si="428"/>
        <v/>
      </c>
      <c r="RS77" s="21" t="str">
        <f t="shared" si="429"/>
        <v/>
      </c>
      <c r="RT77" s="21" t="str">
        <f t="shared" si="430"/>
        <v/>
      </c>
      <c r="RU77" s="21" t="str">
        <f t="shared" si="431"/>
        <v/>
      </c>
      <c r="RV77" s="21">
        <f t="shared" si="432"/>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4"/>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22.958904109589042</v>
      </c>
      <c r="O78" s="22">
        <v>44931</v>
      </c>
      <c r="P78" s="214" t="str">
        <f t="shared" ref="P78:P141" si="438">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9">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40">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1">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2">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3">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4">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5">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t="str">
        <f t="shared" ca="1" si="289"/>
        <v>**********************MULTIPARIDAD*ANTECEDENTE MUERTE PERINATAL****************</v>
      </c>
      <c r="HK78" s="21" t="str">
        <f t="shared" si="290"/>
        <v>SIN ANTECEDENTES DE RIESGO</v>
      </c>
      <c r="HL78" s="24" t="str">
        <f t="shared" si="291"/>
        <v>APARENTEMENTE NORMAL</v>
      </c>
      <c r="HM78" s="21" t="e">
        <f t="shared" ca="1" si="292"/>
        <v>#REF!</v>
      </c>
      <c r="HN78" s="30" t="str">
        <f t="shared" ref="HN78:HN141" si="446">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3"/>
        <v>8</v>
      </c>
      <c r="IA78" s="26"/>
      <c r="IB78" s="26"/>
      <c r="IC78" s="111"/>
      <c r="ID78" s="22"/>
      <c r="IE78" s="22" t="str">
        <f t="shared" ca="1" si="294"/>
        <v/>
      </c>
      <c r="IF78" s="22"/>
      <c r="IG78" s="22">
        <f t="shared" si="295"/>
        <v>45155</v>
      </c>
      <c r="IH78" s="29">
        <f t="shared" ca="1" si="296"/>
        <v>-77</v>
      </c>
      <c r="II78" s="22" t="str">
        <f t="shared" ca="1" si="297"/>
        <v>POSIBLEMENTE NACIO</v>
      </c>
      <c r="IJ78" s="22"/>
      <c r="IK78" s="21"/>
      <c r="IL78" s="21"/>
      <c r="IM78" s="34"/>
      <c r="IN78" s="349"/>
      <c r="IO78" s="21"/>
      <c r="IP78" s="29" t="str">
        <f t="shared" si="436"/>
        <v/>
      </c>
      <c r="IQ78" s="110"/>
      <c r="IR78" s="21"/>
      <c r="IS78" s="21"/>
      <c r="IT78" s="21"/>
      <c r="IU78" s="21"/>
      <c r="IV78" s="21"/>
      <c r="IW78" s="21"/>
      <c r="IX78" s="21"/>
      <c r="IY78" s="21"/>
      <c r="IZ78" s="21"/>
      <c r="JA78" s="21"/>
      <c r="JB78" s="30"/>
      <c r="JC78" s="21"/>
      <c r="JD78" s="36"/>
      <c r="JE78" s="21" t="str">
        <f t="shared" ref="JE78:JE109" si="447">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8">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9">IF(AND(JW78&lt;&gt;"",JW78&lt;IN78),"INCONSISTENCIA FECHA CONTROL",IF(AND(OR(IK78="Parto",IK78="Cesarea"),JW78&gt;0,IN78&gt;0),SUM(JW78-IN78),IF(AND(OR(IK78="Parto",IK78="Cesarea"),JW78="",IN78&gt;0),"INASISTENTE","")))</f>
        <v/>
      </c>
      <c r="JY78" s="33"/>
      <c r="JZ78" s="28" t="str">
        <f t="shared" ref="JZ78:JZ109" si="450">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3"/>
        <v>0</v>
      </c>
      <c r="MI78" s="43" t="str">
        <f t="shared" si="304"/>
        <v/>
      </c>
      <c r="MJ78" s="43" t="str">
        <f t="shared" si="305"/>
        <v/>
      </c>
      <c r="MK78" s="43">
        <f t="shared" si="306"/>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7"/>
        <v>8</v>
      </c>
      <c r="MN78" s="43">
        <f t="shared" si="308"/>
        <v>1</v>
      </c>
      <c r="MO78" s="43">
        <f t="shared" si="309"/>
        <v>2023</v>
      </c>
      <c r="MP78" s="43" t="str">
        <f t="shared" si="310"/>
        <v>I TRIMESTRE AÑO</v>
      </c>
      <c r="MQ78" s="43">
        <f t="shared" si="311"/>
        <v>21.799715286903197</v>
      </c>
      <c r="MR78" s="43">
        <f t="shared" si="312"/>
        <v>0</v>
      </c>
      <c r="MS78" s="43" t="str">
        <f t="shared" si="313"/>
        <v xml:space="preserve"> DE 20 A 24 AÑOS</v>
      </c>
      <c r="MT78" s="43">
        <f t="shared" si="314"/>
        <v>1</v>
      </c>
      <c r="MU78" s="43">
        <f t="shared" si="315"/>
        <v>1</v>
      </c>
      <c r="MV78" s="43">
        <f t="shared" si="316"/>
        <v>0</v>
      </c>
      <c r="MW78" s="43">
        <f t="shared" si="317"/>
        <v>0</v>
      </c>
      <c r="MX78" s="43" t="str">
        <f t="shared" si="318"/>
        <v/>
      </c>
      <c r="MY78" s="43" t="str">
        <f t="shared" ref="MY78:MY109" ca="1" si="451">IF(AND(AND(BU78&gt;40.9,BU78&lt;43),IN78=""),1,"")</f>
        <v/>
      </c>
      <c r="MZ78" s="43" t="str">
        <f t="shared" si="319"/>
        <v/>
      </c>
      <c r="NA78" s="43" t="str">
        <f t="shared" si="320"/>
        <v/>
      </c>
      <c r="NB78" s="43" t="str">
        <f t="shared" si="321"/>
        <v/>
      </c>
      <c r="NC78" s="43" t="str">
        <f t="shared" si="322"/>
        <v/>
      </c>
      <c r="ND78" s="43">
        <f t="shared" ca="1" si="323"/>
        <v>2</v>
      </c>
      <c r="NE78" s="43">
        <f>IF(OR(O78&gt;0,R78&gt;0),SUM(COUNTIF(Tabla1[[#This Row],[AÑOS AL INICIO5 CPN]],"&gt;=40"),COUNTIF(AS78,"0"),COUNTIF(AR78,"SI"),COUNTIF(CC78,"SI"),COUNTIF(BQ78,"&gt;119"),COUNTIF(CI78,"&gt;=35")),"")</f>
        <v>1</v>
      </c>
      <c r="NF78" s="43" t="str">
        <f t="shared" si="324"/>
        <v/>
      </c>
      <c r="NG78" s="43">
        <f t="shared" si="325"/>
        <v>0</v>
      </c>
      <c r="NH78" s="43">
        <f t="shared" si="326"/>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7"/>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8"/>
        <v>I TRIM</v>
      </c>
      <c r="NQ78" s="21">
        <f t="shared" si="437"/>
        <v>10</v>
      </c>
      <c r="NR78" s="21" t="str">
        <f t="shared" ref="NR78:NR109" ca="1" si="452">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9"/>
        <v>2</v>
      </c>
      <c r="NT78" s="21">
        <f t="shared" ca="1" si="330"/>
        <v>2</v>
      </c>
      <c r="NU78" s="21" t="str">
        <f t="shared" ca="1" si="331"/>
        <v>POR DEFINIR</v>
      </c>
      <c r="NV78" s="21" t="str">
        <f t="shared" ca="1" si="332"/>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3"/>
        <v>SIN VACUNAR</v>
      </c>
      <c r="NY78" s="43">
        <f>ROW(Tabla1[[#This Row],['# DE TAMIZAJES SIFILIS TOMADOS ]])</f>
        <v>78</v>
      </c>
      <c r="NZ78" s="43" t="str">
        <f t="shared" si="334"/>
        <v>Menor</v>
      </c>
      <c r="OA78" s="43" t="str">
        <f t="shared" si="335"/>
        <v>SOBREPESO</v>
      </c>
      <c r="OB78" s="43" t="str">
        <f t="shared" si="336"/>
        <v/>
      </c>
      <c r="OC78" s="43" t="str">
        <f t="shared" si="337"/>
        <v/>
      </c>
      <c r="OD78" s="43" t="str">
        <f t="shared" si="338"/>
        <v/>
      </c>
      <c r="OE78" s="43" t="str">
        <f t="shared" si="339"/>
        <v/>
      </c>
      <c r="OF78" s="43" t="str">
        <f t="shared" si="340"/>
        <v/>
      </c>
      <c r="OG78" s="43" t="str">
        <f t="shared" si="341"/>
        <v/>
      </c>
      <c r="OH78" s="43" t="str">
        <f t="shared" si="342"/>
        <v/>
      </c>
      <c r="OI78" s="43" t="str">
        <f t="shared" si="343"/>
        <v/>
      </c>
      <c r="OJ78" s="43" t="str">
        <f t="shared" si="344"/>
        <v/>
      </c>
      <c r="OK78" s="43" t="str">
        <f t="shared" si="345"/>
        <v/>
      </c>
      <c r="OL78" s="43" t="str">
        <f t="shared" si="346"/>
        <v/>
      </c>
      <c r="OM78" s="43" t="str">
        <f t="shared" si="347"/>
        <v/>
      </c>
      <c r="ON78" s="43" t="str">
        <f t="shared" si="348"/>
        <v/>
      </c>
      <c r="OO78" s="43" t="str">
        <f t="shared" si="349"/>
        <v/>
      </c>
      <c r="OP78" s="43" t="str">
        <f t="shared" si="350"/>
        <v/>
      </c>
      <c r="OQ78" s="43" t="str">
        <f t="shared" si="351"/>
        <v/>
      </c>
      <c r="OR78" s="43" t="str">
        <f t="shared" si="352"/>
        <v/>
      </c>
      <c r="OS78" s="43" t="str">
        <f t="shared" si="353"/>
        <v/>
      </c>
      <c r="OT78" s="43" t="str">
        <f t="shared" si="354"/>
        <v/>
      </c>
      <c r="OU78" s="43" t="str">
        <f t="shared" si="355"/>
        <v/>
      </c>
      <c r="OV78" s="110" t="str">
        <f t="shared" si="356"/>
        <v/>
      </c>
      <c r="OW78" s="43" t="str">
        <f t="shared" si="357"/>
        <v/>
      </c>
      <c r="OX78" s="43" t="str">
        <f t="shared" si="358"/>
        <v/>
      </c>
      <c r="OY78" s="43" t="str">
        <f t="shared" si="359"/>
        <v/>
      </c>
      <c r="OZ78" s="43" t="str">
        <f t="shared" si="360"/>
        <v/>
      </c>
      <c r="PA78" s="43" t="str">
        <f t="shared" si="361"/>
        <v/>
      </c>
      <c r="PB78" s="43" t="str">
        <f t="shared" si="362"/>
        <v/>
      </c>
      <c r="PC78" s="43" t="str">
        <f t="shared" si="363"/>
        <v/>
      </c>
      <c r="PD78" s="43" t="str">
        <f t="shared" si="364"/>
        <v/>
      </c>
      <c r="PE78" s="43" t="str">
        <f t="shared" si="365"/>
        <v/>
      </c>
      <c r="PF78" s="43" t="str">
        <f t="shared" si="366"/>
        <v/>
      </c>
      <c r="PG78" s="43" t="str">
        <f t="shared" si="367"/>
        <v/>
      </c>
      <c r="PH78" s="43" t="str">
        <f t="shared" si="368"/>
        <v/>
      </c>
      <c r="PI78" s="43">
        <f t="shared" si="369"/>
        <v>28</v>
      </c>
      <c r="PJ78" s="43" t="str">
        <f t="shared" si="370"/>
        <v/>
      </c>
      <c r="PK78" s="43" t="str">
        <f t="shared" si="371"/>
        <v/>
      </c>
      <c r="PL78" s="43" t="str">
        <f t="shared" si="372"/>
        <v/>
      </c>
      <c r="PM78" s="43" t="str">
        <f t="shared" si="373"/>
        <v/>
      </c>
      <c r="PN78" s="43" t="str">
        <f t="shared" si="374"/>
        <v/>
      </c>
      <c r="PO78" s="43" t="str">
        <f t="shared" si="375"/>
        <v/>
      </c>
      <c r="PP78" s="43" t="str">
        <f t="shared" si="376"/>
        <v/>
      </c>
      <c r="PQ78" s="43" t="str">
        <f t="shared" si="377"/>
        <v/>
      </c>
      <c r="PR78" s="43" t="str">
        <f t="shared" si="378"/>
        <v/>
      </c>
      <c r="PS78" s="43" t="str">
        <f t="shared" si="379"/>
        <v/>
      </c>
      <c r="PT78" s="43" t="str">
        <f t="shared" si="380"/>
        <v/>
      </c>
      <c r="PU78" s="43" t="str">
        <f t="shared" si="381"/>
        <v/>
      </c>
      <c r="PV78" s="43" t="str">
        <f t="shared" si="382"/>
        <v/>
      </c>
      <c r="PW78" s="43" t="str">
        <f t="shared" si="383"/>
        <v/>
      </c>
      <c r="PX78" s="43" t="str">
        <f t="shared" si="384"/>
        <v/>
      </c>
      <c r="PY78" s="43" t="str">
        <f t="shared" si="385"/>
        <v/>
      </c>
      <c r="PZ78" s="43" t="str">
        <f t="shared" si="386"/>
        <v/>
      </c>
      <c r="QA78" s="43" t="str">
        <f t="shared" si="387"/>
        <v/>
      </c>
      <c r="QB78" s="43" t="str">
        <f t="shared" si="388"/>
        <v/>
      </c>
      <c r="QC78" s="43" t="str">
        <f t="shared" si="389"/>
        <v>SOBREPESO</v>
      </c>
      <c r="QD78" s="43" t="str">
        <f t="shared" si="390"/>
        <v/>
      </c>
      <c r="QE78" s="43" t="str">
        <f t="shared" si="391"/>
        <v/>
      </c>
      <c r="QF78" s="43" t="str">
        <f t="shared" si="392"/>
        <v/>
      </c>
      <c r="QG78" s="43" t="str">
        <f t="shared" si="393"/>
        <v/>
      </c>
      <c r="QH78" s="43" t="str">
        <f t="shared" si="394"/>
        <v/>
      </c>
      <c r="QI78" s="43" t="str">
        <f t="shared" si="395"/>
        <v/>
      </c>
      <c r="QJ78" s="43" t="str">
        <f t="shared" si="396"/>
        <v/>
      </c>
      <c r="QK78" s="43" t="str">
        <f t="shared" si="397"/>
        <v/>
      </c>
      <c r="QL78" s="43" t="str">
        <f t="shared" si="398"/>
        <v/>
      </c>
      <c r="QM78" s="43" t="str">
        <f t="shared" si="399"/>
        <v/>
      </c>
      <c r="QN78" s="43" t="str">
        <f t="shared" si="400"/>
        <v/>
      </c>
      <c r="QO78" s="43" t="str">
        <f t="shared" si="401"/>
        <v/>
      </c>
      <c r="QP78" s="43" t="str">
        <f t="shared" si="402"/>
        <v/>
      </c>
      <c r="QQ78" s="43" t="str">
        <f t="shared" si="403"/>
        <v/>
      </c>
      <c r="QR78" s="43">
        <f t="shared" si="433"/>
        <v>28</v>
      </c>
      <c r="QS78" s="43"/>
      <c r="QT78" s="21" t="str">
        <f t="shared" si="404"/>
        <v/>
      </c>
      <c r="QU78" s="21" t="str">
        <f t="shared" si="405"/>
        <v/>
      </c>
      <c r="QV78" s="21" t="str">
        <f t="shared" si="406"/>
        <v/>
      </c>
      <c r="QW78" s="21" t="str">
        <f t="shared" si="407"/>
        <v/>
      </c>
      <c r="QX78" s="21" t="str">
        <f t="shared" si="408"/>
        <v/>
      </c>
      <c r="QY78" s="21" t="str">
        <f t="shared" si="409"/>
        <v/>
      </c>
      <c r="QZ78" s="21" t="str">
        <f t="shared" si="410"/>
        <v/>
      </c>
      <c r="RA78" s="21" t="str">
        <f t="shared" si="411"/>
        <v/>
      </c>
      <c r="RB78" s="21" t="str">
        <f t="shared" si="412"/>
        <v/>
      </c>
      <c r="RC78" s="21" t="str">
        <f t="shared" si="413"/>
        <v/>
      </c>
      <c r="RD78" s="21" t="str">
        <f t="shared" si="414"/>
        <v/>
      </c>
      <c r="RE78" s="21" t="str">
        <f t="shared" si="415"/>
        <v/>
      </c>
      <c r="RF78" s="21" t="str">
        <f t="shared" si="416"/>
        <v/>
      </c>
      <c r="RG78" s="21" t="str">
        <f t="shared" si="417"/>
        <v/>
      </c>
      <c r="RH78" s="21" t="str">
        <f t="shared" si="418"/>
        <v/>
      </c>
      <c r="RI78" s="21" t="str">
        <f t="shared" si="419"/>
        <v>ADECUADO PARA EDAD GESTACIONAL</v>
      </c>
      <c r="RJ78" s="21" t="str">
        <f t="shared" si="420"/>
        <v/>
      </c>
      <c r="RK78" s="21" t="str">
        <f t="shared" si="421"/>
        <v/>
      </c>
      <c r="RL78" s="21" t="str">
        <f t="shared" si="422"/>
        <v/>
      </c>
      <c r="RM78" s="21" t="str">
        <f t="shared" si="423"/>
        <v/>
      </c>
      <c r="RN78" s="21" t="str">
        <f t="shared" si="424"/>
        <v/>
      </c>
      <c r="RO78" s="21" t="str">
        <f t="shared" si="425"/>
        <v/>
      </c>
      <c r="RP78" s="21" t="str">
        <f t="shared" si="426"/>
        <v/>
      </c>
      <c r="RQ78" s="21" t="str">
        <f t="shared" si="427"/>
        <v/>
      </c>
      <c r="RR78" s="21" t="str">
        <f t="shared" si="428"/>
        <v/>
      </c>
      <c r="RS78" s="21" t="str">
        <f t="shared" si="429"/>
        <v/>
      </c>
      <c r="RT78" s="21" t="str">
        <f t="shared" si="430"/>
        <v/>
      </c>
      <c r="RU78" s="21" t="str">
        <f t="shared" si="431"/>
        <v/>
      </c>
      <c r="RV78" s="21">
        <f t="shared" si="432"/>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4"/>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27.4986301369863</v>
      </c>
      <c r="O79" s="22">
        <v>44939</v>
      </c>
      <c r="P79" s="214" t="str">
        <f t="shared" si="438"/>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9"/>
        <v>SALE PROGRAMA ANTES SEMANA 35</v>
      </c>
      <c r="DV79" s="226" t="str">
        <f t="shared" si="440"/>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1"/>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2"/>
        <v>18.714285714285715</v>
      </c>
      <c r="FP79" s="22" t="s">
        <v>867</v>
      </c>
      <c r="FQ79" s="32">
        <v>45072</v>
      </c>
      <c r="FR79" s="29">
        <f t="shared" ca="1" si="443"/>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4"/>
        <v>21.857142857142858</v>
      </c>
      <c r="GE79" s="22" t="s">
        <v>868</v>
      </c>
      <c r="GF79" s="22">
        <v>45072</v>
      </c>
      <c r="GG79" s="29">
        <f t="shared" ca="1" si="445"/>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t="str">
        <f t="shared" ca="1" si="289"/>
        <v>***************************************</v>
      </c>
      <c r="HK79" s="21" t="str">
        <f t="shared" si="290"/>
        <v>SIN ANTECEDENTES DE RIESGO</v>
      </c>
      <c r="HL79" s="24" t="str">
        <f t="shared" si="291"/>
        <v>APARENTEMENTE NORMAL</v>
      </c>
      <c r="HM79" s="21" t="str">
        <f t="shared" ca="1" si="292"/>
        <v/>
      </c>
      <c r="HN79" s="30" t="str">
        <f t="shared" si="446"/>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3"/>
        <v>13.857142857142858</v>
      </c>
      <c r="IA79" s="26" t="s">
        <v>864</v>
      </c>
      <c r="IB79" s="26"/>
      <c r="IC79" s="111"/>
      <c r="ID79" s="22">
        <v>44995</v>
      </c>
      <c r="IE79" s="22" t="str">
        <f t="shared" ca="1" si="294"/>
        <v>VACUNA APLICADA ENTRE SEMANA 20 Y SEMANA 26</v>
      </c>
      <c r="IF79" s="22"/>
      <c r="IG79" s="22">
        <f t="shared" si="295"/>
        <v>45122</v>
      </c>
      <c r="IH79" s="29">
        <f t="shared" ca="1" si="296"/>
        <v>-110</v>
      </c>
      <c r="II79" s="22" t="str">
        <f t="shared" ca="1" si="297"/>
        <v>POSIBLEMENTE NACIO</v>
      </c>
      <c r="IJ79" s="22"/>
      <c r="IK79" s="21" t="s">
        <v>1652</v>
      </c>
      <c r="IL79" s="21"/>
      <c r="IM79" s="34"/>
      <c r="IN79" s="349">
        <v>45074</v>
      </c>
      <c r="IO79" s="21" t="s">
        <v>1186</v>
      </c>
      <c r="IP79" s="29">
        <f t="shared" si="436"/>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7"/>
        <v>PREMATURO</v>
      </c>
      <c r="JF79" s="30"/>
      <c r="JG79" s="21"/>
      <c r="JH79" s="21"/>
      <c r="JI79" s="21" t="s">
        <v>854</v>
      </c>
      <c r="JJ79" s="30" t="s">
        <v>866</v>
      </c>
      <c r="JK79" s="22"/>
      <c r="JL79" s="22"/>
      <c r="JM79" s="21"/>
      <c r="JN79" s="36"/>
      <c r="JO79" s="21" t="str">
        <f t="shared" si="448"/>
        <v/>
      </c>
      <c r="JP79" s="22"/>
      <c r="JQ79" s="21"/>
      <c r="JR79" s="21"/>
      <c r="JS79" s="21"/>
      <c r="JT79" s="30"/>
      <c r="JU79" s="22"/>
      <c r="JV79" s="22"/>
      <c r="JW79" s="33"/>
      <c r="JX79" s="28" t="str">
        <f t="shared" si="449"/>
        <v>INASISTENTE</v>
      </c>
      <c r="JY79" s="33"/>
      <c r="JZ79" s="28" t="str">
        <f t="shared" si="450"/>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3"/>
        <v>0</v>
      </c>
      <c r="MI79" s="43" t="str">
        <f t="shared" si="304"/>
        <v/>
      </c>
      <c r="MJ79" s="43" t="str">
        <f t="shared" si="305"/>
        <v/>
      </c>
      <c r="MK79" s="43">
        <f t="shared" si="306"/>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7"/>
        <v>13.857142857142858</v>
      </c>
      <c r="MN79" s="43">
        <f t="shared" si="308"/>
        <v>1</v>
      </c>
      <c r="MO79" s="43">
        <f t="shared" si="309"/>
        <v>2023</v>
      </c>
      <c r="MP79" s="43" t="str">
        <f t="shared" si="310"/>
        <v>I TRIMESTRE AÑO</v>
      </c>
      <c r="MQ79" s="43">
        <f t="shared" si="311"/>
        <v>26.289421813403418</v>
      </c>
      <c r="MR79" s="43">
        <f t="shared" si="312"/>
        <v>0</v>
      </c>
      <c r="MS79" s="43" t="str">
        <f t="shared" si="313"/>
        <v xml:space="preserve"> DE 25 A 29 AÑOS</v>
      </c>
      <c r="MT79" s="43">
        <f t="shared" si="314"/>
        <v>0</v>
      </c>
      <c r="MU79" s="43">
        <f t="shared" si="315"/>
        <v>0</v>
      </c>
      <c r="MV79" s="43">
        <f t="shared" si="316"/>
        <v>0</v>
      </c>
      <c r="MW79" s="43">
        <f t="shared" si="317"/>
        <v>0</v>
      </c>
      <c r="MX79" s="43" t="str">
        <f t="shared" si="318"/>
        <v/>
      </c>
      <c r="MY79" s="43" t="str">
        <f t="shared" ca="1" si="451"/>
        <v/>
      </c>
      <c r="MZ79" s="43" t="str">
        <f t="shared" si="319"/>
        <v/>
      </c>
      <c r="NA79" s="43" t="str">
        <f t="shared" si="320"/>
        <v/>
      </c>
      <c r="NB79" s="43" t="str">
        <f t="shared" si="321"/>
        <v/>
      </c>
      <c r="NC79" s="43" t="str">
        <f t="shared" si="322"/>
        <v/>
      </c>
      <c r="ND79" s="43">
        <f t="shared" ca="1" si="323"/>
        <v>0</v>
      </c>
      <c r="NE79" s="43">
        <f>IF(OR(O79&gt;0,R79&gt;0),SUM(COUNTIF(Tabla1[[#This Row],[AÑOS AL INICIO5 CPN]],"&gt;=40"),COUNTIF(AS79,"0"),COUNTIF(AR79,"SI"),COUNTIF(CC79,"SI"),COUNTIF(BQ79,"&gt;119"),COUNTIF(CI79,"&gt;=35")),"")</f>
        <v>0</v>
      </c>
      <c r="NF79" s="43">
        <f t="shared" si="324"/>
        <v>21.857142857142858</v>
      </c>
      <c r="NG79" s="43">
        <f t="shared" si="325"/>
        <v>0</v>
      </c>
      <c r="NH79" s="43">
        <f t="shared" si="326"/>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7"/>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8"/>
        <v>II TRIM</v>
      </c>
      <c r="NQ79" s="21" t="str">
        <f t="shared" si="437"/>
        <v/>
      </c>
      <c r="NR79" s="21">
        <f t="shared" si="452"/>
        <v>2</v>
      </c>
      <c r="NS79" s="205">
        <f t="shared" ca="1" si="329"/>
        <v>2</v>
      </c>
      <c r="NT79" s="21">
        <f t="shared" ca="1" si="330"/>
        <v>2</v>
      </c>
      <c r="NU79" s="21" t="str">
        <f t="shared" ca="1" si="331"/>
        <v>COMPLETO</v>
      </c>
      <c r="NV79" s="21" t="str">
        <f t="shared" ca="1" si="332"/>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3"/>
        <v>VACUNADA</v>
      </c>
      <c r="NY79" s="43">
        <f>ROW(Tabla1[[#This Row],['# DE TAMIZAJES SIFILIS TOMADOS ]])</f>
        <v>79</v>
      </c>
      <c r="NZ79" s="43">
        <f t="shared" si="334"/>
        <v>13</v>
      </c>
      <c r="OA79" s="43" t="str">
        <f t="shared" si="335"/>
        <v/>
      </c>
      <c r="OB79" s="43" t="str">
        <f t="shared" si="336"/>
        <v/>
      </c>
      <c r="OC79" s="43" t="str">
        <f t="shared" si="337"/>
        <v/>
      </c>
      <c r="OD79" s="43" t="str">
        <f t="shared" si="338"/>
        <v/>
      </c>
      <c r="OE79" s="43" t="str">
        <f t="shared" si="339"/>
        <v>NORMAL</v>
      </c>
      <c r="OF79" s="43" t="str">
        <f t="shared" si="340"/>
        <v/>
      </c>
      <c r="OG79" s="43" t="str">
        <f t="shared" si="341"/>
        <v/>
      </c>
      <c r="OH79" s="43" t="str">
        <f t="shared" si="342"/>
        <v/>
      </c>
      <c r="OI79" s="43" t="str">
        <f t="shared" si="343"/>
        <v/>
      </c>
      <c r="OJ79" s="43" t="str">
        <f t="shared" si="344"/>
        <v/>
      </c>
      <c r="OK79" s="43" t="str">
        <f t="shared" si="345"/>
        <v/>
      </c>
      <c r="OL79" s="43" t="str">
        <f t="shared" si="346"/>
        <v/>
      </c>
      <c r="OM79" s="43" t="str">
        <f t="shared" si="347"/>
        <v/>
      </c>
      <c r="ON79" s="43" t="str">
        <f t="shared" si="348"/>
        <v/>
      </c>
      <c r="OO79" s="43" t="str">
        <f t="shared" si="349"/>
        <v/>
      </c>
      <c r="OP79" s="43" t="str">
        <f t="shared" si="350"/>
        <v/>
      </c>
      <c r="OQ79" s="43" t="str">
        <f t="shared" si="351"/>
        <v/>
      </c>
      <c r="OR79" s="43" t="str">
        <f t="shared" si="352"/>
        <v/>
      </c>
      <c r="OS79" s="43" t="str">
        <f t="shared" si="353"/>
        <v/>
      </c>
      <c r="OT79" s="43" t="str">
        <f t="shared" si="354"/>
        <v/>
      </c>
      <c r="OU79" s="43" t="str">
        <f t="shared" si="355"/>
        <v/>
      </c>
      <c r="OV79" s="110" t="str">
        <f t="shared" si="356"/>
        <v/>
      </c>
      <c r="OW79" s="43" t="str">
        <f t="shared" si="357"/>
        <v/>
      </c>
      <c r="OX79" s="43" t="str">
        <f t="shared" si="358"/>
        <v/>
      </c>
      <c r="OY79" s="43" t="str">
        <f t="shared" si="359"/>
        <v/>
      </c>
      <c r="OZ79" s="43" t="str">
        <f t="shared" si="360"/>
        <v/>
      </c>
      <c r="PA79" s="43" t="str">
        <f t="shared" si="361"/>
        <v/>
      </c>
      <c r="PB79" s="43" t="str">
        <f t="shared" si="362"/>
        <v/>
      </c>
      <c r="PC79" s="43" t="str">
        <f t="shared" si="363"/>
        <v/>
      </c>
      <c r="PD79" s="43" t="str">
        <f t="shared" si="364"/>
        <v/>
      </c>
      <c r="PE79" s="43" t="str">
        <f t="shared" si="365"/>
        <v/>
      </c>
      <c r="PF79" s="43" t="str">
        <f t="shared" si="366"/>
        <v/>
      </c>
      <c r="PG79" s="43" t="str">
        <f t="shared" si="367"/>
        <v/>
      </c>
      <c r="PH79" s="43" t="str">
        <f t="shared" si="368"/>
        <v/>
      </c>
      <c r="PI79" s="43">
        <f t="shared" si="369"/>
        <v>32</v>
      </c>
      <c r="PJ79" s="43" t="str">
        <f t="shared" si="370"/>
        <v/>
      </c>
      <c r="PK79" s="43" t="str">
        <f t="shared" si="371"/>
        <v/>
      </c>
      <c r="PL79" s="43" t="str">
        <f t="shared" si="372"/>
        <v/>
      </c>
      <c r="PM79" s="43" t="str">
        <f t="shared" si="373"/>
        <v/>
      </c>
      <c r="PN79" s="43" t="str">
        <f t="shared" si="374"/>
        <v/>
      </c>
      <c r="PO79" s="43" t="str">
        <f t="shared" si="375"/>
        <v/>
      </c>
      <c r="PP79" s="43" t="str">
        <f t="shared" si="376"/>
        <v/>
      </c>
      <c r="PQ79" s="43" t="str">
        <f t="shared" si="377"/>
        <v/>
      </c>
      <c r="PR79" s="43" t="str">
        <f t="shared" si="378"/>
        <v/>
      </c>
      <c r="PS79" s="43" t="str">
        <f t="shared" si="379"/>
        <v/>
      </c>
      <c r="PT79" s="43" t="str">
        <f t="shared" si="380"/>
        <v/>
      </c>
      <c r="PU79" s="43" t="str">
        <f t="shared" si="381"/>
        <v/>
      </c>
      <c r="PV79" s="43" t="str">
        <f t="shared" si="382"/>
        <v/>
      </c>
      <c r="PW79" s="43" t="str">
        <f t="shared" si="383"/>
        <v/>
      </c>
      <c r="PX79" s="43" t="str">
        <f t="shared" si="384"/>
        <v/>
      </c>
      <c r="PY79" s="43" t="str">
        <f t="shared" si="385"/>
        <v/>
      </c>
      <c r="PZ79" s="43" t="str">
        <f t="shared" si="386"/>
        <v/>
      </c>
      <c r="QA79" s="43" t="str">
        <f t="shared" si="387"/>
        <v/>
      </c>
      <c r="QB79" s="43" t="str">
        <f t="shared" si="388"/>
        <v/>
      </c>
      <c r="QC79" s="43" t="str">
        <f t="shared" si="389"/>
        <v/>
      </c>
      <c r="QD79" s="43" t="str">
        <f t="shared" si="390"/>
        <v/>
      </c>
      <c r="QE79" s="43" t="str">
        <f t="shared" si="391"/>
        <v/>
      </c>
      <c r="QF79" s="43" t="str">
        <f t="shared" si="392"/>
        <v/>
      </c>
      <c r="QG79" s="43" t="str">
        <f t="shared" si="393"/>
        <v>NORMAL</v>
      </c>
      <c r="QH79" s="43" t="str">
        <f t="shared" si="394"/>
        <v/>
      </c>
      <c r="QI79" s="43" t="str">
        <f t="shared" si="395"/>
        <v/>
      </c>
      <c r="QJ79" s="43" t="str">
        <f t="shared" si="396"/>
        <v/>
      </c>
      <c r="QK79" s="43" t="str">
        <f t="shared" si="397"/>
        <v/>
      </c>
      <c r="QL79" s="43" t="str">
        <f t="shared" si="398"/>
        <v/>
      </c>
      <c r="QM79" s="43" t="str">
        <f t="shared" si="399"/>
        <v/>
      </c>
      <c r="QN79" s="43" t="str">
        <f t="shared" si="400"/>
        <v/>
      </c>
      <c r="QO79" s="43" t="str">
        <f t="shared" si="401"/>
        <v/>
      </c>
      <c r="QP79" s="43" t="str">
        <f t="shared" si="402"/>
        <v/>
      </c>
      <c r="QQ79" s="43" t="str">
        <f t="shared" si="403"/>
        <v/>
      </c>
      <c r="QR79" s="43">
        <f t="shared" si="433"/>
        <v>32</v>
      </c>
      <c r="QS79" s="43"/>
      <c r="QT79" s="21" t="str">
        <f t="shared" si="404"/>
        <v/>
      </c>
      <c r="QU79" s="21" t="str">
        <f t="shared" si="405"/>
        <v/>
      </c>
      <c r="QV79" s="21" t="str">
        <f t="shared" si="406"/>
        <v/>
      </c>
      <c r="QW79" s="21" t="str">
        <f t="shared" si="407"/>
        <v/>
      </c>
      <c r="QX79" s="21" t="str">
        <f t="shared" si="408"/>
        <v/>
      </c>
      <c r="QY79" s="21" t="str">
        <f t="shared" si="409"/>
        <v/>
      </c>
      <c r="QZ79" s="21" t="str">
        <f t="shared" si="410"/>
        <v/>
      </c>
      <c r="RA79" s="21" t="str">
        <f t="shared" si="411"/>
        <v/>
      </c>
      <c r="RB79" s="21" t="str">
        <f t="shared" si="412"/>
        <v/>
      </c>
      <c r="RC79" s="21" t="str">
        <f t="shared" si="413"/>
        <v/>
      </c>
      <c r="RD79" s="21" t="str">
        <f t="shared" si="414"/>
        <v/>
      </c>
      <c r="RE79" s="21" t="str">
        <f t="shared" si="415"/>
        <v/>
      </c>
      <c r="RF79" s="21" t="str">
        <f t="shared" si="416"/>
        <v/>
      </c>
      <c r="RG79" s="21" t="str">
        <f t="shared" si="417"/>
        <v/>
      </c>
      <c r="RH79" s="21" t="str">
        <f t="shared" si="418"/>
        <v/>
      </c>
      <c r="RI79" s="21" t="str">
        <f t="shared" si="419"/>
        <v/>
      </c>
      <c r="RJ79" s="21" t="str">
        <f t="shared" si="420"/>
        <v/>
      </c>
      <c r="RK79" s="21" t="str">
        <f t="shared" si="421"/>
        <v/>
      </c>
      <c r="RL79" s="21" t="str">
        <f t="shared" si="422"/>
        <v/>
      </c>
      <c r="RM79" s="21" t="str">
        <f t="shared" si="423"/>
        <v>ADECUADO PARA EDAD GESTACIONAL</v>
      </c>
      <c r="RN79" s="21" t="str">
        <f t="shared" si="424"/>
        <v/>
      </c>
      <c r="RO79" s="21" t="str">
        <f t="shared" si="425"/>
        <v/>
      </c>
      <c r="RP79" s="21" t="str">
        <f t="shared" si="426"/>
        <v/>
      </c>
      <c r="RQ79" s="21" t="str">
        <f t="shared" si="427"/>
        <v/>
      </c>
      <c r="RR79" s="21" t="str">
        <f t="shared" si="428"/>
        <v/>
      </c>
      <c r="RS79" s="21" t="str">
        <f t="shared" si="429"/>
        <v/>
      </c>
      <c r="RT79" s="21" t="str">
        <f t="shared" si="430"/>
        <v/>
      </c>
      <c r="RU79" s="21" t="str">
        <f t="shared" si="431"/>
        <v/>
      </c>
      <c r="RV79" s="21">
        <f t="shared" si="432"/>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4"/>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36.665753424657531</v>
      </c>
      <c r="O80" s="22">
        <v>44940</v>
      </c>
      <c r="P80" s="214" t="str">
        <f t="shared" si="438"/>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9"/>
        <v>SALE SIN PLAN DE PARTO</v>
      </c>
      <c r="DV80" s="226" t="str">
        <f t="shared" si="440"/>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1"/>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2"/>
        <v>PIERDE TOMA DE TAMIZAJE</v>
      </c>
      <c r="FP80" s="22" t="s">
        <v>867</v>
      </c>
      <c r="FQ80" s="32">
        <v>45002</v>
      </c>
      <c r="FR80" s="29">
        <f t="shared" ca="1" si="443"/>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4"/>
        <v>PIERDE TOMA DE TAMIZAJE</v>
      </c>
      <c r="GE80" s="22" t="s">
        <v>868</v>
      </c>
      <c r="GF80" s="22">
        <v>45002</v>
      </c>
      <c r="GG80" s="29">
        <f t="shared" ca="1" si="445"/>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t="str">
        <f t="shared" ca="1" si="289"/>
        <v>************************RIESGO POR EDAD***************</v>
      </c>
      <c r="HK80" s="21" t="str">
        <f t="shared" si="290"/>
        <v>SIN ANTECEDENTES DE RIESGO</v>
      </c>
      <c r="HL80" s="24" t="str">
        <f t="shared" si="291"/>
        <v>VIGILAR CIFRAS PRESION ARTERIAL</v>
      </c>
      <c r="HM80" s="21" t="str">
        <f t="shared" ca="1" si="292"/>
        <v/>
      </c>
      <c r="HN80" s="30" t="str">
        <f t="shared" si="446"/>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3"/>
        <v>20.428571428571427</v>
      </c>
      <c r="IA80" s="26"/>
      <c r="IB80" s="26"/>
      <c r="IC80" s="111"/>
      <c r="ID80" s="22">
        <v>45041</v>
      </c>
      <c r="IE80" s="22" t="str">
        <f t="shared" ca="1" si="294"/>
        <v>VACUNA APLICADA ENTRE SEMANA 27 Y EL PARTO</v>
      </c>
      <c r="IF80" s="22"/>
      <c r="IG80" s="22">
        <f t="shared" si="295"/>
        <v>45076</v>
      </c>
      <c r="IH80" s="29">
        <f t="shared" ca="1" si="296"/>
        <v>-156</v>
      </c>
      <c r="II80" s="22" t="str">
        <f t="shared" ca="1" si="297"/>
        <v>POSIBLEMENTE NACIO</v>
      </c>
      <c r="IJ80" s="22"/>
      <c r="IK80" s="21" t="s">
        <v>898</v>
      </c>
      <c r="IL80" s="21"/>
      <c r="IM80" s="34"/>
      <c r="IN80" s="349">
        <v>45074</v>
      </c>
      <c r="IO80" s="21" t="s">
        <v>1640</v>
      </c>
      <c r="IP80" s="29">
        <f t="shared" si="436"/>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7"/>
        <v>PESO ADECUADO EDAD GESTACIONAL</v>
      </c>
      <c r="JF80" s="30"/>
      <c r="JG80" s="21"/>
      <c r="JH80" s="21"/>
      <c r="JI80" s="21"/>
      <c r="JJ80" s="30"/>
      <c r="JK80" s="22"/>
      <c r="JL80" s="22"/>
      <c r="JM80" s="21"/>
      <c r="JN80" s="36"/>
      <c r="JO80" s="21" t="str">
        <f t="shared" si="448"/>
        <v/>
      </c>
      <c r="JP80" s="22"/>
      <c r="JQ80" s="21"/>
      <c r="JR80" s="21"/>
      <c r="JS80" s="21"/>
      <c r="JT80" s="30"/>
      <c r="JU80" s="22"/>
      <c r="JV80" s="22"/>
      <c r="JW80" s="33"/>
      <c r="JX80" s="28" t="str">
        <f t="shared" si="449"/>
        <v>INASISTENTE</v>
      </c>
      <c r="JY80" s="33"/>
      <c r="JZ80" s="28" t="str">
        <f t="shared" si="450"/>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3"/>
        <v>0</v>
      </c>
      <c r="MI80" s="43" t="str">
        <f t="shared" si="304"/>
        <v/>
      </c>
      <c r="MJ80" s="43" t="str">
        <f t="shared" si="305"/>
        <v/>
      </c>
      <c r="MK80" s="43">
        <f t="shared" si="306"/>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7"/>
        <v>20.571428571428573</v>
      </c>
      <c r="MN80" s="43">
        <f t="shared" si="308"/>
        <v>1</v>
      </c>
      <c r="MO80" s="43">
        <f t="shared" si="309"/>
        <v>2023</v>
      </c>
      <c r="MP80" s="43" t="str">
        <f t="shared" si="310"/>
        <v>I TRIMESTRE AÑO</v>
      </c>
      <c r="MQ80" s="43">
        <f t="shared" si="311"/>
        <v>35.318112133158124</v>
      </c>
      <c r="MR80" s="43">
        <f t="shared" si="312"/>
        <v>2</v>
      </c>
      <c r="MS80" s="43" t="str">
        <f t="shared" si="313"/>
        <v xml:space="preserve"> DE 35 A 39 AÑOS</v>
      </c>
      <c r="MT80" s="43">
        <f t="shared" si="314"/>
        <v>0</v>
      </c>
      <c r="MU80" s="43">
        <f t="shared" si="315"/>
        <v>0</v>
      </c>
      <c r="MV80" s="43">
        <f t="shared" si="316"/>
        <v>0</v>
      </c>
      <c r="MW80" s="43">
        <f t="shared" si="317"/>
        <v>0</v>
      </c>
      <c r="MX80" s="43" t="str">
        <f t="shared" si="318"/>
        <v/>
      </c>
      <c r="MY80" s="43" t="str">
        <f t="shared" ca="1" si="451"/>
        <v/>
      </c>
      <c r="MZ80" s="43" t="str">
        <f t="shared" si="319"/>
        <v/>
      </c>
      <c r="NA80" s="43" t="str">
        <f t="shared" si="320"/>
        <v/>
      </c>
      <c r="NB80" s="43" t="str">
        <f t="shared" si="321"/>
        <v/>
      </c>
      <c r="NC80" s="43" t="str">
        <f t="shared" si="322"/>
        <v/>
      </c>
      <c r="ND80" s="43">
        <f t="shared" ca="1" si="323"/>
        <v>2</v>
      </c>
      <c r="NE80" s="43">
        <f>IF(OR(O80&gt;0,R80&gt;0),SUM(COUNTIF(Tabla1[[#This Row],[AÑOS AL INICIO5 CPN]],"&gt;=40"),COUNTIF(AS80,"0"),COUNTIF(AR80,"SI"),COUNTIF(CC80,"SI"),COUNTIF(BQ80,"&gt;119"),COUNTIF(CI80,"&gt;=35")),"")</f>
        <v>0</v>
      </c>
      <c r="NF80" s="43">
        <f t="shared" si="324"/>
        <v>35</v>
      </c>
      <c r="NG80" s="43">
        <f t="shared" si="325"/>
        <v>0</v>
      </c>
      <c r="NH80" s="43">
        <f t="shared" si="326"/>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7"/>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8"/>
        <v>II TRIM</v>
      </c>
      <c r="NQ80" s="21">
        <f t="shared" si="437"/>
        <v>1</v>
      </c>
      <c r="NR80" s="21">
        <f t="shared" si="452"/>
        <v>2</v>
      </c>
      <c r="NS80" s="205">
        <f t="shared" ca="1" si="329"/>
        <v>1</v>
      </c>
      <c r="NT80" s="21">
        <f t="shared" ca="1" si="330"/>
        <v>1</v>
      </c>
      <c r="NU80" s="21" t="str">
        <f t="shared" ca="1" si="331"/>
        <v>INCOMPLETO</v>
      </c>
      <c r="NV80" s="21" t="str">
        <f t="shared" ca="1" si="332"/>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3"/>
        <v>VACUNADA</v>
      </c>
      <c r="NY80" s="43">
        <f>ROW(Tabla1[[#This Row],['# DE TAMIZAJES SIFILIS TOMADOS ]])</f>
        <v>80</v>
      </c>
      <c r="NZ80" s="43">
        <f t="shared" si="334"/>
        <v>20</v>
      </c>
      <c r="OA80" s="43" t="str">
        <f t="shared" si="335"/>
        <v/>
      </c>
      <c r="OB80" s="43" t="str">
        <f t="shared" si="336"/>
        <v/>
      </c>
      <c r="OC80" s="43" t="str">
        <f t="shared" si="337"/>
        <v/>
      </c>
      <c r="OD80" s="43" t="str">
        <f t="shared" si="338"/>
        <v/>
      </c>
      <c r="OE80" s="43" t="str">
        <f t="shared" si="339"/>
        <v/>
      </c>
      <c r="OF80" s="43" t="str">
        <f t="shared" si="340"/>
        <v/>
      </c>
      <c r="OG80" s="43" t="str">
        <f t="shared" si="341"/>
        <v/>
      </c>
      <c r="OH80" s="43" t="str">
        <f t="shared" si="342"/>
        <v/>
      </c>
      <c r="OI80" s="43" t="str">
        <f t="shared" si="343"/>
        <v/>
      </c>
      <c r="OJ80" s="43" t="str">
        <f t="shared" si="344"/>
        <v/>
      </c>
      <c r="OK80" s="43" t="str">
        <f t="shared" si="345"/>
        <v/>
      </c>
      <c r="OL80" s="43" t="str">
        <f t="shared" si="346"/>
        <v>SOBREPESO</v>
      </c>
      <c r="OM80" s="43" t="str">
        <f t="shared" si="347"/>
        <v/>
      </c>
      <c r="ON80" s="43" t="str">
        <f t="shared" si="348"/>
        <v/>
      </c>
      <c r="OO80" s="43" t="str">
        <f t="shared" si="349"/>
        <v/>
      </c>
      <c r="OP80" s="43" t="str">
        <f t="shared" si="350"/>
        <v/>
      </c>
      <c r="OQ80" s="43" t="str">
        <f t="shared" si="351"/>
        <v/>
      </c>
      <c r="OR80" s="43" t="str">
        <f t="shared" si="352"/>
        <v/>
      </c>
      <c r="OS80" s="43" t="str">
        <f t="shared" si="353"/>
        <v/>
      </c>
      <c r="OT80" s="43" t="str">
        <f t="shared" si="354"/>
        <v/>
      </c>
      <c r="OU80" s="43" t="str">
        <f t="shared" si="355"/>
        <v/>
      </c>
      <c r="OV80" s="110" t="str">
        <f t="shared" si="356"/>
        <v/>
      </c>
      <c r="OW80" s="43" t="str">
        <f t="shared" si="357"/>
        <v/>
      </c>
      <c r="OX80" s="43" t="str">
        <f t="shared" si="358"/>
        <v/>
      </c>
      <c r="OY80" s="43" t="str">
        <f t="shared" si="359"/>
        <v/>
      </c>
      <c r="OZ80" s="43" t="str">
        <f t="shared" si="360"/>
        <v/>
      </c>
      <c r="PA80" s="43" t="str">
        <f t="shared" si="361"/>
        <v/>
      </c>
      <c r="PB80" s="43" t="str">
        <f t="shared" si="362"/>
        <v/>
      </c>
      <c r="PC80" s="43" t="str">
        <f t="shared" si="363"/>
        <v/>
      </c>
      <c r="PD80" s="43" t="str">
        <f t="shared" si="364"/>
        <v/>
      </c>
      <c r="PE80" s="43" t="str">
        <f t="shared" si="365"/>
        <v/>
      </c>
      <c r="PF80" s="43" t="str">
        <f t="shared" si="366"/>
        <v/>
      </c>
      <c r="PG80" s="43" t="str">
        <f t="shared" si="367"/>
        <v/>
      </c>
      <c r="PH80" s="43" t="str">
        <f t="shared" si="368"/>
        <v/>
      </c>
      <c r="PI80" s="43">
        <f t="shared" si="369"/>
        <v>36</v>
      </c>
      <c r="PJ80" s="43" t="str">
        <f t="shared" si="370"/>
        <v/>
      </c>
      <c r="PK80" s="43" t="str">
        <f t="shared" si="371"/>
        <v/>
      </c>
      <c r="PL80" s="43" t="str">
        <f t="shared" si="372"/>
        <v/>
      </c>
      <c r="PM80" s="43" t="str">
        <f t="shared" si="373"/>
        <v/>
      </c>
      <c r="PN80" s="43" t="str">
        <f t="shared" si="374"/>
        <v/>
      </c>
      <c r="PO80" s="43" t="str">
        <f t="shared" si="375"/>
        <v/>
      </c>
      <c r="PP80" s="43" t="str">
        <f t="shared" si="376"/>
        <v/>
      </c>
      <c r="PQ80" s="43" t="str">
        <f t="shared" si="377"/>
        <v/>
      </c>
      <c r="PR80" s="43" t="str">
        <f t="shared" si="378"/>
        <v/>
      </c>
      <c r="PS80" s="43" t="str">
        <f t="shared" si="379"/>
        <v/>
      </c>
      <c r="PT80" s="43" t="str">
        <f t="shared" si="380"/>
        <v/>
      </c>
      <c r="PU80" s="43" t="str">
        <f t="shared" si="381"/>
        <v/>
      </c>
      <c r="PV80" s="43" t="str">
        <f t="shared" si="382"/>
        <v/>
      </c>
      <c r="PW80" s="43" t="str">
        <f t="shared" si="383"/>
        <v/>
      </c>
      <c r="PX80" s="43" t="str">
        <f t="shared" si="384"/>
        <v/>
      </c>
      <c r="PY80" s="43" t="str">
        <f t="shared" si="385"/>
        <v/>
      </c>
      <c r="PZ80" s="43" t="str">
        <f t="shared" si="386"/>
        <v/>
      </c>
      <c r="QA80" s="43" t="str">
        <f t="shared" si="387"/>
        <v/>
      </c>
      <c r="QB80" s="43" t="str">
        <f t="shared" si="388"/>
        <v/>
      </c>
      <c r="QC80" s="43" t="str">
        <f t="shared" si="389"/>
        <v/>
      </c>
      <c r="QD80" s="43" t="str">
        <f t="shared" si="390"/>
        <v/>
      </c>
      <c r="QE80" s="43" t="str">
        <f t="shared" si="391"/>
        <v/>
      </c>
      <c r="QF80" s="43" t="str">
        <f t="shared" si="392"/>
        <v/>
      </c>
      <c r="QG80" s="43" t="str">
        <f t="shared" si="393"/>
        <v/>
      </c>
      <c r="QH80" s="43" t="str">
        <f t="shared" si="394"/>
        <v/>
      </c>
      <c r="QI80" s="43" t="str">
        <f t="shared" si="395"/>
        <v/>
      </c>
      <c r="QJ80" s="43" t="str">
        <f t="shared" si="396"/>
        <v/>
      </c>
      <c r="QK80" s="43" t="str">
        <f t="shared" si="397"/>
        <v>SOBREPESO</v>
      </c>
      <c r="QL80" s="43" t="str">
        <f t="shared" si="398"/>
        <v/>
      </c>
      <c r="QM80" s="43" t="str">
        <f t="shared" si="399"/>
        <v/>
      </c>
      <c r="QN80" s="43" t="str">
        <f t="shared" si="400"/>
        <v/>
      </c>
      <c r="QO80" s="43" t="str">
        <f t="shared" si="401"/>
        <v/>
      </c>
      <c r="QP80" s="43" t="str">
        <f t="shared" si="402"/>
        <v/>
      </c>
      <c r="QQ80" s="43" t="str">
        <f t="shared" si="403"/>
        <v/>
      </c>
      <c r="QR80" s="43">
        <f t="shared" si="433"/>
        <v>36</v>
      </c>
      <c r="QS80" s="43"/>
      <c r="QT80" s="21" t="str">
        <f t="shared" si="404"/>
        <v/>
      </c>
      <c r="QU80" s="21" t="str">
        <f t="shared" si="405"/>
        <v/>
      </c>
      <c r="QV80" s="21" t="str">
        <f t="shared" si="406"/>
        <v/>
      </c>
      <c r="QW80" s="21" t="str">
        <f t="shared" si="407"/>
        <v/>
      </c>
      <c r="QX80" s="21" t="str">
        <f t="shared" si="408"/>
        <v/>
      </c>
      <c r="QY80" s="21" t="str">
        <f t="shared" si="409"/>
        <v/>
      </c>
      <c r="QZ80" s="21" t="str">
        <f t="shared" si="410"/>
        <v/>
      </c>
      <c r="RA80" s="21" t="str">
        <f t="shared" si="411"/>
        <v/>
      </c>
      <c r="RB80" s="21" t="str">
        <f t="shared" si="412"/>
        <v/>
      </c>
      <c r="RC80" s="21" t="str">
        <f t="shared" si="413"/>
        <v/>
      </c>
      <c r="RD80" s="21" t="str">
        <f t="shared" si="414"/>
        <v/>
      </c>
      <c r="RE80" s="21" t="str">
        <f t="shared" si="415"/>
        <v/>
      </c>
      <c r="RF80" s="21" t="str">
        <f t="shared" si="416"/>
        <v/>
      </c>
      <c r="RG80" s="21" t="str">
        <f t="shared" si="417"/>
        <v/>
      </c>
      <c r="RH80" s="21" t="str">
        <f t="shared" si="418"/>
        <v/>
      </c>
      <c r="RI80" s="21" t="str">
        <f t="shared" si="419"/>
        <v/>
      </c>
      <c r="RJ80" s="21" t="str">
        <f t="shared" si="420"/>
        <v/>
      </c>
      <c r="RK80" s="21" t="str">
        <f t="shared" si="421"/>
        <v/>
      </c>
      <c r="RL80" s="21" t="str">
        <f t="shared" si="422"/>
        <v/>
      </c>
      <c r="RM80" s="21" t="str">
        <f t="shared" si="423"/>
        <v/>
      </c>
      <c r="RN80" s="21" t="str">
        <f t="shared" si="424"/>
        <v/>
      </c>
      <c r="RO80" s="21" t="str">
        <f t="shared" si="425"/>
        <v/>
      </c>
      <c r="RP80" s="21" t="str">
        <f t="shared" si="426"/>
        <v/>
      </c>
      <c r="RQ80" s="21" t="str">
        <f t="shared" si="427"/>
        <v>ADECUADO PARA EDAD GESTACIONAL</v>
      </c>
      <c r="RR80" s="21" t="str">
        <f t="shared" si="428"/>
        <v/>
      </c>
      <c r="RS80" s="21" t="str">
        <f t="shared" si="429"/>
        <v/>
      </c>
      <c r="RT80" s="21" t="str">
        <f t="shared" si="430"/>
        <v/>
      </c>
      <c r="RU80" s="21" t="str">
        <f t="shared" si="431"/>
        <v/>
      </c>
      <c r="RV80" s="21">
        <f t="shared" si="432"/>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4"/>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17.764383561643836</v>
      </c>
      <c r="O81" s="22">
        <v>44943</v>
      </c>
      <c r="P81" s="214" t="str">
        <f t="shared" si="438"/>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9"/>
        <v>SALE SIN PLAN DE PARTO</v>
      </c>
      <c r="DV81" s="226" t="str">
        <f t="shared" si="440"/>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1"/>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2"/>
        <v>21.285714285714285</v>
      </c>
      <c r="FP81" s="22"/>
      <c r="FQ81" s="32"/>
      <c r="FR81" s="29" t="str">
        <f t="shared" ca="1" si="443"/>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4"/>
        <v>21.285714285714285</v>
      </c>
      <c r="GE81" s="22" t="s">
        <v>868</v>
      </c>
      <c r="GF81" s="22">
        <v>45066</v>
      </c>
      <c r="GG81" s="29">
        <f t="shared" ca="1" si="445"/>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t="str">
        <f t="shared" ca="1" si="289"/>
        <v>**********************MULTIPARIDAD*****************</v>
      </c>
      <c r="HK81" s="21" t="str">
        <f t="shared" si="290"/>
        <v>SIN ANTECEDENTES DE RIESGO</v>
      </c>
      <c r="HL81" s="24" t="str">
        <f t="shared" si="291"/>
        <v>APARENTEMENTE NORMAL</v>
      </c>
      <c r="HM81" s="21" t="str">
        <f t="shared" ca="1" si="292"/>
        <v/>
      </c>
      <c r="HN81" s="30" t="str">
        <f t="shared" si="446"/>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3"/>
        <v>18.857142857142858</v>
      </c>
      <c r="IA81" s="26" t="s">
        <v>864</v>
      </c>
      <c r="IB81" s="26"/>
      <c r="IC81" s="111"/>
      <c r="ID81" s="22"/>
      <c r="IE81" s="22" t="str">
        <f t="shared" ca="1" si="294"/>
        <v>SALE SIN VACUNA</v>
      </c>
      <c r="IF81" s="22"/>
      <c r="IG81" s="22">
        <f t="shared" si="295"/>
        <v>45091</v>
      </c>
      <c r="IH81" s="29">
        <f t="shared" ca="1" si="296"/>
        <v>-141</v>
      </c>
      <c r="II81" s="22" t="str">
        <f t="shared" ca="1" si="297"/>
        <v>POSIBLEMENTE NACIO</v>
      </c>
      <c r="IJ81" s="22"/>
      <c r="IK81" s="21" t="s">
        <v>898</v>
      </c>
      <c r="IL81" s="21"/>
      <c r="IM81" s="34"/>
      <c r="IN81" s="349">
        <v>45099</v>
      </c>
      <c r="IO81" s="21" t="s">
        <v>1640</v>
      </c>
      <c r="IP81" s="29">
        <f t="shared" si="436"/>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7"/>
        <v>PESO ADECUADO EDAD GESTACIONAL</v>
      </c>
      <c r="JF81" s="30"/>
      <c r="JG81" s="21"/>
      <c r="JH81" s="21"/>
      <c r="JI81" s="21"/>
      <c r="JJ81" s="30"/>
      <c r="JK81" s="22"/>
      <c r="JL81" s="22"/>
      <c r="JM81" s="21"/>
      <c r="JN81" s="36"/>
      <c r="JO81" s="21" t="str">
        <f t="shared" si="448"/>
        <v/>
      </c>
      <c r="JP81" s="22"/>
      <c r="JQ81" s="21"/>
      <c r="JR81" s="21"/>
      <c r="JS81" s="21"/>
      <c r="JT81" s="30"/>
      <c r="JU81" s="22"/>
      <c r="JV81" s="22"/>
      <c r="JW81" s="33"/>
      <c r="JX81" s="28" t="str">
        <f t="shared" si="449"/>
        <v>INASISTENTE</v>
      </c>
      <c r="JY81" s="33"/>
      <c r="JZ81" s="28" t="str">
        <f t="shared" si="450"/>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3"/>
        <v>0</v>
      </c>
      <c r="MI81" s="43" t="str">
        <f t="shared" si="304"/>
        <v/>
      </c>
      <c r="MJ81" s="43" t="str">
        <f t="shared" si="305"/>
        <v/>
      </c>
      <c r="MK81" s="43">
        <f t="shared" si="306"/>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7"/>
        <v>18.857142857142858</v>
      </c>
      <c r="MN81" s="43">
        <f t="shared" si="308"/>
        <v>1</v>
      </c>
      <c r="MO81" s="43">
        <f t="shared" si="309"/>
        <v>2023</v>
      </c>
      <c r="MP81" s="43" t="str">
        <f t="shared" si="310"/>
        <v>I TRIMESTRE AÑO</v>
      </c>
      <c r="MQ81" s="43">
        <f t="shared" si="311"/>
        <v>16.71868155935173</v>
      </c>
      <c r="MR81" s="43">
        <f t="shared" si="312"/>
        <v>0</v>
      </c>
      <c r="MS81" s="43" t="str">
        <f t="shared" si="313"/>
        <v>DE 14 A 19AÑOS</v>
      </c>
      <c r="MT81" s="43">
        <f t="shared" si="314"/>
        <v>0</v>
      </c>
      <c r="MU81" s="43">
        <f t="shared" si="315"/>
        <v>1</v>
      </c>
      <c r="MV81" s="43">
        <f t="shared" si="316"/>
        <v>0</v>
      </c>
      <c r="MW81" s="43">
        <f t="shared" si="317"/>
        <v>0</v>
      </c>
      <c r="MX81" s="43" t="str">
        <f t="shared" si="318"/>
        <v/>
      </c>
      <c r="MY81" s="43" t="str">
        <f t="shared" ca="1" si="451"/>
        <v/>
      </c>
      <c r="MZ81" s="43" t="str">
        <f t="shared" si="319"/>
        <v/>
      </c>
      <c r="NA81" s="43">
        <f t="shared" si="320"/>
        <v>0</v>
      </c>
      <c r="NB81" s="43" t="str">
        <f t="shared" si="321"/>
        <v/>
      </c>
      <c r="NC81" s="43" t="str">
        <f t="shared" si="322"/>
        <v/>
      </c>
      <c r="ND81" s="43">
        <f t="shared" ca="1" si="323"/>
        <v>1</v>
      </c>
      <c r="NE81" s="43">
        <f>IF(OR(O81&gt;0,R81&gt;0),SUM(COUNTIF(Tabla1[[#This Row],[AÑOS AL INICIO5 CPN]],"&gt;=40"),COUNTIF(AS81,"0"),COUNTIF(AR81,"SI"),COUNTIF(CC81,"SI"),COUNTIF(BQ81,"&gt;119"),COUNTIF(CI81,"&gt;=35")),"")</f>
        <v>1</v>
      </c>
      <c r="NF81" s="43" t="str">
        <f t="shared" si="324"/>
        <v/>
      </c>
      <c r="NG81" s="43">
        <f t="shared" si="325"/>
        <v>0</v>
      </c>
      <c r="NH81" s="43">
        <f t="shared" si="326"/>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7"/>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8"/>
        <v>DEFINIR CON ECO</v>
      </c>
      <c r="NQ81" s="21" t="str">
        <f t="shared" si="437"/>
        <v/>
      </c>
      <c r="NR81" s="21">
        <f t="shared" si="452"/>
        <v>2</v>
      </c>
      <c r="NS81" s="205">
        <f t="shared" ca="1" si="329"/>
        <v>1</v>
      </c>
      <c r="NT81" s="21">
        <f t="shared" ca="1" si="330"/>
        <v>2</v>
      </c>
      <c r="NU81" s="21" t="str">
        <f t="shared" ca="1" si="331"/>
        <v>INCOMPLETO</v>
      </c>
      <c r="NV81" s="21" t="str">
        <f t="shared" ca="1" si="332"/>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3"/>
        <v>SIN VACUNAR</v>
      </c>
      <c r="NY81" s="43">
        <f>ROW(Tabla1[[#This Row],['# DE TAMIZAJES SIFILIS TOMADOS ]])</f>
        <v>81</v>
      </c>
      <c r="NZ81" s="43">
        <f t="shared" si="334"/>
        <v>18</v>
      </c>
      <c r="OA81" s="43" t="str">
        <f t="shared" si="335"/>
        <v/>
      </c>
      <c r="OB81" s="43" t="str">
        <f t="shared" si="336"/>
        <v/>
      </c>
      <c r="OC81" s="43" t="str">
        <f t="shared" si="337"/>
        <v/>
      </c>
      <c r="OD81" s="43" t="str">
        <f t="shared" si="338"/>
        <v/>
      </c>
      <c r="OE81" s="43" t="str">
        <f t="shared" si="339"/>
        <v/>
      </c>
      <c r="OF81" s="43" t="str">
        <f t="shared" si="340"/>
        <v/>
      </c>
      <c r="OG81" s="43" t="str">
        <f t="shared" si="341"/>
        <v/>
      </c>
      <c r="OH81" s="43" t="str">
        <f t="shared" si="342"/>
        <v/>
      </c>
      <c r="OI81" s="43" t="str">
        <f t="shared" si="343"/>
        <v/>
      </c>
      <c r="OJ81" s="43" t="str">
        <f t="shared" si="344"/>
        <v>NORMAL</v>
      </c>
      <c r="OK81" s="43" t="str">
        <f t="shared" si="345"/>
        <v/>
      </c>
      <c r="OL81" s="43" t="str">
        <f t="shared" si="346"/>
        <v/>
      </c>
      <c r="OM81" s="43" t="str">
        <f t="shared" si="347"/>
        <v/>
      </c>
      <c r="ON81" s="43" t="str">
        <f t="shared" si="348"/>
        <v/>
      </c>
      <c r="OO81" s="43" t="str">
        <f t="shared" si="349"/>
        <v/>
      </c>
      <c r="OP81" s="43" t="str">
        <f t="shared" si="350"/>
        <v/>
      </c>
      <c r="OQ81" s="43" t="str">
        <f t="shared" si="351"/>
        <v/>
      </c>
      <c r="OR81" s="43" t="str">
        <f t="shared" si="352"/>
        <v/>
      </c>
      <c r="OS81" s="43" t="str">
        <f t="shared" si="353"/>
        <v/>
      </c>
      <c r="OT81" s="43" t="str">
        <f t="shared" si="354"/>
        <v/>
      </c>
      <c r="OU81" s="43" t="str">
        <f t="shared" si="355"/>
        <v/>
      </c>
      <c r="OV81" s="110" t="str">
        <f t="shared" si="356"/>
        <v/>
      </c>
      <c r="OW81" s="43" t="str">
        <f t="shared" si="357"/>
        <v/>
      </c>
      <c r="OX81" s="43" t="str">
        <f t="shared" si="358"/>
        <v/>
      </c>
      <c r="OY81" s="43" t="str">
        <f t="shared" si="359"/>
        <v/>
      </c>
      <c r="OZ81" s="43" t="str">
        <f t="shared" si="360"/>
        <v/>
      </c>
      <c r="PA81" s="43" t="str">
        <f t="shared" si="361"/>
        <v/>
      </c>
      <c r="PB81" s="43" t="str">
        <f t="shared" si="362"/>
        <v/>
      </c>
      <c r="PC81" s="43" t="str">
        <f t="shared" si="363"/>
        <v/>
      </c>
      <c r="PD81" s="43" t="str">
        <f t="shared" si="364"/>
        <v/>
      </c>
      <c r="PE81" s="43" t="str">
        <f t="shared" si="365"/>
        <v/>
      </c>
      <c r="PF81" s="43" t="str">
        <f t="shared" si="366"/>
        <v/>
      </c>
      <c r="PG81" s="43" t="str">
        <f t="shared" si="367"/>
        <v/>
      </c>
      <c r="PH81" s="43" t="str">
        <f t="shared" si="368"/>
        <v/>
      </c>
      <c r="PI81" s="43">
        <f t="shared" si="369"/>
        <v>36</v>
      </c>
      <c r="PJ81" s="43" t="str">
        <f t="shared" si="370"/>
        <v/>
      </c>
      <c r="PK81" s="43" t="str">
        <f t="shared" si="371"/>
        <v/>
      </c>
      <c r="PL81" s="43" t="str">
        <f t="shared" si="372"/>
        <v/>
      </c>
      <c r="PM81" s="43" t="str">
        <f t="shared" si="373"/>
        <v/>
      </c>
      <c r="PN81" s="43" t="str">
        <f t="shared" si="374"/>
        <v/>
      </c>
      <c r="PO81" s="43" t="str">
        <f t="shared" si="375"/>
        <v/>
      </c>
      <c r="PP81" s="43" t="str">
        <f t="shared" si="376"/>
        <v/>
      </c>
      <c r="PQ81" s="43" t="str">
        <f t="shared" si="377"/>
        <v/>
      </c>
      <c r="PR81" s="43" t="str">
        <f t="shared" si="378"/>
        <v/>
      </c>
      <c r="PS81" s="43" t="str">
        <f t="shared" si="379"/>
        <v/>
      </c>
      <c r="PT81" s="43" t="str">
        <f t="shared" si="380"/>
        <v/>
      </c>
      <c r="PU81" s="43" t="str">
        <f t="shared" si="381"/>
        <v/>
      </c>
      <c r="PV81" s="43" t="str">
        <f t="shared" si="382"/>
        <v/>
      </c>
      <c r="PW81" s="43" t="str">
        <f t="shared" si="383"/>
        <v/>
      </c>
      <c r="PX81" s="43" t="str">
        <f t="shared" si="384"/>
        <v/>
      </c>
      <c r="PY81" s="43" t="str">
        <f t="shared" si="385"/>
        <v/>
      </c>
      <c r="PZ81" s="43" t="str">
        <f t="shared" si="386"/>
        <v/>
      </c>
      <c r="QA81" s="43" t="str">
        <f t="shared" si="387"/>
        <v/>
      </c>
      <c r="QB81" s="43" t="str">
        <f t="shared" si="388"/>
        <v/>
      </c>
      <c r="QC81" s="43" t="str">
        <f t="shared" si="389"/>
        <v/>
      </c>
      <c r="QD81" s="43" t="str">
        <f t="shared" si="390"/>
        <v/>
      </c>
      <c r="QE81" s="43" t="str">
        <f t="shared" si="391"/>
        <v/>
      </c>
      <c r="QF81" s="43" t="str">
        <f t="shared" si="392"/>
        <v/>
      </c>
      <c r="QG81" s="43" t="str">
        <f t="shared" si="393"/>
        <v/>
      </c>
      <c r="QH81" s="43" t="str">
        <f t="shared" si="394"/>
        <v/>
      </c>
      <c r="QI81" s="43" t="str">
        <f t="shared" si="395"/>
        <v/>
      </c>
      <c r="QJ81" s="43" t="str">
        <f t="shared" si="396"/>
        <v/>
      </c>
      <c r="QK81" s="43" t="str">
        <f t="shared" si="397"/>
        <v>NORMAL</v>
      </c>
      <c r="QL81" s="43" t="str">
        <f t="shared" si="398"/>
        <v/>
      </c>
      <c r="QM81" s="43" t="str">
        <f t="shared" si="399"/>
        <v/>
      </c>
      <c r="QN81" s="43" t="str">
        <f t="shared" si="400"/>
        <v/>
      </c>
      <c r="QO81" s="43" t="str">
        <f t="shared" si="401"/>
        <v/>
      </c>
      <c r="QP81" s="43" t="str">
        <f t="shared" si="402"/>
        <v/>
      </c>
      <c r="QQ81" s="43" t="str">
        <f t="shared" si="403"/>
        <v/>
      </c>
      <c r="QR81" s="43">
        <f t="shared" si="433"/>
        <v>36</v>
      </c>
      <c r="QS81" s="43"/>
      <c r="QT81" s="21" t="str">
        <f t="shared" si="404"/>
        <v/>
      </c>
      <c r="QU81" s="21" t="str">
        <f t="shared" si="405"/>
        <v/>
      </c>
      <c r="QV81" s="21" t="str">
        <f t="shared" si="406"/>
        <v/>
      </c>
      <c r="QW81" s="21" t="str">
        <f t="shared" si="407"/>
        <v/>
      </c>
      <c r="QX81" s="21" t="str">
        <f t="shared" si="408"/>
        <v/>
      </c>
      <c r="QY81" s="21" t="str">
        <f t="shared" si="409"/>
        <v/>
      </c>
      <c r="QZ81" s="21" t="str">
        <f t="shared" si="410"/>
        <v/>
      </c>
      <c r="RA81" s="21" t="str">
        <f t="shared" si="411"/>
        <v/>
      </c>
      <c r="RB81" s="21" t="str">
        <f t="shared" si="412"/>
        <v/>
      </c>
      <c r="RC81" s="21" t="str">
        <f t="shared" si="413"/>
        <v/>
      </c>
      <c r="RD81" s="21" t="str">
        <f t="shared" si="414"/>
        <v/>
      </c>
      <c r="RE81" s="21" t="str">
        <f t="shared" si="415"/>
        <v/>
      </c>
      <c r="RF81" s="21" t="str">
        <f t="shared" si="416"/>
        <v/>
      </c>
      <c r="RG81" s="21" t="str">
        <f t="shared" si="417"/>
        <v/>
      </c>
      <c r="RH81" s="21" t="str">
        <f t="shared" si="418"/>
        <v/>
      </c>
      <c r="RI81" s="21" t="str">
        <f t="shared" si="419"/>
        <v/>
      </c>
      <c r="RJ81" s="21" t="str">
        <f t="shared" si="420"/>
        <v/>
      </c>
      <c r="RK81" s="21" t="str">
        <f t="shared" si="421"/>
        <v/>
      </c>
      <c r="RL81" s="21" t="str">
        <f t="shared" si="422"/>
        <v/>
      </c>
      <c r="RM81" s="21" t="str">
        <f t="shared" si="423"/>
        <v/>
      </c>
      <c r="RN81" s="21" t="str">
        <f t="shared" si="424"/>
        <v/>
      </c>
      <c r="RO81" s="21" t="str">
        <f t="shared" si="425"/>
        <v/>
      </c>
      <c r="RP81" s="21" t="str">
        <f t="shared" si="426"/>
        <v/>
      </c>
      <c r="RQ81" s="21" t="str">
        <f t="shared" si="427"/>
        <v>ADECUADO PARA EDAD GESTACIONAL</v>
      </c>
      <c r="RR81" s="21" t="str">
        <f t="shared" si="428"/>
        <v/>
      </c>
      <c r="RS81" s="21" t="str">
        <f t="shared" si="429"/>
        <v/>
      </c>
      <c r="RT81" s="21" t="str">
        <f t="shared" si="430"/>
        <v/>
      </c>
      <c r="RU81" s="21" t="str">
        <f t="shared" si="431"/>
        <v/>
      </c>
      <c r="RV81" s="21">
        <f t="shared" si="432"/>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4"/>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25.443835616438356</v>
      </c>
      <c r="O82" s="22">
        <v>44943</v>
      </c>
      <c r="P82" s="214" t="str">
        <f t="shared" si="438"/>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9"/>
        <v>SALE SIN PLAN DE PARTO</v>
      </c>
      <c r="DV82" s="226" t="str">
        <f t="shared" si="440"/>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4">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1"/>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2"/>
        <v>16.714285714285715</v>
      </c>
      <c r="FP82" s="22"/>
      <c r="FQ82" s="32"/>
      <c r="FR82" s="29" t="str">
        <f t="shared" ca="1" si="443"/>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4"/>
        <v>16.714285714285715</v>
      </c>
      <c r="GE82" s="22"/>
      <c r="GF82" s="22"/>
      <c r="GG82" s="29" t="str">
        <f t="shared" ca="1" si="445"/>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t="str">
        <f t="shared" ca="1" si="289"/>
        <v>**********************MULTIPARIDAD*****************</v>
      </c>
      <c r="HK82" s="21" t="str">
        <f t="shared" si="290"/>
        <v>SIN ANTECEDENTES DE RIESGO</v>
      </c>
      <c r="HL82" s="24" t="str">
        <f t="shared" si="291"/>
        <v>APARENTEMENTE NORMAL</v>
      </c>
      <c r="HM82" s="21" t="str">
        <f t="shared" ca="1" si="292"/>
        <v/>
      </c>
      <c r="HN82" s="30" t="str">
        <f t="shared" si="446"/>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3"/>
        <v>10.142857142857142</v>
      </c>
      <c r="IA82" s="26" t="s">
        <v>864</v>
      </c>
      <c r="IB82" s="26"/>
      <c r="IC82" s="111"/>
      <c r="ID82" s="22"/>
      <c r="IE82" s="22" t="str">
        <f t="shared" ca="1" si="294"/>
        <v>SALE SIN VACUNA</v>
      </c>
      <c r="IF82" s="22"/>
      <c r="IG82" s="22">
        <f t="shared" si="295"/>
        <v>45152</v>
      </c>
      <c r="IH82" s="29">
        <f t="shared" ca="1" si="296"/>
        <v>-80</v>
      </c>
      <c r="II82" s="22" t="str">
        <f t="shared" ca="1" si="297"/>
        <v>POSIBLEMENTE NACIO</v>
      </c>
      <c r="IJ82" s="22"/>
      <c r="IK82" s="21" t="s">
        <v>1652</v>
      </c>
      <c r="IL82" s="21" t="s">
        <v>1639</v>
      </c>
      <c r="IM82" s="34"/>
      <c r="IN82" s="349">
        <v>45140</v>
      </c>
      <c r="IO82" s="21" t="s">
        <v>1186</v>
      </c>
      <c r="IP82" s="29">
        <f t="shared" si="436"/>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7"/>
        <v>PESO ADECUADO EDAD GESTACIONAL</v>
      </c>
      <c r="JF82" s="30"/>
      <c r="JG82" s="21"/>
      <c r="JH82" s="21"/>
      <c r="JI82" s="21" t="s">
        <v>854</v>
      </c>
      <c r="JJ82" s="30" t="s">
        <v>866</v>
      </c>
      <c r="JK82" s="22"/>
      <c r="JL82" s="22"/>
      <c r="JM82" s="21"/>
      <c r="JN82" s="36"/>
      <c r="JO82" s="21" t="str">
        <f t="shared" si="448"/>
        <v/>
      </c>
      <c r="JP82" s="22"/>
      <c r="JQ82" s="21"/>
      <c r="JR82" s="21"/>
      <c r="JS82" s="21"/>
      <c r="JT82" s="30"/>
      <c r="JU82" s="22"/>
      <c r="JV82" s="22"/>
      <c r="JW82" s="33"/>
      <c r="JX82" s="28" t="str">
        <f t="shared" si="449"/>
        <v>INASISTENTE</v>
      </c>
      <c r="JY82" s="33"/>
      <c r="JZ82" s="28" t="str">
        <f t="shared" si="450"/>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3"/>
        <v>0</v>
      </c>
      <c r="MI82" s="43" t="str">
        <f t="shared" si="304"/>
        <v/>
      </c>
      <c r="MJ82" s="43" t="str">
        <f t="shared" si="305"/>
        <v/>
      </c>
      <c r="MK82" s="43">
        <f t="shared" si="306"/>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7"/>
        <v>10.142857142857142</v>
      </c>
      <c r="MN82" s="43">
        <f t="shared" si="308"/>
        <v>1</v>
      </c>
      <c r="MO82" s="43">
        <f t="shared" si="309"/>
        <v>2023</v>
      </c>
      <c r="MP82" s="43" t="str">
        <f t="shared" si="310"/>
        <v>I TRIMESTRE AÑO</v>
      </c>
      <c r="MQ82" s="43">
        <f t="shared" si="311"/>
        <v>24.274529128339903</v>
      </c>
      <c r="MR82" s="43">
        <f t="shared" si="312"/>
        <v>0</v>
      </c>
      <c r="MS82" s="43" t="str">
        <f t="shared" si="313"/>
        <v xml:space="preserve"> DE 20 A 24 AÑOS</v>
      </c>
      <c r="MT82" s="43">
        <f t="shared" si="314"/>
        <v>0</v>
      </c>
      <c r="MU82" s="43">
        <f t="shared" si="315"/>
        <v>1</v>
      </c>
      <c r="MV82" s="43">
        <f t="shared" si="316"/>
        <v>0</v>
      </c>
      <c r="MW82" s="43">
        <f t="shared" si="317"/>
        <v>0</v>
      </c>
      <c r="MX82" s="43" t="str">
        <f t="shared" si="318"/>
        <v/>
      </c>
      <c r="MY82" s="43" t="str">
        <f t="shared" ca="1" si="451"/>
        <v/>
      </c>
      <c r="MZ82" s="43" t="str">
        <f t="shared" si="319"/>
        <v/>
      </c>
      <c r="NA82" s="43" t="str">
        <f t="shared" si="320"/>
        <v/>
      </c>
      <c r="NB82" s="43" t="str">
        <f t="shared" si="321"/>
        <v/>
      </c>
      <c r="NC82" s="43" t="str">
        <f t="shared" si="322"/>
        <v/>
      </c>
      <c r="ND82" s="43">
        <f t="shared" ca="1" si="323"/>
        <v>1</v>
      </c>
      <c r="NE82" s="43">
        <f>IF(OR(O82&gt;0,R82&gt;0),SUM(COUNTIF(Tabla1[[#This Row],[AÑOS AL INICIO5 CPN]],"&gt;=40"),COUNTIF(AS82,"0"),COUNTIF(AR82,"SI"),COUNTIF(CC82,"SI"),COUNTIF(BQ82,"&gt;119"),COUNTIF(CI82,"&gt;=35")),"")</f>
        <v>1</v>
      </c>
      <c r="NF82" s="43" t="str">
        <f t="shared" si="324"/>
        <v/>
      </c>
      <c r="NG82" s="43">
        <f t="shared" si="325"/>
        <v>0</v>
      </c>
      <c r="NH82" s="43">
        <f t="shared" si="326"/>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7"/>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8"/>
        <v>I TRIM</v>
      </c>
      <c r="NQ82" s="21" t="str">
        <f t="shared" si="437"/>
        <v/>
      </c>
      <c r="NR82" s="21">
        <f t="shared" si="452"/>
        <v>3</v>
      </c>
      <c r="NS82" s="205">
        <f t="shared" ca="1" si="329"/>
        <v>1</v>
      </c>
      <c r="NT82" s="21">
        <f t="shared" ca="1" si="330"/>
        <v>2</v>
      </c>
      <c r="NU82" s="21" t="str">
        <f t="shared" ca="1" si="331"/>
        <v>INCOMPLETO</v>
      </c>
      <c r="NV82" s="21" t="str">
        <f t="shared" ca="1" si="332"/>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3"/>
        <v>SIN VACUNAR</v>
      </c>
      <c r="NY82" s="43">
        <f>ROW(Tabla1[[#This Row],['# DE TAMIZAJES SIFILIS TOMADOS ]])</f>
        <v>82</v>
      </c>
      <c r="NZ82" s="43">
        <f t="shared" si="334"/>
        <v>10</v>
      </c>
      <c r="OA82" s="43" t="str">
        <f t="shared" si="335"/>
        <v/>
      </c>
      <c r="OB82" s="43" t="str">
        <f t="shared" si="336"/>
        <v>SOBREPESO</v>
      </c>
      <c r="OC82" s="43" t="str">
        <f t="shared" si="337"/>
        <v/>
      </c>
      <c r="OD82" s="43" t="str">
        <f t="shared" si="338"/>
        <v/>
      </c>
      <c r="OE82" s="43" t="str">
        <f t="shared" si="339"/>
        <v/>
      </c>
      <c r="OF82" s="43" t="str">
        <f t="shared" si="340"/>
        <v/>
      </c>
      <c r="OG82" s="43" t="str">
        <f t="shared" si="341"/>
        <v/>
      </c>
      <c r="OH82" s="43" t="str">
        <f t="shared" si="342"/>
        <v/>
      </c>
      <c r="OI82" s="43" t="str">
        <f t="shared" si="343"/>
        <v/>
      </c>
      <c r="OJ82" s="43" t="str">
        <f t="shared" si="344"/>
        <v/>
      </c>
      <c r="OK82" s="43" t="str">
        <f t="shared" si="345"/>
        <v/>
      </c>
      <c r="OL82" s="43" t="str">
        <f t="shared" si="346"/>
        <v/>
      </c>
      <c r="OM82" s="43" t="str">
        <f t="shared" si="347"/>
        <v/>
      </c>
      <c r="ON82" s="43" t="str">
        <f t="shared" si="348"/>
        <v/>
      </c>
      <c r="OO82" s="43" t="str">
        <f t="shared" si="349"/>
        <v/>
      </c>
      <c r="OP82" s="43" t="str">
        <f t="shared" si="350"/>
        <v/>
      </c>
      <c r="OQ82" s="43" t="str">
        <f t="shared" si="351"/>
        <v/>
      </c>
      <c r="OR82" s="43" t="str">
        <f t="shared" si="352"/>
        <v/>
      </c>
      <c r="OS82" s="43" t="str">
        <f t="shared" si="353"/>
        <v/>
      </c>
      <c r="OT82" s="43" t="str">
        <f t="shared" si="354"/>
        <v/>
      </c>
      <c r="OU82" s="43" t="str">
        <f t="shared" si="355"/>
        <v/>
      </c>
      <c r="OV82" s="110" t="str">
        <f t="shared" si="356"/>
        <v/>
      </c>
      <c r="OW82" s="43" t="str">
        <f t="shared" si="357"/>
        <v/>
      </c>
      <c r="OX82" s="43" t="str">
        <f t="shared" si="358"/>
        <v/>
      </c>
      <c r="OY82" s="43" t="str">
        <f t="shared" si="359"/>
        <v/>
      </c>
      <c r="OZ82" s="43" t="str">
        <f t="shared" si="360"/>
        <v/>
      </c>
      <c r="PA82" s="43" t="str">
        <f t="shared" si="361"/>
        <v/>
      </c>
      <c r="PB82" s="43" t="str">
        <f t="shared" si="362"/>
        <v/>
      </c>
      <c r="PC82" s="43" t="str">
        <f t="shared" si="363"/>
        <v/>
      </c>
      <c r="PD82" s="43" t="str">
        <f t="shared" si="364"/>
        <v/>
      </c>
      <c r="PE82" s="43" t="str">
        <f t="shared" si="365"/>
        <v/>
      </c>
      <c r="PF82" s="43" t="str">
        <f t="shared" si="366"/>
        <v/>
      </c>
      <c r="PG82" s="43" t="str">
        <f t="shared" si="367"/>
        <v/>
      </c>
      <c r="PH82" s="43" t="str">
        <f t="shared" si="368"/>
        <v/>
      </c>
      <c r="PI82" s="43">
        <f t="shared" si="369"/>
        <v>27</v>
      </c>
      <c r="PJ82" s="43" t="str">
        <f t="shared" si="370"/>
        <v/>
      </c>
      <c r="PK82" s="43" t="str">
        <f t="shared" si="371"/>
        <v/>
      </c>
      <c r="PL82" s="43" t="str">
        <f t="shared" si="372"/>
        <v/>
      </c>
      <c r="PM82" s="43" t="str">
        <f t="shared" si="373"/>
        <v/>
      </c>
      <c r="PN82" s="43" t="str">
        <f t="shared" si="374"/>
        <v/>
      </c>
      <c r="PO82" s="43" t="str">
        <f t="shared" si="375"/>
        <v/>
      </c>
      <c r="PP82" s="43" t="str">
        <f t="shared" si="376"/>
        <v/>
      </c>
      <c r="PQ82" s="43" t="str">
        <f t="shared" si="377"/>
        <v/>
      </c>
      <c r="PR82" s="43" t="str">
        <f t="shared" si="378"/>
        <v/>
      </c>
      <c r="PS82" s="43" t="str">
        <f t="shared" si="379"/>
        <v/>
      </c>
      <c r="PT82" s="43" t="str">
        <f t="shared" si="380"/>
        <v/>
      </c>
      <c r="PU82" s="43" t="str">
        <f t="shared" si="381"/>
        <v/>
      </c>
      <c r="PV82" s="43" t="str">
        <f t="shared" si="382"/>
        <v/>
      </c>
      <c r="PW82" s="43" t="str">
        <f t="shared" si="383"/>
        <v/>
      </c>
      <c r="PX82" s="43" t="str">
        <f t="shared" si="384"/>
        <v/>
      </c>
      <c r="PY82" s="43" t="str">
        <f t="shared" si="385"/>
        <v/>
      </c>
      <c r="PZ82" s="43" t="str">
        <f t="shared" si="386"/>
        <v/>
      </c>
      <c r="QA82" s="43" t="str">
        <f t="shared" si="387"/>
        <v/>
      </c>
      <c r="QB82" s="43" t="str">
        <f t="shared" si="388"/>
        <v>OBESIDAD</v>
      </c>
      <c r="QC82" s="43" t="str">
        <f t="shared" si="389"/>
        <v/>
      </c>
      <c r="QD82" s="43" t="str">
        <f t="shared" si="390"/>
        <v/>
      </c>
      <c r="QE82" s="43" t="str">
        <f t="shared" si="391"/>
        <v/>
      </c>
      <c r="QF82" s="43" t="str">
        <f t="shared" si="392"/>
        <v/>
      </c>
      <c r="QG82" s="43" t="str">
        <f t="shared" si="393"/>
        <v/>
      </c>
      <c r="QH82" s="43" t="str">
        <f t="shared" si="394"/>
        <v/>
      </c>
      <c r="QI82" s="43" t="str">
        <f t="shared" si="395"/>
        <v/>
      </c>
      <c r="QJ82" s="43" t="str">
        <f t="shared" si="396"/>
        <v/>
      </c>
      <c r="QK82" s="43" t="str">
        <f t="shared" si="397"/>
        <v/>
      </c>
      <c r="QL82" s="43" t="str">
        <f t="shared" si="398"/>
        <v/>
      </c>
      <c r="QM82" s="43" t="str">
        <f t="shared" si="399"/>
        <v/>
      </c>
      <c r="QN82" s="43" t="str">
        <f t="shared" si="400"/>
        <v/>
      </c>
      <c r="QO82" s="43" t="str">
        <f t="shared" si="401"/>
        <v/>
      </c>
      <c r="QP82" s="43" t="str">
        <f t="shared" si="402"/>
        <v/>
      </c>
      <c r="QQ82" s="43" t="str">
        <f t="shared" si="403"/>
        <v/>
      </c>
      <c r="QR82" s="43">
        <f t="shared" si="433"/>
        <v>27</v>
      </c>
      <c r="QS82" s="43"/>
      <c r="QT82" s="21" t="str">
        <f t="shared" si="404"/>
        <v/>
      </c>
      <c r="QU82" s="21" t="str">
        <f t="shared" si="405"/>
        <v/>
      </c>
      <c r="QV82" s="21" t="str">
        <f t="shared" si="406"/>
        <v/>
      </c>
      <c r="QW82" s="21" t="str">
        <f t="shared" si="407"/>
        <v/>
      </c>
      <c r="QX82" s="21" t="str">
        <f t="shared" si="408"/>
        <v/>
      </c>
      <c r="QY82" s="21" t="str">
        <f t="shared" si="409"/>
        <v/>
      </c>
      <c r="QZ82" s="21" t="str">
        <f t="shared" si="410"/>
        <v/>
      </c>
      <c r="RA82" s="21" t="str">
        <f t="shared" si="411"/>
        <v/>
      </c>
      <c r="RB82" s="21" t="str">
        <f t="shared" si="412"/>
        <v/>
      </c>
      <c r="RC82" s="21" t="str">
        <f t="shared" si="413"/>
        <v/>
      </c>
      <c r="RD82" s="21" t="str">
        <f t="shared" si="414"/>
        <v/>
      </c>
      <c r="RE82" s="21" t="str">
        <f t="shared" si="415"/>
        <v/>
      </c>
      <c r="RF82" s="21" t="str">
        <f t="shared" si="416"/>
        <v/>
      </c>
      <c r="RG82" s="21" t="str">
        <f t="shared" si="417"/>
        <v/>
      </c>
      <c r="RH82" s="21" t="str">
        <f t="shared" si="418"/>
        <v>ALTO PARA EDAD GESTACIONAL</v>
      </c>
      <c r="RI82" s="21" t="str">
        <f t="shared" si="419"/>
        <v/>
      </c>
      <c r="RJ82" s="21" t="str">
        <f t="shared" si="420"/>
        <v/>
      </c>
      <c r="RK82" s="21" t="str">
        <f t="shared" si="421"/>
        <v/>
      </c>
      <c r="RL82" s="21" t="str">
        <f t="shared" si="422"/>
        <v/>
      </c>
      <c r="RM82" s="21" t="str">
        <f t="shared" si="423"/>
        <v/>
      </c>
      <c r="RN82" s="21" t="str">
        <f t="shared" si="424"/>
        <v/>
      </c>
      <c r="RO82" s="21" t="str">
        <f t="shared" si="425"/>
        <v/>
      </c>
      <c r="RP82" s="21" t="str">
        <f t="shared" si="426"/>
        <v/>
      </c>
      <c r="RQ82" s="21" t="str">
        <f t="shared" si="427"/>
        <v/>
      </c>
      <c r="RR82" s="21" t="str">
        <f t="shared" si="428"/>
        <v/>
      </c>
      <c r="RS82" s="21" t="str">
        <f t="shared" si="429"/>
        <v/>
      </c>
      <c r="RT82" s="21" t="str">
        <f t="shared" si="430"/>
        <v/>
      </c>
      <c r="RU82" s="21" t="str">
        <f t="shared" si="431"/>
        <v/>
      </c>
      <c r="RV82" s="21">
        <f t="shared" si="432"/>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4"/>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23.476712328767125</v>
      </c>
      <c r="O83" s="22">
        <v>44958</v>
      </c>
      <c r="P83" s="214" t="str">
        <f t="shared" si="438"/>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9"/>
        <v>SALE SIN PLAN DE PARTO</v>
      </c>
      <c r="DV83" s="226" t="str">
        <f t="shared" si="440"/>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1"/>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2"/>
        <v>14.142857142857142</v>
      </c>
      <c r="FP83" s="22" t="s">
        <v>867</v>
      </c>
      <c r="FQ83" s="32">
        <v>45051</v>
      </c>
      <c r="FR83" s="29">
        <f t="shared" ca="1" si="443"/>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4"/>
        <v>14.142857142857142</v>
      </c>
      <c r="GE83" s="22" t="s">
        <v>868</v>
      </c>
      <c r="GF83" s="22">
        <v>45126</v>
      </c>
      <c r="GG83" s="29">
        <f t="shared" ca="1" si="445"/>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t="str">
        <f t="shared" ca="1" si="289"/>
        <v>***************************************</v>
      </c>
      <c r="HK83" s="21" t="str">
        <f t="shared" si="290"/>
        <v>SIN ANTECEDENTES DE RIESGO</v>
      </c>
      <c r="HL83" s="24" t="str">
        <f t="shared" si="291"/>
        <v>VIGILAR CIFRAS PRESION ARTERIAL</v>
      </c>
      <c r="HM83" s="21" t="str">
        <f t="shared" ca="1" si="292"/>
        <v/>
      </c>
      <c r="HN83" s="30" t="str">
        <f t="shared" si="446"/>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3"/>
        <v>14.142857142857142</v>
      </c>
      <c r="IA83" s="26"/>
      <c r="IB83" s="26"/>
      <c r="IC83" s="111">
        <v>44960</v>
      </c>
      <c r="ID83" s="22"/>
      <c r="IE83" s="22" t="str">
        <f t="shared" ca="1" si="294"/>
        <v>SALE SIN VACUNA</v>
      </c>
      <c r="IF83" s="22"/>
      <c r="IG83" s="22">
        <f t="shared" si="295"/>
        <v>45141</v>
      </c>
      <c r="IH83" s="29">
        <f t="shared" ca="1" si="296"/>
        <v>-91</v>
      </c>
      <c r="II83" s="22" t="str">
        <f t="shared" ca="1" si="297"/>
        <v>POSIBLEMENTE NACIO</v>
      </c>
      <c r="IJ83" s="22"/>
      <c r="IK83" s="21" t="s">
        <v>1652</v>
      </c>
      <c r="IL83" s="21"/>
      <c r="IM83" s="34"/>
      <c r="IN83" s="349">
        <v>45141</v>
      </c>
      <c r="IO83" s="21" t="s">
        <v>1186</v>
      </c>
      <c r="IP83" s="29">
        <f t="shared" si="436"/>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7"/>
        <v>PESO ADECUADO EDAD GESTACIONAL</v>
      </c>
      <c r="JF83" s="30"/>
      <c r="JG83" s="21"/>
      <c r="JH83" s="21"/>
      <c r="JI83" s="21" t="s">
        <v>854</v>
      </c>
      <c r="JJ83" s="30" t="s">
        <v>866</v>
      </c>
      <c r="JK83" s="22"/>
      <c r="JL83" s="22"/>
      <c r="JM83" s="21"/>
      <c r="JN83" s="36"/>
      <c r="JO83" s="21" t="str">
        <f t="shared" si="448"/>
        <v/>
      </c>
      <c r="JP83" s="22"/>
      <c r="JQ83" s="21"/>
      <c r="JR83" s="21"/>
      <c r="JS83" s="21"/>
      <c r="JT83" s="30"/>
      <c r="JU83" s="22"/>
      <c r="JV83" s="22"/>
      <c r="JW83" s="33"/>
      <c r="JX83" s="28" t="str">
        <f t="shared" si="449"/>
        <v>INASISTENTE</v>
      </c>
      <c r="JY83" s="33"/>
      <c r="JZ83" s="28" t="str">
        <f t="shared" si="450"/>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3"/>
        <v>0</v>
      </c>
      <c r="MI83" s="43" t="str">
        <f t="shared" si="304"/>
        <v/>
      </c>
      <c r="MJ83" s="43" t="str">
        <f t="shared" si="305"/>
        <v/>
      </c>
      <c r="MK83" s="43">
        <f t="shared" si="306"/>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7"/>
        <v>13.857142857142858</v>
      </c>
      <c r="MN83" s="43">
        <f t="shared" si="308"/>
        <v>2</v>
      </c>
      <c r="MO83" s="43">
        <f t="shared" si="309"/>
        <v>2023</v>
      </c>
      <c r="MP83" s="43" t="str">
        <f t="shared" si="310"/>
        <v>I TRIMESTRE AÑO</v>
      </c>
      <c r="MQ83" s="43">
        <f t="shared" si="311"/>
        <v>22.377354358300479</v>
      </c>
      <c r="MR83" s="43">
        <f t="shared" si="312"/>
        <v>0</v>
      </c>
      <c r="MS83" s="43" t="str">
        <f t="shared" si="313"/>
        <v xml:space="preserve"> DE 20 A 24 AÑOS</v>
      </c>
      <c r="MT83" s="43">
        <f t="shared" si="314"/>
        <v>0</v>
      </c>
      <c r="MU83" s="43">
        <f t="shared" si="315"/>
        <v>0</v>
      </c>
      <c r="MV83" s="43">
        <f t="shared" si="316"/>
        <v>0</v>
      </c>
      <c r="MW83" s="43">
        <f t="shared" si="317"/>
        <v>0</v>
      </c>
      <c r="MX83" s="43" t="str">
        <f t="shared" si="318"/>
        <v/>
      </c>
      <c r="MY83" s="43" t="str">
        <f t="shared" ca="1" si="451"/>
        <v/>
      </c>
      <c r="MZ83" s="43" t="str">
        <f t="shared" si="319"/>
        <v/>
      </c>
      <c r="NA83" s="43" t="str">
        <f t="shared" si="320"/>
        <v/>
      </c>
      <c r="NB83" s="43" t="str">
        <f t="shared" si="321"/>
        <v/>
      </c>
      <c r="NC83" s="43" t="str">
        <f t="shared" si="322"/>
        <v/>
      </c>
      <c r="ND83" s="43">
        <f t="shared" ca="1" si="323"/>
        <v>0</v>
      </c>
      <c r="NE83" s="43">
        <f>IF(OR(O83&gt;0,R83&gt;0),SUM(COUNTIF(Tabla1[[#This Row],[AÑOS AL INICIO5 CPN]],"&gt;=40"),COUNTIF(AS83,"0"),COUNTIF(AR83,"SI"),COUNTIF(CC83,"SI"),COUNTIF(BQ83,"&gt;119"),COUNTIF(CI83,"&gt;=35")),"")</f>
        <v>0</v>
      </c>
      <c r="NF83" s="43" t="str">
        <f t="shared" si="324"/>
        <v/>
      </c>
      <c r="NG83" s="43">
        <f t="shared" si="325"/>
        <v>0</v>
      </c>
      <c r="NH83" s="43">
        <f t="shared" si="326"/>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7"/>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8"/>
        <v>II TRIM</v>
      </c>
      <c r="NQ83" s="21">
        <f t="shared" si="437"/>
        <v>3</v>
      </c>
      <c r="NR83" s="21">
        <f t="shared" si="452"/>
        <v>2</v>
      </c>
      <c r="NS83" s="205">
        <f t="shared" ca="1" si="329"/>
        <v>2</v>
      </c>
      <c r="NT83" s="21">
        <f t="shared" ca="1" si="330"/>
        <v>2</v>
      </c>
      <c r="NU83" s="21" t="str">
        <f t="shared" ca="1" si="331"/>
        <v>COMPLETO</v>
      </c>
      <c r="NV83" s="21" t="str">
        <f t="shared" ca="1" si="332"/>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3"/>
        <v>SIN VACUNAR</v>
      </c>
      <c r="NY83" s="43">
        <f>ROW(Tabla1[[#This Row],['# DE TAMIZAJES SIFILIS TOMADOS ]])</f>
        <v>83</v>
      </c>
      <c r="NZ83" s="43">
        <f t="shared" si="334"/>
        <v>13</v>
      </c>
      <c r="OA83" s="43" t="str">
        <f t="shared" si="335"/>
        <v/>
      </c>
      <c r="OB83" s="43" t="str">
        <f t="shared" si="336"/>
        <v/>
      </c>
      <c r="OC83" s="43" t="str">
        <f t="shared" si="337"/>
        <v/>
      </c>
      <c r="OD83" s="43" t="str">
        <f t="shared" si="338"/>
        <v/>
      </c>
      <c r="OE83" s="43" t="str">
        <f t="shared" si="339"/>
        <v>SOBREPESO</v>
      </c>
      <c r="OF83" s="43" t="str">
        <f t="shared" si="340"/>
        <v/>
      </c>
      <c r="OG83" s="43" t="str">
        <f t="shared" si="341"/>
        <v/>
      </c>
      <c r="OH83" s="43" t="str">
        <f t="shared" si="342"/>
        <v/>
      </c>
      <c r="OI83" s="43" t="str">
        <f t="shared" si="343"/>
        <v/>
      </c>
      <c r="OJ83" s="43" t="str">
        <f t="shared" si="344"/>
        <v/>
      </c>
      <c r="OK83" s="43" t="str">
        <f t="shared" si="345"/>
        <v/>
      </c>
      <c r="OL83" s="43" t="str">
        <f t="shared" si="346"/>
        <v/>
      </c>
      <c r="OM83" s="43" t="str">
        <f t="shared" si="347"/>
        <v/>
      </c>
      <c r="ON83" s="43" t="str">
        <f t="shared" si="348"/>
        <v/>
      </c>
      <c r="OO83" s="43" t="str">
        <f t="shared" si="349"/>
        <v/>
      </c>
      <c r="OP83" s="43" t="str">
        <f t="shared" si="350"/>
        <v/>
      </c>
      <c r="OQ83" s="43" t="str">
        <f t="shared" si="351"/>
        <v/>
      </c>
      <c r="OR83" s="43" t="str">
        <f t="shared" si="352"/>
        <v/>
      </c>
      <c r="OS83" s="43" t="str">
        <f t="shared" si="353"/>
        <v/>
      </c>
      <c r="OT83" s="43" t="str">
        <f t="shared" si="354"/>
        <v/>
      </c>
      <c r="OU83" s="43" t="str">
        <f t="shared" si="355"/>
        <v/>
      </c>
      <c r="OV83" s="110" t="str">
        <f t="shared" si="356"/>
        <v/>
      </c>
      <c r="OW83" s="43" t="str">
        <f t="shared" si="357"/>
        <v/>
      </c>
      <c r="OX83" s="43" t="str">
        <f t="shared" si="358"/>
        <v/>
      </c>
      <c r="OY83" s="43" t="str">
        <f t="shared" si="359"/>
        <v/>
      </c>
      <c r="OZ83" s="43" t="str">
        <f t="shared" si="360"/>
        <v/>
      </c>
      <c r="PA83" s="43" t="str">
        <f t="shared" si="361"/>
        <v/>
      </c>
      <c r="PB83" s="43" t="str">
        <f t="shared" si="362"/>
        <v/>
      </c>
      <c r="PC83" s="43" t="str">
        <f t="shared" si="363"/>
        <v/>
      </c>
      <c r="PD83" s="43" t="str">
        <f t="shared" si="364"/>
        <v/>
      </c>
      <c r="PE83" s="43" t="str">
        <f t="shared" si="365"/>
        <v/>
      </c>
      <c r="PF83" s="43" t="str">
        <f t="shared" si="366"/>
        <v/>
      </c>
      <c r="PG83" s="43" t="str">
        <f t="shared" si="367"/>
        <v/>
      </c>
      <c r="PH83" s="43" t="str">
        <f t="shared" si="368"/>
        <v/>
      </c>
      <c r="PI83" s="43">
        <f t="shared" si="369"/>
        <v>39</v>
      </c>
      <c r="PJ83" s="43" t="str">
        <f t="shared" si="370"/>
        <v/>
      </c>
      <c r="PK83" s="43" t="str">
        <f t="shared" si="371"/>
        <v/>
      </c>
      <c r="PL83" s="43" t="str">
        <f t="shared" si="372"/>
        <v/>
      </c>
      <c r="PM83" s="43" t="str">
        <f t="shared" si="373"/>
        <v/>
      </c>
      <c r="PN83" s="43" t="str">
        <f t="shared" si="374"/>
        <v/>
      </c>
      <c r="PO83" s="43" t="str">
        <f t="shared" si="375"/>
        <v/>
      </c>
      <c r="PP83" s="43" t="str">
        <f t="shared" si="376"/>
        <v/>
      </c>
      <c r="PQ83" s="43" t="str">
        <f t="shared" si="377"/>
        <v/>
      </c>
      <c r="PR83" s="43" t="str">
        <f t="shared" si="378"/>
        <v/>
      </c>
      <c r="PS83" s="43" t="str">
        <f t="shared" si="379"/>
        <v/>
      </c>
      <c r="PT83" s="43" t="str">
        <f t="shared" si="380"/>
        <v/>
      </c>
      <c r="PU83" s="43" t="str">
        <f t="shared" si="381"/>
        <v/>
      </c>
      <c r="PV83" s="43" t="str">
        <f t="shared" si="382"/>
        <v/>
      </c>
      <c r="PW83" s="43" t="str">
        <f t="shared" si="383"/>
        <v/>
      </c>
      <c r="PX83" s="43" t="str">
        <f t="shared" si="384"/>
        <v/>
      </c>
      <c r="PY83" s="43" t="str">
        <f t="shared" si="385"/>
        <v/>
      </c>
      <c r="PZ83" s="43" t="str">
        <f t="shared" si="386"/>
        <v/>
      </c>
      <c r="QA83" s="43" t="str">
        <f t="shared" si="387"/>
        <v/>
      </c>
      <c r="QB83" s="43" t="str">
        <f t="shared" si="388"/>
        <v/>
      </c>
      <c r="QC83" s="43" t="str">
        <f t="shared" si="389"/>
        <v/>
      </c>
      <c r="QD83" s="43" t="str">
        <f t="shared" si="390"/>
        <v/>
      </c>
      <c r="QE83" s="43" t="str">
        <f t="shared" si="391"/>
        <v/>
      </c>
      <c r="QF83" s="43" t="str">
        <f t="shared" si="392"/>
        <v/>
      </c>
      <c r="QG83" s="43" t="str">
        <f t="shared" si="393"/>
        <v/>
      </c>
      <c r="QH83" s="43" t="str">
        <f t="shared" si="394"/>
        <v/>
      </c>
      <c r="QI83" s="43" t="str">
        <f t="shared" si="395"/>
        <v/>
      </c>
      <c r="QJ83" s="43" t="str">
        <f t="shared" si="396"/>
        <v/>
      </c>
      <c r="QK83" s="43" t="str">
        <f t="shared" si="397"/>
        <v/>
      </c>
      <c r="QL83" s="43" t="str">
        <f t="shared" si="398"/>
        <v/>
      </c>
      <c r="QM83" s="43" t="str">
        <f t="shared" si="399"/>
        <v/>
      </c>
      <c r="QN83" s="43" t="str">
        <f t="shared" si="400"/>
        <v>OBESIDAD</v>
      </c>
      <c r="QO83" s="43" t="str">
        <f t="shared" si="401"/>
        <v/>
      </c>
      <c r="QP83" s="43" t="str">
        <f t="shared" si="402"/>
        <v/>
      </c>
      <c r="QQ83" s="43" t="str">
        <f t="shared" si="403"/>
        <v/>
      </c>
      <c r="QR83" s="43">
        <f t="shared" si="433"/>
        <v>39</v>
      </c>
      <c r="QS83" s="43"/>
      <c r="QT83" s="21" t="str">
        <f t="shared" si="404"/>
        <v/>
      </c>
      <c r="QU83" s="21" t="str">
        <f t="shared" si="405"/>
        <v/>
      </c>
      <c r="QV83" s="21" t="str">
        <f t="shared" si="406"/>
        <v/>
      </c>
      <c r="QW83" s="21" t="str">
        <f t="shared" si="407"/>
        <v/>
      </c>
      <c r="QX83" s="21" t="str">
        <f t="shared" si="408"/>
        <v/>
      </c>
      <c r="QY83" s="21" t="str">
        <f t="shared" si="409"/>
        <v/>
      </c>
      <c r="QZ83" s="21" t="str">
        <f t="shared" si="410"/>
        <v/>
      </c>
      <c r="RA83" s="21" t="str">
        <f t="shared" si="411"/>
        <v/>
      </c>
      <c r="RB83" s="21" t="str">
        <f t="shared" si="412"/>
        <v/>
      </c>
      <c r="RC83" s="21" t="str">
        <f t="shared" si="413"/>
        <v/>
      </c>
      <c r="RD83" s="21" t="str">
        <f t="shared" si="414"/>
        <v/>
      </c>
      <c r="RE83" s="21" t="str">
        <f t="shared" si="415"/>
        <v/>
      </c>
      <c r="RF83" s="21" t="str">
        <f t="shared" si="416"/>
        <v/>
      </c>
      <c r="RG83" s="21" t="str">
        <f t="shared" si="417"/>
        <v/>
      </c>
      <c r="RH83" s="21" t="str">
        <f t="shared" si="418"/>
        <v/>
      </c>
      <c r="RI83" s="21" t="str">
        <f t="shared" si="419"/>
        <v/>
      </c>
      <c r="RJ83" s="21" t="str">
        <f t="shared" si="420"/>
        <v/>
      </c>
      <c r="RK83" s="21" t="str">
        <f t="shared" si="421"/>
        <v/>
      </c>
      <c r="RL83" s="21" t="str">
        <f t="shared" si="422"/>
        <v/>
      </c>
      <c r="RM83" s="21" t="str">
        <f t="shared" si="423"/>
        <v/>
      </c>
      <c r="RN83" s="21" t="str">
        <f t="shared" si="424"/>
        <v/>
      </c>
      <c r="RO83" s="21" t="str">
        <f t="shared" si="425"/>
        <v/>
      </c>
      <c r="RP83" s="21" t="str">
        <f t="shared" si="426"/>
        <v/>
      </c>
      <c r="RQ83" s="21" t="str">
        <f t="shared" si="427"/>
        <v/>
      </c>
      <c r="RR83" s="21" t="str">
        <f t="shared" si="428"/>
        <v/>
      </c>
      <c r="RS83" s="21" t="str">
        <f t="shared" si="429"/>
        <v/>
      </c>
      <c r="RT83" s="21" t="str">
        <f t="shared" si="430"/>
        <v>ALTO PARA EDAD GESTACIONAL</v>
      </c>
      <c r="RU83" s="21" t="str">
        <f t="shared" si="431"/>
        <v/>
      </c>
      <c r="RV83" s="21">
        <f t="shared" si="432"/>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4"/>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22.005479452054793</v>
      </c>
      <c r="O84" s="22">
        <v>44958</v>
      </c>
      <c r="P84" s="214" t="str">
        <f t="shared" si="438"/>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9"/>
        <v>SALE SIN PLAN DE PARTO</v>
      </c>
      <c r="DV84" s="226" t="str">
        <f t="shared" si="440"/>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1"/>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2"/>
        <v>20.857142857142858</v>
      </c>
      <c r="FP84" s="22"/>
      <c r="FQ84" s="32"/>
      <c r="FR84" s="29" t="str">
        <f t="shared" ca="1" si="443"/>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4"/>
        <v>20.857142857142858</v>
      </c>
      <c r="GE84" s="22"/>
      <c r="GF84" s="22"/>
      <c r="GG84" s="29" t="str">
        <f t="shared" ca="1" si="445"/>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t="str">
        <f t="shared" ca="1" si="289"/>
        <v>*****************DIABETES GESTACIONAL**********************</v>
      </c>
      <c r="HK84" s="21" t="str">
        <f t="shared" si="290"/>
        <v>SIN ANTECEDENTES DE RIESGO</v>
      </c>
      <c r="HL84" s="24" t="str">
        <f t="shared" si="291"/>
        <v>APARENTEMENTE NORMAL</v>
      </c>
      <c r="HM84" s="21" t="str">
        <f t="shared" ca="1" si="292"/>
        <v/>
      </c>
      <c r="HN84" s="30" t="str">
        <f t="shared" si="446"/>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3"/>
        <v>20.714285714285715</v>
      </c>
      <c r="IA84" s="26"/>
      <c r="IB84" s="26"/>
      <c r="IC84" s="111"/>
      <c r="ID84" s="22"/>
      <c r="IE84" s="22" t="str">
        <f t="shared" ca="1" si="294"/>
        <v>SALE SIN VACUNA</v>
      </c>
      <c r="IF84" s="22"/>
      <c r="IG84" s="22">
        <f t="shared" si="295"/>
        <v>45093</v>
      </c>
      <c r="IH84" s="29">
        <f t="shared" ca="1" si="296"/>
        <v>-139</v>
      </c>
      <c r="II84" s="22" t="str">
        <f t="shared" ca="1" si="297"/>
        <v>POSIBLEMENTE NACIO</v>
      </c>
      <c r="IJ84" s="22"/>
      <c r="IK84" s="21" t="s">
        <v>898</v>
      </c>
      <c r="IL84" s="21"/>
      <c r="IM84" s="34"/>
      <c r="IN84" s="349">
        <v>45093</v>
      </c>
      <c r="IO84" s="21" t="s">
        <v>1640</v>
      </c>
      <c r="IP84" s="29">
        <f t="shared" si="436"/>
        <v>40</v>
      </c>
      <c r="IQ84" s="110"/>
      <c r="IR84" s="21" t="s">
        <v>879</v>
      </c>
      <c r="IS84" s="21" t="s">
        <v>1648</v>
      </c>
      <c r="IT84" s="21" t="s">
        <v>1642</v>
      </c>
      <c r="IU84" s="21"/>
      <c r="IV84" s="21"/>
      <c r="IW84" s="21"/>
      <c r="IX84" s="21"/>
      <c r="IY84" s="21"/>
      <c r="IZ84" s="21"/>
      <c r="JA84" s="21"/>
      <c r="JB84" s="30">
        <v>1</v>
      </c>
      <c r="JC84" s="21" t="s">
        <v>1643</v>
      </c>
      <c r="JD84" s="36">
        <v>2600</v>
      </c>
      <c r="JE84" s="21" t="str">
        <f t="shared" si="447"/>
        <v>PESO ADECUADO EDAD GESTACIONAL</v>
      </c>
      <c r="JF84" s="30"/>
      <c r="JG84" s="21"/>
      <c r="JH84" s="21"/>
      <c r="JI84" s="21"/>
      <c r="JJ84" s="30"/>
      <c r="JK84" s="22"/>
      <c r="JL84" s="22"/>
      <c r="JM84" s="21"/>
      <c r="JN84" s="36"/>
      <c r="JO84" s="21" t="str">
        <f t="shared" si="448"/>
        <v/>
      </c>
      <c r="JP84" s="22"/>
      <c r="JQ84" s="21"/>
      <c r="JR84" s="21"/>
      <c r="JS84" s="21"/>
      <c r="JT84" s="30"/>
      <c r="JU84" s="22"/>
      <c r="JV84" s="22"/>
      <c r="JW84" s="33"/>
      <c r="JX84" s="28" t="str">
        <f t="shared" si="449"/>
        <v>INASISTENTE</v>
      </c>
      <c r="JY84" s="33"/>
      <c r="JZ84" s="28" t="str">
        <f t="shared" si="450"/>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3"/>
        <v>0</v>
      </c>
      <c r="MI84" s="43" t="str">
        <f t="shared" si="304"/>
        <v/>
      </c>
      <c r="MJ84" s="43" t="str">
        <f t="shared" si="305"/>
        <v/>
      </c>
      <c r="MK84" s="43">
        <f t="shared" si="306"/>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7"/>
        <v>20.714285714285715</v>
      </c>
      <c r="MN84" s="43">
        <f t="shared" si="308"/>
        <v>2</v>
      </c>
      <c r="MO84" s="43">
        <f t="shared" si="309"/>
        <v>2023</v>
      </c>
      <c r="MP84" s="43" t="str">
        <f t="shared" si="310"/>
        <v>I TRIMESTRE AÑO</v>
      </c>
      <c r="MQ84" s="43">
        <f t="shared" si="311"/>
        <v>20.931887866841873</v>
      </c>
      <c r="MR84" s="43">
        <f t="shared" si="312"/>
        <v>0</v>
      </c>
      <c r="MS84" s="43" t="str">
        <f t="shared" si="313"/>
        <v xml:space="preserve"> DE 20 A 24 AÑOS</v>
      </c>
      <c r="MT84" s="43">
        <f t="shared" si="314"/>
        <v>0</v>
      </c>
      <c r="MU84" s="43">
        <f t="shared" si="315"/>
        <v>0</v>
      </c>
      <c r="MV84" s="43">
        <f t="shared" si="316"/>
        <v>0</v>
      </c>
      <c r="MW84" s="43">
        <f t="shared" si="317"/>
        <v>0</v>
      </c>
      <c r="MX84" s="43" t="str">
        <f t="shared" si="318"/>
        <v/>
      </c>
      <c r="MY84" s="43" t="str">
        <f t="shared" ca="1" si="451"/>
        <v/>
      </c>
      <c r="MZ84" s="43" t="str">
        <f t="shared" si="319"/>
        <v/>
      </c>
      <c r="NA84" s="43">
        <f t="shared" si="320"/>
        <v>0</v>
      </c>
      <c r="NB84" s="43" t="str">
        <f t="shared" si="321"/>
        <v/>
      </c>
      <c r="NC84" s="43" t="str">
        <f t="shared" si="322"/>
        <v/>
      </c>
      <c r="ND84" s="43">
        <f t="shared" ca="1" si="323"/>
        <v>2</v>
      </c>
      <c r="NE84" s="43">
        <f>IF(OR(O84&gt;0,R84&gt;0),SUM(COUNTIF(Tabla1[[#This Row],[AÑOS AL INICIO5 CPN]],"&gt;=40"),COUNTIF(AS84,"0"),COUNTIF(AR84,"SI"),COUNTIF(CC84,"SI"),COUNTIF(BQ84,"&gt;119"),COUNTIF(CI84,"&gt;=35")),"")</f>
        <v>0</v>
      </c>
      <c r="NF84" s="43" t="str">
        <f t="shared" si="324"/>
        <v/>
      </c>
      <c r="NG84" s="43">
        <f t="shared" si="325"/>
        <v>0</v>
      </c>
      <c r="NH84" s="43">
        <f t="shared" si="326"/>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7"/>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8"/>
        <v>II TRIM</v>
      </c>
      <c r="NQ84" s="21" t="str">
        <f t="shared" si="437"/>
        <v/>
      </c>
      <c r="NR84" s="21">
        <f t="shared" si="452"/>
        <v>2</v>
      </c>
      <c r="NS84" s="205">
        <f t="shared" ca="1" si="329"/>
        <v>1</v>
      </c>
      <c r="NT84" s="21">
        <f t="shared" ca="1" si="330"/>
        <v>1</v>
      </c>
      <c r="NU84" s="21" t="str">
        <f t="shared" ca="1" si="331"/>
        <v>INCOMPLETO</v>
      </c>
      <c r="NV84" s="21" t="str">
        <f t="shared" ca="1" si="332"/>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3"/>
        <v>SIN VACUNAR</v>
      </c>
      <c r="NY84" s="43">
        <f>ROW(Tabla1[[#This Row],['# DE TAMIZAJES SIFILIS TOMADOS ]])</f>
        <v>84</v>
      </c>
      <c r="NZ84" s="43">
        <f t="shared" si="334"/>
        <v>20</v>
      </c>
      <c r="OA84" s="43" t="str">
        <f t="shared" si="335"/>
        <v/>
      </c>
      <c r="OB84" s="43" t="str">
        <f t="shared" si="336"/>
        <v/>
      </c>
      <c r="OC84" s="43" t="str">
        <f t="shared" si="337"/>
        <v/>
      </c>
      <c r="OD84" s="43" t="str">
        <f t="shared" si="338"/>
        <v/>
      </c>
      <c r="OE84" s="43" t="str">
        <f t="shared" si="339"/>
        <v/>
      </c>
      <c r="OF84" s="43" t="str">
        <f t="shared" si="340"/>
        <v/>
      </c>
      <c r="OG84" s="43" t="str">
        <f t="shared" si="341"/>
        <v/>
      </c>
      <c r="OH84" s="43" t="str">
        <f t="shared" si="342"/>
        <v/>
      </c>
      <c r="OI84" s="43" t="str">
        <f t="shared" si="343"/>
        <v/>
      </c>
      <c r="OJ84" s="43" t="str">
        <f t="shared" si="344"/>
        <v/>
      </c>
      <c r="OK84" s="43" t="str">
        <f t="shared" si="345"/>
        <v/>
      </c>
      <c r="OL84" s="43" t="str">
        <f t="shared" si="346"/>
        <v>NORMAL</v>
      </c>
      <c r="OM84" s="43" t="str">
        <f t="shared" si="347"/>
        <v/>
      </c>
      <c r="ON84" s="43" t="str">
        <f t="shared" si="348"/>
        <v/>
      </c>
      <c r="OO84" s="43" t="str">
        <f t="shared" si="349"/>
        <v/>
      </c>
      <c r="OP84" s="43" t="str">
        <f t="shared" si="350"/>
        <v/>
      </c>
      <c r="OQ84" s="43" t="str">
        <f t="shared" si="351"/>
        <v/>
      </c>
      <c r="OR84" s="43" t="str">
        <f t="shared" si="352"/>
        <v/>
      </c>
      <c r="OS84" s="43" t="str">
        <f t="shared" si="353"/>
        <v/>
      </c>
      <c r="OT84" s="43" t="str">
        <f t="shared" si="354"/>
        <v/>
      </c>
      <c r="OU84" s="43" t="str">
        <f t="shared" si="355"/>
        <v/>
      </c>
      <c r="OV84" s="110" t="str">
        <f t="shared" si="356"/>
        <v/>
      </c>
      <c r="OW84" s="43" t="str">
        <f t="shared" si="357"/>
        <v/>
      </c>
      <c r="OX84" s="43" t="str">
        <f t="shared" si="358"/>
        <v/>
      </c>
      <c r="OY84" s="43" t="str">
        <f t="shared" si="359"/>
        <v/>
      </c>
      <c r="OZ84" s="43" t="str">
        <f t="shared" si="360"/>
        <v/>
      </c>
      <c r="PA84" s="43" t="str">
        <f t="shared" si="361"/>
        <v/>
      </c>
      <c r="PB84" s="43" t="str">
        <f t="shared" si="362"/>
        <v/>
      </c>
      <c r="PC84" s="43" t="str">
        <f t="shared" si="363"/>
        <v/>
      </c>
      <c r="PD84" s="43" t="str">
        <f t="shared" si="364"/>
        <v/>
      </c>
      <c r="PE84" s="43" t="str">
        <f t="shared" si="365"/>
        <v/>
      </c>
      <c r="PF84" s="43" t="str">
        <f t="shared" si="366"/>
        <v/>
      </c>
      <c r="PG84" s="43" t="str">
        <f t="shared" si="367"/>
        <v/>
      </c>
      <c r="PH84" s="43" t="str">
        <f t="shared" si="368"/>
        <v/>
      </c>
      <c r="PI84" s="43">
        <f t="shared" si="369"/>
        <v>33</v>
      </c>
      <c r="PJ84" s="43" t="str">
        <f t="shared" si="370"/>
        <v/>
      </c>
      <c r="PK84" s="43" t="str">
        <f t="shared" si="371"/>
        <v/>
      </c>
      <c r="PL84" s="43" t="str">
        <f t="shared" si="372"/>
        <v/>
      </c>
      <c r="PM84" s="43" t="str">
        <f t="shared" si="373"/>
        <v/>
      </c>
      <c r="PN84" s="43" t="str">
        <f t="shared" si="374"/>
        <v/>
      </c>
      <c r="PO84" s="43" t="str">
        <f t="shared" si="375"/>
        <v/>
      </c>
      <c r="PP84" s="43" t="str">
        <f t="shared" si="376"/>
        <v/>
      </c>
      <c r="PQ84" s="43" t="str">
        <f t="shared" si="377"/>
        <v/>
      </c>
      <c r="PR84" s="43" t="str">
        <f t="shared" si="378"/>
        <v/>
      </c>
      <c r="PS84" s="43" t="str">
        <f t="shared" si="379"/>
        <v/>
      </c>
      <c r="PT84" s="43" t="str">
        <f t="shared" si="380"/>
        <v/>
      </c>
      <c r="PU84" s="43" t="str">
        <f t="shared" si="381"/>
        <v/>
      </c>
      <c r="PV84" s="43" t="str">
        <f t="shared" si="382"/>
        <v/>
      </c>
      <c r="PW84" s="43" t="str">
        <f t="shared" si="383"/>
        <v/>
      </c>
      <c r="PX84" s="43" t="str">
        <f t="shared" si="384"/>
        <v/>
      </c>
      <c r="PY84" s="43" t="str">
        <f t="shared" si="385"/>
        <v/>
      </c>
      <c r="PZ84" s="43" t="str">
        <f t="shared" si="386"/>
        <v/>
      </c>
      <c r="QA84" s="43" t="str">
        <f t="shared" si="387"/>
        <v/>
      </c>
      <c r="QB84" s="43" t="str">
        <f t="shared" si="388"/>
        <v/>
      </c>
      <c r="QC84" s="43" t="str">
        <f t="shared" si="389"/>
        <v/>
      </c>
      <c r="QD84" s="43" t="str">
        <f t="shared" si="390"/>
        <v/>
      </c>
      <c r="QE84" s="43" t="str">
        <f t="shared" si="391"/>
        <v/>
      </c>
      <c r="QF84" s="43" t="str">
        <f t="shared" si="392"/>
        <v/>
      </c>
      <c r="QG84" s="43" t="str">
        <f t="shared" si="393"/>
        <v/>
      </c>
      <c r="QH84" s="43" t="str">
        <f t="shared" si="394"/>
        <v>NORMAL</v>
      </c>
      <c r="QI84" s="43" t="str">
        <f t="shared" si="395"/>
        <v/>
      </c>
      <c r="QJ84" s="43" t="str">
        <f t="shared" si="396"/>
        <v/>
      </c>
      <c r="QK84" s="43" t="str">
        <f t="shared" si="397"/>
        <v/>
      </c>
      <c r="QL84" s="43" t="str">
        <f t="shared" si="398"/>
        <v/>
      </c>
      <c r="QM84" s="43" t="str">
        <f t="shared" si="399"/>
        <v/>
      </c>
      <c r="QN84" s="43" t="str">
        <f t="shared" si="400"/>
        <v/>
      </c>
      <c r="QO84" s="43" t="str">
        <f t="shared" si="401"/>
        <v/>
      </c>
      <c r="QP84" s="43" t="str">
        <f t="shared" si="402"/>
        <v/>
      </c>
      <c r="QQ84" s="43" t="str">
        <f t="shared" si="403"/>
        <v/>
      </c>
      <c r="QR84" s="43">
        <f t="shared" si="433"/>
        <v>33</v>
      </c>
      <c r="QS84" s="43"/>
      <c r="QT84" s="21" t="str">
        <f t="shared" si="404"/>
        <v/>
      </c>
      <c r="QU84" s="21" t="str">
        <f t="shared" si="405"/>
        <v/>
      </c>
      <c r="QV84" s="21" t="str">
        <f t="shared" si="406"/>
        <v/>
      </c>
      <c r="QW84" s="21" t="str">
        <f t="shared" si="407"/>
        <v/>
      </c>
      <c r="QX84" s="21" t="str">
        <f t="shared" si="408"/>
        <v/>
      </c>
      <c r="QY84" s="21" t="str">
        <f t="shared" si="409"/>
        <v/>
      </c>
      <c r="QZ84" s="21" t="str">
        <f t="shared" si="410"/>
        <v/>
      </c>
      <c r="RA84" s="21" t="str">
        <f t="shared" si="411"/>
        <v/>
      </c>
      <c r="RB84" s="21" t="str">
        <f t="shared" si="412"/>
        <v/>
      </c>
      <c r="RC84" s="21" t="str">
        <f t="shared" si="413"/>
        <v/>
      </c>
      <c r="RD84" s="21" t="str">
        <f t="shared" si="414"/>
        <v/>
      </c>
      <c r="RE84" s="21" t="str">
        <f t="shared" si="415"/>
        <v/>
      </c>
      <c r="RF84" s="21" t="str">
        <f t="shared" si="416"/>
        <v/>
      </c>
      <c r="RG84" s="21" t="str">
        <f t="shared" si="417"/>
        <v/>
      </c>
      <c r="RH84" s="21" t="str">
        <f t="shared" si="418"/>
        <v/>
      </c>
      <c r="RI84" s="21" t="str">
        <f t="shared" si="419"/>
        <v/>
      </c>
      <c r="RJ84" s="21" t="str">
        <f t="shared" si="420"/>
        <v/>
      </c>
      <c r="RK84" s="21" t="str">
        <f t="shared" si="421"/>
        <v/>
      </c>
      <c r="RL84" s="21" t="str">
        <f t="shared" si="422"/>
        <v/>
      </c>
      <c r="RM84" s="21" t="str">
        <f t="shared" si="423"/>
        <v/>
      </c>
      <c r="RN84" s="21" t="str">
        <f t="shared" si="424"/>
        <v>ADECUADO PARA EDAD GESTACIONAL</v>
      </c>
      <c r="RO84" s="21" t="str">
        <f t="shared" si="425"/>
        <v/>
      </c>
      <c r="RP84" s="21" t="str">
        <f t="shared" si="426"/>
        <v/>
      </c>
      <c r="RQ84" s="21" t="str">
        <f t="shared" si="427"/>
        <v/>
      </c>
      <c r="RR84" s="21" t="str">
        <f t="shared" si="428"/>
        <v/>
      </c>
      <c r="RS84" s="21" t="str">
        <f t="shared" si="429"/>
        <v/>
      </c>
      <c r="RT84" s="21" t="str">
        <f t="shared" si="430"/>
        <v/>
      </c>
      <c r="RU84" s="21" t="str">
        <f t="shared" si="431"/>
        <v/>
      </c>
      <c r="RV84" s="21">
        <f t="shared" si="432"/>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4"/>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19.830136986301369</v>
      </c>
      <c r="O85" s="22">
        <v>44952</v>
      </c>
      <c r="P85" s="214" t="str">
        <f t="shared" si="438"/>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9"/>
        <v>CONCERTAR PLAN DE PARTO INMEDIATO</v>
      </c>
      <c r="DV85" s="226" t="str">
        <f t="shared" si="440"/>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1"/>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2"/>
        <v>15.142857142857142</v>
      </c>
      <c r="FP85" s="22"/>
      <c r="FQ85" s="32"/>
      <c r="FR85" s="29" t="str">
        <f t="shared" ca="1" si="443"/>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4"/>
        <v>15.142857142857142</v>
      </c>
      <c r="GE85" s="22"/>
      <c r="GF85" s="22"/>
      <c r="GG85" s="29" t="str">
        <f t="shared" ca="1" si="445"/>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t="str">
        <f t="shared" ca="1" si="289"/>
        <v>**********************MULTIPARIDAD*****************</v>
      </c>
      <c r="HK85" s="21" t="str">
        <f t="shared" si="290"/>
        <v>SIN ANTECEDENTES DE RIESGO</v>
      </c>
      <c r="HL85" s="24" t="str">
        <f t="shared" si="291"/>
        <v>REGISTRE DATO PRESIÓN ARTERIAL MENSUAL</v>
      </c>
      <c r="HM85" s="21" t="e">
        <f t="shared" ca="1" si="292"/>
        <v>#REF!</v>
      </c>
      <c r="HN85" s="30" t="str">
        <f t="shared" si="446"/>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3"/>
        <v>9</v>
      </c>
      <c r="IA85" s="26"/>
      <c r="IB85" s="26"/>
      <c r="IC85" s="111">
        <v>44960</v>
      </c>
      <c r="ID85" s="22">
        <v>44960</v>
      </c>
      <c r="IE85" s="22" t="str">
        <f t="shared" ca="1" si="294"/>
        <v>VACUNA APLICADA ANTES SEMANA 20</v>
      </c>
      <c r="IF85" s="22"/>
      <c r="IG85" s="22">
        <f t="shared" si="295"/>
        <v>45169</v>
      </c>
      <c r="IH85" s="29">
        <f t="shared" ca="1" si="296"/>
        <v>-63</v>
      </c>
      <c r="II85" s="22" t="str">
        <f t="shared" ca="1" si="297"/>
        <v>POSIBLEMENTE NACIO</v>
      </c>
      <c r="IJ85" s="22"/>
      <c r="IK85" s="21"/>
      <c r="IL85" s="21"/>
      <c r="IM85" s="34"/>
      <c r="IN85" s="349"/>
      <c r="IO85" s="21"/>
      <c r="IP85" s="29" t="str">
        <f t="shared" si="436"/>
        <v/>
      </c>
      <c r="IQ85" s="110"/>
      <c r="IR85" s="21"/>
      <c r="IS85" s="21"/>
      <c r="IT85" s="21"/>
      <c r="IU85" s="21"/>
      <c r="IV85" s="21"/>
      <c r="IW85" s="21"/>
      <c r="IX85" s="21"/>
      <c r="IY85" s="21"/>
      <c r="IZ85" s="21"/>
      <c r="JA85" s="21"/>
      <c r="JB85" s="30"/>
      <c r="JC85" s="21"/>
      <c r="JD85" s="36"/>
      <c r="JE85" s="21" t="str">
        <f t="shared" si="447"/>
        <v/>
      </c>
      <c r="JF85" s="30"/>
      <c r="JG85" s="21"/>
      <c r="JH85" s="21"/>
      <c r="JI85" s="21"/>
      <c r="JJ85" s="30"/>
      <c r="JK85" s="22"/>
      <c r="JL85" s="22"/>
      <c r="JM85" s="21"/>
      <c r="JN85" s="36"/>
      <c r="JO85" s="21" t="str">
        <f t="shared" si="448"/>
        <v/>
      </c>
      <c r="JP85" s="22"/>
      <c r="JQ85" s="21"/>
      <c r="JR85" s="21"/>
      <c r="JS85" s="21"/>
      <c r="JT85" s="30"/>
      <c r="JU85" s="22"/>
      <c r="JV85" s="22"/>
      <c r="JW85" s="33"/>
      <c r="JX85" s="28" t="str">
        <f t="shared" si="449"/>
        <v/>
      </c>
      <c r="JY85" s="33"/>
      <c r="JZ85" s="28" t="str">
        <f t="shared" si="450"/>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3"/>
        <v>0</v>
      </c>
      <c r="MI85" s="43" t="str">
        <f t="shared" si="304"/>
        <v/>
      </c>
      <c r="MJ85" s="43" t="str">
        <f t="shared" si="305"/>
        <v/>
      </c>
      <c r="MK85" s="43">
        <f t="shared" si="306"/>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7"/>
        <v>9</v>
      </c>
      <c r="MN85" s="43">
        <f t="shared" si="308"/>
        <v>1</v>
      </c>
      <c r="MO85" s="43">
        <f t="shared" si="309"/>
        <v>2023</v>
      </c>
      <c r="MP85" s="43" t="str">
        <f t="shared" si="310"/>
        <v>I TRIMESTRE AÑO</v>
      </c>
      <c r="MQ85" s="43">
        <f t="shared" si="311"/>
        <v>18.774638633377133</v>
      </c>
      <c r="MR85" s="43">
        <f t="shared" si="312"/>
        <v>0</v>
      </c>
      <c r="MS85" s="43" t="str">
        <f t="shared" si="313"/>
        <v>DE 14 A 19AÑOS</v>
      </c>
      <c r="MT85" s="43">
        <f t="shared" si="314"/>
        <v>0</v>
      </c>
      <c r="MU85" s="43">
        <f t="shared" si="315"/>
        <v>1</v>
      </c>
      <c r="MV85" s="43">
        <f t="shared" si="316"/>
        <v>0</v>
      </c>
      <c r="MW85" s="43">
        <f t="shared" si="317"/>
        <v>0</v>
      </c>
      <c r="MX85" s="43" t="str">
        <f t="shared" si="318"/>
        <v/>
      </c>
      <c r="MY85" s="43" t="str">
        <f t="shared" ca="1" si="451"/>
        <v/>
      </c>
      <c r="MZ85" s="43" t="str">
        <f t="shared" si="319"/>
        <v/>
      </c>
      <c r="NA85" s="43">
        <f t="shared" si="320"/>
        <v>0</v>
      </c>
      <c r="NB85" s="43" t="str">
        <f t="shared" si="321"/>
        <v/>
      </c>
      <c r="NC85" s="43" t="str">
        <f t="shared" si="322"/>
        <v/>
      </c>
      <c r="ND85" s="43">
        <f t="shared" ca="1" si="323"/>
        <v>1</v>
      </c>
      <c r="NE85" s="43">
        <f>IF(OR(O85&gt;0,R85&gt;0),SUM(COUNTIF(Tabla1[[#This Row],[AÑOS AL INICIO5 CPN]],"&gt;=40"),COUNTIF(AS85,"0"),COUNTIF(AR85,"SI"),COUNTIF(CC85,"SI"),COUNTIF(BQ85,"&gt;119"),COUNTIF(CI85,"&gt;=35")),"")</f>
        <v>1</v>
      </c>
      <c r="NF85" s="43">
        <f t="shared" si="324"/>
        <v>10.142857142857142</v>
      </c>
      <c r="NG85" s="43">
        <f t="shared" si="325"/>
        <v>0</v>
      </c>
      <c r="NH85" s="43">
        <f t="shared" si="326"/>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7"/>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8"/>
        <v>I TRIM</v>
      </c>
      <c r="NQ85" s="21">
        <f t="shared" si="437"/>
        <v>10</v>
      </c>
      <c r="NR85" s="21" t="str">
        <f t="shared" ca="1" si="452"/>
        <v>REVISAR FUM O FECHA SALIDA PROGRAMA</v>
      </c>
      <c r="NS85" s="205">
        <f t="shared" ca="1" si="329"/>
        <v>2</v>
      </c>
      <c r="NT85" s="21">
        <f t="shared" ca="1" si="330"/>
        <v>1</v>
      </c>
      <c r="NU85" s="21" t="str">
        <f t="shared" ca="1" si="331"/>
        <v>POR DEFINIR</v>
      </c>
      <c r="NV85" s="21" t="str">
        <f t="shared" ca="1" si="332"/>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3"/>
        <v>VACUNADA</v>
      </c>
      <c r="NY85" s="43">
        <f>ROW(Tabla1[[#This Row],['# DE TAMIZAJES SIFILIS TOMADOS ]])</f>
        <v>85</v>
      </c>
      <c r="NZ85" s="43" t="str">
        <f t="shared" si="334"/>
        <v>Menor</v>
      </c>
      <c r="OA85" s="43" t="str">
        <f t="shared" si="335"/>
        <v>NORMAL</v>
      </c>
      <c r="OB85" s="43" t="str">
        <f t="shared" si="336"/>
        <v/>
      </c>
      <c r="OC85" s="43" t="str">
        <f t="shared" si="337"/>
        <v/>
      </c>
      <c r="OD85" s="43" t="str">
        <f t="shared" si="338"/>
        <v/>
      </c>
      <c r="OE85" s="43" t="str">
        <f t="shared" si="339"/>
        <v/>
      </c>
      <c r="OF85" s="43" t="str">
        <f t="shared" si="340"/>
        <v/>
      </c>
      <c r="OG85" s="43" t="str">
        <f t="shared" si="341"/>
        <v/>
      </c>
      <c r="OH85" s="43" t="str">
        <f t="shared" si="342"/>
        <v/>
      </c>
      <c r="OI85" s="43" t="str">
        <f t="shared" si="343"/>
        <v/>
      </c>
      <c r="OJ85" s="43" t="str">
        <f t="shared" si="344"/>
        <v/>
      </c>
      <c r="OK85" s="43" t="str">
        <f t="shared" si="345"/>
        <v/>
      </c>
      <c r="OL85" s="43" t="str">
        <f t="shared" si="346"/>
        <v/>
      </c>
      <c r="OM85" s="43" t="str">
        <f t="shared" si="347"/>
        <v/>
      </c>
      <c r="ON85" s="43" t="str">
        <f t="shared" si="348"/>
        <v/>
      </c>
      <c r="OO85" s="43" t="str">
        <f t="shared" si="349"/>
        <v/>
      </c>
      <c r="OP85" s="43" t="str">
        <f t="shared" si="350"/>
        <v/>
      </c>
      <c r="OQ85" s="43" t="str">
        <f t="shared" si="351"/>
        <v/>
      </c>
      <c r="OR85" s="43" t="str">
        <f t="shared" si="352"/>
        <v/>
      </c>
      <c r="OS85" s="43" t="str">
        <f t="shared" si="353"/>
        <v/>
      </c>
      <c r="OT85" s="43" t="str">
        <f t="shared" si="354"/>
        <v/>
      </c>
      <c r="OU85" s="43" t="str">
        <f t="shared" si="355"/>
        <v/>
      </c>
      <c r="OV85" s="110" t="str">
        <f t="shared" si="356"/>
        <v/>
      </c>
      <c r="OW85" s="43" t="str">
        <f t="shared" si="357"/>
        <v/>
      </c>
      <c r="OX85" s="43" t="str">
        <f t="shared" si="358"/>
        <v/>
      </c>
      <c r="OY85" s="43" t="str">
        <f t="shared" si="359"/>
        <v/>
      </c>
      <c r="OZ85" s="43" t="str">
        <f t="shared" si="360"/>
        <v/>
      </c>
      <c r="PA85" s="43" t="str">
        <f t="shared" si="361"/>
        <v/>
      </c>
      <c r="PB85" s="43" t="str">
        <f t="shared" si="362"/>
        <v/>
      </c>
      <c r="PC85" s="43" t="str">
        <f t="shared" si="363"/>
        <v/>
      </c>
      <c r="PD85" s="43" t="str">
        <f t="shared" si="364"/>
        <v/>
      </c>
      <c r="PE85" s="43" t="str">
        <f t="shared" si="365"/>
        <v/>
      </c>
      <c r="PF85" s="43" t="str">
        <f t="shared" si="366"/>
        <v/>
      </c>
      <c r="PG85" s="43" t="str">
        <f t="shared" si="367"/>
        <v/>
      </c>
      <c r="PH85" s="43" t="str">
        <f t="shared" si="368"/>
        <v/>
      </c>
      <c r="PI85" s="43">
        <f t="shared" si="369"/>
        <v>21</v>
      </c>
      <c r="PJ85" s="43" t="str">
        <f t="shared" si="370"/>
        <v/>
      </c>
      <c r="PK85" s="43" t="str">
        <f t="shared" si="371"/>
        <v/>
      </c>
      <c r="PL85" s="43" t="str">
        <f t="shared" si="372"/>
        <v/>
      </c>
      <c r="PM85" s="43" t="str">
        <f t="shared" si="373"/>
        <v/>
      </c>
      <c r="PN85" s="43" t="str">
        <f t="shared" si="374"/>
        <v/>
      </c>
      <c r="PO85" s="43" t="str">
        <f t="shared" si="375"/>
        <v/>
      </c>
      <c r="PP85" s="43" t="str">
        <f t="shared" si="376"/>
        <v/>
      </c>
      <c r="PQ85" s="43" t="str">
        <f t="shared" si="377"/>
        <v/>
      </c>
      <c r="PR85" s="43" t="str">
        <f t="shared" si="378"/>
        <v/>
      </c>
      <c r="PS85" s="43" t="str">
        <f t="shared" si="379"/>
        <v/>
      </c>
      <c r="PT85" s="43" t="str">
        <f t="shared" si="380"/>
        <v/>
      </c>
      <c r="PU85" s="43" t="str">
        <f t="shared" si="381"/>
        <v/>
      </c>
      <c r="PV85" s="43" t="str">
        <f t="shared" si="382"/>
        <v>NORMAL</v>
      </c>
      <c r="PW85" s="43" t="str">
        <f t="shared" si="383"/>
        <v/>
      </c>
      <c r="PX85" s="43" t="str">
        <f t="shared" si="384"/>
        <v/>
      </c>
      <c r="PY85" s="43" t="str">
        <f t="shared" si="385"/>
        <v/>
      </c>
      <c r="PZ85" s="43" t="str">
        <f t="shared" si="386"/>
        <v/>
      </c>
      <c r="QA85" s="43" t="str">
        <f t="shared" si="387"/>
        <v/>
      </c>
      <c r="QB85" s="43" t="str">
        <f t="shared" si="388"/>
        <v/>
      </c>
      <c r="QC85" s="43" t="str">
        <f t="shared" si="389"/>
        <v/>
      </c>
      <c r="QD85" s="43" t="str">
        <f t="shared" si="390"/>
        <v/>
      </c>
      <c r="QE85" s="43" t="str">
        <f t="shared" si="391"/>
        <v/>
      </c>
      <c r="QF85" s="43" t="str">
        <f t="shared" si="392"/>
        <v/>
      </c>
      <c r="QG85" s="43" t="str">
        <f t="shared" si="393"/>
        <v/>
      </c>
      <c r="QH85" s="43" t="str">
        <f t="shared" si="394"/>
        <v/>
      </c>
      <c r="QI85" s="43" t="str">
        <f t="shared" si="395"/>
        <v/>
      </c>
      <c r="QJ85" s="43" t="str">
        <f t="shared" si="396"/>
        <v/>
      </c>
      <c r="QK85" s="43" t="str">
        <f t="shared" si="397"/>
        <v/>
      </c>
      <c r="QL85" s="43" t="str">
        <f t="shared" si="398"/>
        <v/>
      </c>
      <c r="QM85" s="43" t="str">
        <f t="shared" si="399"/>
        <v/>
      </c>
      <c r="QN85" s="43" t="str">
        <f t="shared" si="400"/>
        <v/>
      </c>
      <c r="QO85" s="43" t="str">
        <f t="shared" si="401"/>
        <v/>
      </c>
      <c r="QP85" s="43" t="str">
        <f t="shared" si="402"/>
        <v/>
      </c>
      <c r="QQ85" s="43" t="str">
        <f t="shared" si="403"/>
        <v/>
      </c>
      <c r="QR85" s="43">
        <f t="shared" si="433"/>
        <v>21</v>
      </c>
      <c r="QS85" s="43"/>
      <c r="QT85" s="21" t="str">
        <f t="shared" si="404"/>
        <v/>
      </c>
      <c r="QU85" s="21" t="str">
        <f t="shared" si="405"/>
        <v/>
      </c>
      <c r="QV85" s="21" t="str">
        <f t="shared" si="406"/>
        <v/>
      </c>
      <c r="QW85" s="21" t="str">
        <f t="shared" si="407"/>
        <v/>
      </c>
      <c r="QX85" s="21" t="str">
        <f t="shared" si="408"/>
        <v/>
      </c>
      <c r="QY85" s="21" t="str">
        <f t="shared" si="409"/>
        <v/>
      </c>
      <c r="QZ85" s="21" t="str">
        <f t="shared" si="410"/>
        <v/>
      </c>
      <c r="RA85" s="21" t="str">
        <f t="shared" si="411"/>
        <v/>
      </c>
      <c r="RB85" s="21" t="str">
        <f t="shared" si="412"/>
        <v/>
      </c>
      <c r="RC85" s="21" t="str">
        <f t="shared" si="413"/>
        <v/>
      </c>
      <c r="RD85" s="21" t="str">
        <f t="shared" si="414"/>
        <v/>
      </c>
      <c r="RE85" s="21" t="str">
        <f t="shared" si="415"/>
        <v/>
      </c>
      <c r="RF85" s="21" t="str">
        <f t="shared" si="416"/>
        <v/>
      </c>
      <c r="RG85" s="21" t="str">
        <f t="shared" si="417"/>
        <v/>
      </c>
      <c r="RH85" s="21" t="str">
        <f t="shared" si="418"/>
        <v/>
      </c>
      <c r="RI85" s="21" t="str">
        <f t="shared" si="419"/>
        <v/>
      </c>
      <c r="RJ85" s="21" t="str">
        <f t="shared" si="420"/>
        <v/>
      </c>
      <c r="RK85" s="21" t="str">
        <f t="shared" si="421"/>
        <v/>
      </c>
      <c r="RL85" s="21" t="str">
        <f t="shared" si="422"/>
        <v/>
      </c>
      <c r="RM85" s="21" t="str">
        <f t="shared" si="423"/>
        <v/>
      </c>
      <c r="RN85" s="21" t="str">
        <f t="shared" si="424"/>
        <v/>
      </c>
      <c r="RO85" s="21" t="str">
        <f t="shared" si="425"/>
        <v/>
      </c>
      <c r="RP85" s="21" t="str">
        <f t="shared" si="426"/>
        <v/>
      </c>
      <c r="RQ85" s="21" t="str">
        <f t="shared" si="427"/>
        <v/>
      </c>
      <c r="RR85" s="21" t="str">
        <f t="shared" si="428"/>
        <v/>
      </c>
      <c r="RS85" s="21" t="str">
        <f t="shared" si="429"/>
        <v/>
      </c>
      <c r="RT85" s="21" t="str">
        <f t="shared" si="430"/>
        <v/>
      </c>
      <c r="RU85" s="21" t="str">
        <f t="shared" si="431"/>
        <v/>
      </c>
      <c r="RV85" s="21">
        <f t="shared" si="432"/>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4"/>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25.797260273972604</v>
      </c>
      <c r="O86" s="22">
        <v>44954</v>
      </c>
      <c r="P86" s="214" t="str">
        <f t="shared" si="438"/>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9"/>
        <v>SALE PROGRAMA ANTES SEMANA 35</v>
      </c>
      <c r="DV86" s="226" t="str">
        <f t="shared" si="440"/>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1"/>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2"/>
        <v>19.428571428571427</v>
      </c>
      <c r="FP86" s="22"/>
      <c r="FQ86" s="32"/>
      <c r="FR86" s="29" t="str">
        <f t="shared" ca="1" si="443"/>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4"/>
        <v>PIERDE TOMA DE TAMIZAJE</v>
      </c>
      <c r="GE86" s="22"/>
      <c r="GF86" s="22"/>
      <c r="GG86" s="29" t="str">
        <f t="shared" ca="1" si="445"/>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t="str">
        <f t="shared" ca="1" si="289"/>
        <v>***************************************</v>
      </c>
      <c r="HK86" s="21" t="str">
        <f t="shared" si="290"/>
        <v>SIN ANTECEDENTES DE RIESGO</v>
      </c>
      <c r="HL86" s="24" t="str">
        <f t="shared" si="291"/>
        <v>REGISTRE DATO PRESIÓN ARTERIAL MENSUAL</v>
      </c>
      <c r="HM86" s="21" t="str">
        <f t="shared" ca="1" si="292"/>
        <v/>
      </c>
      <c r="HN86" s="30" t="str">
        <f t="shared" si="446"/>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3"/>
        <v>15</v>
      </c>
      <c r="IA86" s="26"/>
      <c r="IB86" s="26"/>
      <c r="IC86" s="111"/>
      <c r="ID86" s="22"/>
      <c r="IE86" s="22" t="str">
        <f t="shared" ca="1" si="294"/>
        <v>SALE SIN VACUNA</v>
      </c>
      <c r="IF86" s="22"/>
      <c r="IG86" s="22">
        <f t="shared" si="295"/>
        <v>45129</v>
      </c>
      <c r="IH86" s="29">
        <f t="shared" ca="1" si="296"/>
        <v>-103</v>
      </c>
      <c r="II86" s="22" t="str">
        <f t="shared" ca="1" si="297"/>
        <v>POSIBLEMENTE NACIO</v>
      </c>
      <c r="IJ86" s="22"/>
      <c r="IK86" s="21" t="s">
        <v>898</v>
      </c>
      <c r="IL86" s="21"/>
      <c r="IM86" s="34"/>
      <c r="IN86" s="349">
        <v>45052</v>
      </c>
      <c r="IO86" s="21" t="s">
        <v>1186</v>
      </c>
      <c r="IP86" s="29">
        <f t="shared" si="436"/>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7"/>
        <v>ERROR VERIFICAR DATO EDAD GESTACIONAL VS PESO</v>
      </c>
      <c r="JF86" s="30"/>
      <c r="JG86" s="21"/>
      <c r="JH86" s="21"/>
      <c r="JI86" s="21" t="s">
        <v>854</v>
      </c>
      <c r="JJ86" s="30" t="s">
        <v>866</v>
      </c>
      <c r="JK86" s="22"/>
      <c r="JL86" s="22"/>
      <c r="JM86" s="21"/>
      <c r="JN86" s="36"/>
      <c r="JO86" s="21" t="str">
        <f t="shared" si="448"/>
        <v/>
      </c>
      <c r="JP86" s="22"/>
      <c r="JQ86" s="21"/>
      <c r="JR86" s="21"/>
      <c r="JS86" s="21"/>
      <c r="JT86" s="30"/>
      <c r="JU86" s="22"/>
      <c r="JV86" s="22"/>
      <c r="JW86" s="33"/>
      <c r="JX86" s="28" t="str">
        <f t="shared" si="449"/>
        <v>INASISTENTE</v>
      </c>
      <c r="JY86" s="33"/>
      <c r="JZ86" s="28" t="str">
        <f t="shared" si="450"/>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3"/>
        <v>0</v>
      </c>
      <c r="MI86" s="43" t="str">
        <f t="shared" si="304"/>
        <v/>
      </c>
      <c r="MJ86" s="43" t="str">
        <f t="shared" si="305"/>
        <v/>
      </c>
      <c r="MK86" s="43">
        <f t="shared" si="306"/>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7"/>
        <v>15</v>
      </c>
      <c r="MN86" s="43">
        <f t="shared" si="308"/>
        <v>1</v>
      </c>
      <c r="MO86" s="43">
        <f t="shared" si="309"/>
        <v>2023</v>
      </c>
      <c r="MP86" s="43" t="str">
        <f t="shared" si="310"/>
        <v>I TRIMESTRE AÑO</v>
      </c>
      <c r="MQ86" s="43">
        <f t="shared" si="311"/>
        <v>24.6577967586509</v>
      </c>
      <c r="MR86" s="43">
        <f t="shared" si="312"/>
        <v>0</v>
      </c>
      <c r="MS86" s="43" t="str">
        <f t="shared" si="313"/>
        <v xml:space="preserve"> DE 20 A 24 AÑOS</v>
      </c>
      <c r="MT86" s="43">
        <f t="shared" si="314"/>
        <v>0</v>
      </c>
      <c r="MU86" s="43">
        <f t="shared" si="315"/>
        <v>0</v>
      </c>
      <c r="MV86" s="43">
        <f t="shared" si="316"/>
        <v>0</v>
      </c>
      <c r="MW86" s="43">
        <f t="shared" si="317"/>
        <v>0</v>
      </c>
      <c r="MX86" s="43" t="str">
        <f t="shared" si="318"/>
        <v/>
      </c>
      <c r="MY86" s="43" t="str">
        <f t="shared" ca="1" si="451"/>
        <v/>
      </c>
      <c r="MZ86" s="43" t="str">
        <f t="shared" si="319"/>
        <v/>
      </c>
      <c r="NA86" s="43">
        <f t="shared" si="320"/>
        <v>0</v>
      </c>
      <c r="NB86" s="43" t="str">
        <f t="shared" si="321"/>
        <v/>
      </c>
      <c r="NC86" s="43" t="str">
        <f t="shared" si="322"/>
        <v/>
      </c>
      <c r="ND86" s="43">
        <f t="shared" ca="1" si="323"/>
        <v>0</v>
      </c>
      <c r="NE86" s="43">
        <f>IF(OR(O86&gt;0,R86&gt;0),SUM(COUNTIF(Tabla1[[#This Row],[AÑOS AL INICIO5 CPN]],"&gt;=40"),COUNTIF(AS86,"0"),COUNTIF(AR86,"SI"),COUNTIF(CC86,"SI"),COUNTIF(BQ86,"&gt;119"),COUNTIF(CI86,"&gt;=35")),"")</f>
        <v>0</v>
      </c>
      <c r="NF86" s="43" t="str">
        <f t="shared" si="324"/>
        <v/>
      </c>
      <c r="NG86" s="43">
        <f t="shared" si="325"/>
        <v>0</v>
      </c>
      <c r="NH86" s="43">
        <f t="shared" si="326"/>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7"/>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8"/>
        <v>II TRIM</v>
      </c>
      <c r="NQ86" s="21">
        <f t="shared" si="437"/>
        <v>10</v>
      </c>
      <c r="NR86" s="21">
        <f t="shared" si="452"/>
        <v>2</v>
      </c>
      <c r="NS86" s="205">
        <f t="shared" ca="1" si="329"/>
        <v>1</v>
      </c>
      <c r="NT86" s="21">
        <f t="shared" ca="1" si="330"/>
        <v>0</v>
      </c>
      <c r="NU86" s="21" t="str">
        <f t="shared" ca="1" si="331"/>
        <v>INCOMPLETO</v>
      </c>
      <c r="NV86" s="21" t="str">
        <f t="shared" ca="1" si="332"/>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3"/>
        <v>SIN VACUNAR</v>
      </c>
      <c r="NY86" s="43">
        <f>ROW(Tabla1[[#This Row],['# DE TAMIZAJES SIFILIS TOMADOS ]])</f>
        <v>86</v>
      </c>
      <c r="NZ86" s="43">
        <f t="shared" si="334"/>
        <v>15</v>
      </c>
      <c r="OA86" s="43" t="str">
        <f t="shared" si="335"/>
        <v/>
      </c>
      <c r="OB86" s="43" t="str">
        <f t="shared" si="336"/>
        <v/>
      </c>
      <c r="OC86" s="43" t="str">
        <f t="shared" si="337"/>
        <v/>
      </c>
      <c r="OD86" s="43" t="str">
        <f t="shared" si="338"/>
        <v/>
      </c>
      <c r="OE86" s="43" t="str">
        <f t="shared" si="339"/>
        <v/>
      </c>
      <c r="OF86" s="43" t="str">
        <f t="shared" si="340"/>
        <v/>
      </c>
      <c r="OG86" s="43" t="str">
        <f t="shared" si="341"/>
        <v>NORMAL</v>
      </c>
      <c r="OH86" s="43" t="str">
        <f t="shared" si="342"/>
        <v/>
      </c>
      <c r="OI86" s="43" t="str">
        <f t="shared" si="343"/>
        <v/>
      </c>
      <c r="OJ86" s="43" t="str">
        <f t="shared" si="344"/>
        <v/>
      </c>
      <c r="OK86" s="43" t="str">
        <f t="shared" si="345"/>
        <v/>
      </c>
      <c r="OL86" s="43" t="str">
        <f t="shared" si="346"/>
        <v/>
      </c>
      <c r="OM86" s="43" t="str">
        <f t="shared" si="347"/>
        <v/>
      </c>
      <c r="ON86" s="43" t="str">
        <f t="shared" si="348"/>
        <v/>
      </c>
      <c r="OO86" s="43" t="str">
        <f t="shared" si="349"/>
        <v/>
      </c>
      <c r="OP86" s="43" t="str">
        <f t="shared" si="350"/>
        <v/>
      </c>
      <c r="OQ86" s="43" t="str">
        <f t="shared" si="351"/>
        <v/>
      </c>
      <c r="OR86" s="43" t="str">
        <f t="shared" si="352"/>
        <v/>
      </c>
      <c r="OS86" s="43" t="str">
        <f t="shared" si="353"/>
        <v/>
      </c>
      <c r="OT86" s="43" t="str">
        <f t="shared" si="354"/>
        <v/>
      </c>
      <c r="OU86" s="43" t="str">
        <f t="shared" si="355"/>
        <v/>
      </c>
      <c r="OV86" s="110" t="str">
        <f t="shared" si="356"/>
        <v/>
      </c>
      <c r="OW86" s="43" t="str">
        <f t="shared" si="357"/>
        <v/>
      </c>
      <c r="OX86" s="43" t="str">
        <f t="shared" si="358"/>
        <v/>
      </c>
      <c r="OY86" s="43" t="str">
        <f t="shared" si="359"/>
        <v/>
      </c>
      <c r="OZ86" s="43" t="str">
        <f t="shared" si="360"/>
        <v/>
      </c>
      <c r="PA86" s="43" t="str">
        <f t="shared" si="361"/>
        <v/>
      </c>
      <c r="PB86" s="43" t="str">
        <f t="shared" si="362"/>
        <v/>
      </c>
      <c r="PC86" s="43" t="str">
        <f t="shared" si="363"/>
        <v/>
      </c>
      <c r="PD86" s="43" t="str">
        <f t="shared" si="364"/>
        <v/>
      </c>
      <c r="PE86" s="43" t="str">
        <f t="shared" si="365"/>
        <v/>
      </c>
      <c r="PF86" s="43" t="str">
        <f t="shared" si="366"/>
        <v/>
      </c>
      <c r="PG86" s="43" t="str">
        <f t="shared" si="367"/>
        <v/>
      </c>
      <c r="PH86" s="43" t="str">
        <f t="shared" si="368"/>
        <v/>
      </c>
      <c r="PI86" s="43">
        <f t="shared" si="369"/>
        <v>27</v>
      </c>
      <c r="PJ86" s="43" t="str">
        <f t="shared" si="370"/>
        <v/>
      </c>
      <c r="PK86" s="43" t="str">
        <f t="shared" si="371"/>
        <v/>
      </c>
      <c r="PL86" s="43" t="str">
        <f t="shared" si="372"/>
        <v/>
      </c>
      <c r="PM86" s="43" t="str">
        <f t="shared" si="373"/>
        <v/>
      </c>
      <c r="PN86" s="43" t="str">
        <f t="shared" si="374"/>
        <v/>
      </c>
      <c r="PO86" s="43" t="str">
        <f t="shared" si="375"/>
        <v/>
      </c>
      <c r="PP86" s="43" t="str">
        <f t="shared" si="376"/>
        <v/>
      </c>
      <c r="PQ86" s="43" t="str">
        <f t="shared" si="377"/>
        <v/>
      </c>
      <c r="PR86" s="43" t="str">
        <f t="shared" si="378"/>
        <v/>
      </c>
      <c r="PS86" s="43" t="str">
        <f t="shared" si="379"/>
        <v/>
      </c>
      <c r="PT86" s="43" t="str">
        <f t="shared" si="380"/>
        <v/>
      </c>
      <c r="PU86" s="43" t="str">
        <f t="shared" si="381"/>
        <v/>
      </c>
      <c r="PV86" s="43" t="str">
        <f t="shared" si="382"/>
        <v/>
      </c>
      <c r="PW86" s="43" t="str">
        <f t="shared" si="383"/>
        <v/>
      </c>
      <c r="PX86" s="43" t="str">
        <f t="shared" si="384"/>
        <v/>
      </c>
      <c r="PY86" s="43" t="str">
        <f t="shared" si="385"/>
        <v/>
      </c>
      <c r="PZ86" s="43" t="str">
        <f t="shared" si="386"/>
        <v/>
      </c>
      <c r="QA86" s="43" t="str">
        <f t="shared" si="387"/>
        <v/>
      </c>
      <c r="QB86" s="43" t="str">
        <f t="shared" si="388"/>
        <v/>
      </c>
      <c r="QC86" s="43" t="str">
        <f t="shared" si="389"/>
        <v/>
      </c>
      <c r="QD86" s="43" t="str">
        <f t="shared" si="390"/>
        <v/>
      </c>
      <c r="QE86" s="43" t="str">
        <f t="shared" si="391"/>
        <v/>
      </c>
      <c r="QF86" s="43" t="str">
        <f t="shared" si="392"/>
        <v/>
      </c>
      <c r="QG86" s="43" t="str">
        <f t="shared" si="393"/>
        <v/>
      </c>
      <c r="QH86" s="43" t="str">
        <f t="shared" si="394"/>
        <v/>
      </c>
      <c r="QI86" s="43" t="str">
        <f t="shared" si="395"/>
        <v/>
      </c>
      <c r="QJ86" s="43" t="str">
        <f t="shared" si="396"/>
        <v/>
      </c>
      <c r="QK86" s="43" t="str">
        <f t="shared" si="397"/>
        <v/>
      </c>
      <c r="QL86" s="43" t="str">
        <f t="shared" si="398"/>
        <v/>
      </c>
      <c r="QM86" s="43" t="str">
        <f t="shared" si="399"/>
        <v/>
      </c>
      <c r="QN86" s="43" t="str">
        <f t="shared" si="400"/>
        <v/>
      </c>
      <c r="QO86" s="43" t="str">
        <f t="shared" si="401"/>
        <v/>
      </c>
      <c r="QP86" s="43" t="str">
        <f t="shared" si="402"/>
        <v/>
      </c>
      <c r="QQ86" s="43" t="str">
        <f t="shared" si="403"/>
        <v/>
      </c>
      <c r="QR86" s="43">
        <f t="shared" si="433"/>
        <v>27</v>
      </c>
      <c r="QS86" s="43"/>
      <c r="QT86" s="21" t="str">
        <f t="shared" si="404"/>
        <v/>
      </c>
      <c r="QU86" s="21" t="str">
        <f t="shared" si="405"/>
        <v/>
      </c>
      <c r="QV86" s="21" t="str">
        <f t="shared" si="406"/>
        <v/>
      </c>
      <c r="QW86" s="21" t="str">
        <f t="shared" si="407"/>
        <v/>
      </c>
      <c r="QX86" s="21" t="str">
        <f t="shared" si="408"/>
        <v/>
      </c>
      <c r="QY86" s="21" t="str">
        <f t="shared" si="409"/>
        <v/>
      </c>
      <c r="QZ86" s="21" t="str">
        <f t="shared" si="410"/>
        <v/>
      </c>
      <c r="RA86" s="21" t="str">
        <f t="shared" si="411"/>
        <v/>
      </c>
      <c r="RB86" s="21" t="str">
        <f t="shared" si="412"/>
        <v/>
      </c>
      <c r="RC86" s="21" t="str">
        <f t="shared" si="413"/>
        <v/>
      </c>
      <c r="RD86" s="21" t="str">
        <f t="shared" si="414"/>
        <v/>
      </c>
      <c r="RE86" s="21" t="str">
        <f t="shared" si="415"/>
        <v/>
      </c>
      <c r="RF86" s="21" t="str">
        <f t="shared" si="416"/>
        <v/>
      </c>
      <c r="RG86" s="21" t="str">
        <f t="shared" si="417"/>
        <v/>
      </c>
      <c r="RH86" s="21" t="str">
        <f t="shared" si="418"/>
        <v/>
      </c>
      <c r="RI86" s="21" t="str">
        <f t="shared" si="419"/>
        <v/>
      </c>
      <c r="RJ86" s="21" t="str">
        <f t="shared" si="420"/>
        <v/>
      </c>
      <c r="RK86" s="21" t="str">
        <f t="shared" si="421"/>
        <v/>
      </c>
      <c r="RL86" s="21" t="str">
        <f t="shared" si="422"/>
        <v/>
      </c>
      <c r="RM86" s="21" t="str">
        <f t="shared" si="423"/>
        <v/>
      </c>
      <c r="RN86" s="21" t="str">
        <f t="shared" si="424"/>
        <v/>
      </c>
      <c r="RO86" s="21" t="str">
        <f t="shared" si="425"/>
        <v/>
      </c>
      <c r="RP86" s="21" t="str">
        <f t="shared" si="426"/>
        <v/>
      </c>
      <c r="RQ86" s="21" t="str">
        <f t="shared" si="427"/>
        <v/>
      </c>
      <c r="RR86" s="21" t="str">
        <f t="shared" si="428"/>
        <v/>
      </c>
      <c r="RS86" s="21" t="str">
        <f t="shared" si="429"/>
        <v/>
      </c>
      <c r="RT86" s="21" t="str">
        <f t="shared" si="430"/>
        <v/>
      </c>
      <c r="RU86" s="21" t="str">
        <f t="shared" si="431"/>
        <v/>
      </c>
      <c r="RV86" s="21">
        <f t="shared" si="432"/>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4"/>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26.994520547945207</v>
      </c>
      <c r="O87" s="22">
        <v>44960</v>
      </c>
      <c r="P87" s="214" t="str">
        <f t="shared" si="438"/>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9"/>
        <v>SALE SIN PLAN DE PARTO</v>
      </c>
      <c r="DV87" s="226" t="str">
        <f t="shared" si="440"/>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1"/>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2"/>
        <v>PIERDE TOMA DE TAMIZAJE</v>
      </c>
      <c r="FP87" s="22" t="s">
        <v>867</v>
      </c>
      <c r="FQ87" s="32">
        <v>45072</v>
      </c>
      <c r="FR87" s="29">
        <f t="shared" ca="1" si="443"/>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4"/>
        <v>15.714285714285714</v>
      </c>
      <c r="GE87" s="22"/>
      <c r="GF87" s="22"/>
      <c r="GG87" s="29" t="str">
        <f t="shared" ca="1" si="445"/>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t="str">
        <f t="shared" ca="1" si="289"/>
        <v>***************************************</v>
      </c>
      <c r="HK87" s="21" t="str">
        <f t="shared" si="290"/>
        <v>SIN ANTECEDENTES DE RIESGO</v>
      </c>
      <c r="HL87" s="24" t="str">
        <f t="shared" si="291"/>
        <v>APARENTEMENTE NORMAL</v>
      </c>
      <c r="HM87" s="21" t="str">
        <f t="shared" ca="1" si="292"/>
        <v/>
      </c>
      <c r="HN87" s="30" t="str">
        <f t="shared" si="446"/>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3"/>
        <v>15.714285714285714</v>
      </c>
      <c r="IA87" s="26"/>
      <c r="IB87" s="26"/>
      <c r="IC87" s="111"/>
      <c r="ID87" s="22"/>
      <c r="IE87" s="22" t="str">
        <f t="shared" ca="1" si="294"/>
        <v>SALE SIN VACUNA</v>
      </c>
      <c r="IF87" s="22"/>
      <c r="IG87" s="22">
        <f t="shared" si="295"/>
        <v>45130</v>
      </c>
      <c r="IH87" s="29">
        <f t="shared" ca="1" si="296"/>
        <v>-102</v>
      </c>
      <c r="II87" s="22" t="str">
        <f t="shared" ca="1" si="297"/>
        <v>POSIBLEMENTE NACIO</v>
      </c>
      <c r="IJ87" s="22"/>
      <c r="IK87" s="21" t="s">
        <v>1652</v>
      </c>
      <c r="IL87" s="21"/>
      <c r="IM87" s="34"/>
      <c r="IN87" s="349">
        <v>45108</v>
      </c>
      <c r="IO87" s="21" t="s">
        <v>1186</v>
      </c>
      <c r="IP87" s="29">
        <f t="shared" si="436"/>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7"/>
        <v>BAJO PESO AL NACER</v>
      </c>
      <c r="JF87" s="30"/>
      <c r="JG87" s="21"/>
      <c r="JH87" s="21"/>
      <c r="JI87" s="21" t="s">
        <v>854</v>
      </c>
      <c r="JJ87" s="30" t="s">
        <v>866</v>
      </c>
      <c r="JK87" s="22"/>
      <c r="JL87" s="22"/>
      <c r="JM87" s="21"/>
      <c r="JN87" s="36"/>
      <c r="JO87" s="21" t="str">
        <f t="shared" si="448"/>
        <v/>
      </c>
      <c r="JP87" s="22"/>
      <c r="JQ87" s="21"/>
      <c r="JR87" s="21"/>
      <c r="JS87" s="21"/>
      <c r="JT87" s="30"/>
      <c r="JU87" s="22"/>
      <c r="JV87" s="22"/>
      <c r="JW87" s="33"/>
      <c r="JX87" s="28" t="str">
        <f t="shared" si="449"/>
        <v>INASISTENTE</v>
      </c>
      <c r="JY87" s="33"/>
      <c r="JZ87" s="28" t="str">
        <f t="shared" si="450"/>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3"/>
        <v>0</v>
      </c>
      <c r="MI87" s="43" t="str">
        <f t="shared" si="304"/>
        <v/>
      </c>
      <c r="MJ87" s="43" t="str">
        <f t="shared" si="305"/>
        <v/>
      </c>
      <c r="MK87" s="43">
        <f t="shared" si="306"/>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7"/>
        <v>15.714285714285714</v>
      </c>
      <c r="MN87" s="43">
        <f t="shared" si="308"/>
        <v>2</v>
      </c>
      <c r="MO87" s="43">
        <f t="shared" si="309"/>
        <v>2023</v>
      </c>
      <c r="MP87" s="43" t="str">
        <f t="shared" si="310"/>
        <v>I TRIMESTRE AÑO</v>
      </c>
      <c r="MQ87" s="43">
        <f t="shared" si="311"/>
        <v>25.851401664476565</v>
      </c>
      <c r="MR87" s="43">
        <f t="shared" si="312"/>
        <v>0</v>
      </c>
      <c r="MS87" s="43" t="str">
        <f t="shared" si="313"/>
        <v xml:space="preserve"> DE 25 A 29 AÑOS</v>
      </c>
      <c r="MT87" s="43">
        <f t="shared" si="314"/>
        <v>0</v>
      </c>
      <c r="MU87" s="43">
        <f t="shared" si="315"/>
        <v>0</v>
      </c>
      <c r="MV87" s="43">
        <f t="shared" si="316"/>
        <v>0</v>
      </c>
      <c r="MW87" s="43">
        <f t="shared" si="317"/>
        <v>0</v>
      </c>
      <c r="MX87" s="43" t="str">
        <f t="shared" si="318"/>
        <v/>
      </c>
      <c r="MY87" s="43" t="str">
        <f t="shared" ca="1" si="451"/>
        <v/>
      </c>
      <c r="MZ87" s="43" t="str">
        <f t="shared" si="319"/>
        <v/>
      </c>
      <c r="NA87" s="43">
        <f t="shared" si="320"/>
        <v>0</v>
      </c>
      <c r="NB87" s="43" t="str">
        <f t="shared" si="321"/>
        <v/>
      </c>
      <c r="NC87" s="43" t="str">
        <f t="shared" si="322"/>
        <v/>
      </c>
      <c r="ND87" s="43">
        <f t="shared" ca="1" si="323"/>
        <v>0</v>
      </c>
      <c r="NE87" s="43">
        <f>IF(OR(O87&gt;0,R87&gt;0),SUM(COUNTIF(Tabla1[[#This Row],[AÑOS AL INICIO5 CPN]],"&gt;=40"),COUNTIF(AS87,"0"),COUNTIF(AR87,"SI"),COUNTIF(CC87,"SI"),COUNTIF(BQ87,"&gt;119"),COUNTIF(CI87,"&gt;=35")),"")</f>
        <v>0</v>
      </c>
      <c r="NF87" s="43" t="str">
        <f t="shared" si="324"/>
        <v/>
      </c>
      <c r="NG87" s="43">
        <f t="shared" si="325"/>
        <v>0</v>
      </c>
      <c r="NH87" s="43">
        <f t="shared" si="326"/>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7"/>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8"/>
        <v>II TRIM</v>
      </c>
      <c r="NQ87" s="21" t="str">
        <f t="shared" si="437"/>
        <v/>
      </c>
      <c r="NR87" s="21">
        <f t="shared" si="452"/>
        <v>2</v>
      </c>
      <c r="NS87" s="205">
        <f t="shared" ca="1" si="329"/>
        <v>1</v>
      </c>
      <c r="NT87" s="21">
        <f t="shared" ca="1" si="330"/>
        <v>1</v>
      </c>
      <c r="NU87" s="21" t="str">
        <f t="shared" ca="1" si="331"/>
        <v>INCOMPLETO</v>
      </c>
      <c r="NV87" s="21" t="str">
        <f t="shared" ca="1" si="332"/>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3"/>
        <v>SIN VACUNAR</v>
      </c>
      <c r="NY87" s="43">
        <f>ROW(Tabla1[[#This Row],['# DE TAMIZAJES SIFILIS TOMADOS ]])</f>
        <v>87</v>
      </c>
      <c r="NZ87" s="43">
        <f t="shared" si="334"/>
        <v>15</v>
      </c>
      <c r="OA87" s="43" t="str">
        <f t="shared" si="335"/>
        <v/>
      </c>
      <c r="OB87" s="43" t="str">
        <f t="shared" si="336"/>
        <v/>
      </c>
      <c r="OC87" s="43" t="str">
        <f t="shared" si="337"/>
        <v/>
      </c>
      <c r="OD87" s="43" t="str">
        <f t="shared" si="338"/>
        <v/>
      </c>
      <c r="OE87" s="43" t="str">
        <f t="shared" si="339"/>
        <v/>
      </c>
      <c r="OF87" s="43" t="str">
        <f t="shared" si="340"/>
        <v/>
      </c>
      <c r="OG87" s="43" t="str">
        <f t="shared" si="341"/>
        <v>NORMAL</v>
      </c>
      <c r="OH87" s="43" t="str">
        <f t="shared" si="342"/>
        <v/>
      </c>
      <c r="OI87" s="43" t="str">
        <f t="shared" si="343"/>
        <v/>
      </c>
      <c r="OJ87" s="43" t="str">
        <f t="shared" si="344"/>
        <v/>
      </c>
      <c r="OK87" s="43" t="str">
        <f t="shared" si="345"/>
        <v/>
      </c>
      <c r="OL87" s="43" t="str">
        <f t="shared" si="346"/>
        <v/>
      </c>
      <c r="OM87" s="43" t="str">
        <f t="shared" si="347"/>
        <v/>
      </c>
      <c r="ON87" s="43" t="str">
        <f t="shared" si="348"/>
        <v/>
      </c>
      <c r="OO87" s="43" t="str">
        <f t="shared" si="349"/>
        <v/>
      </c>
      <c r="OP87" s="43" t="str">
        <f t="shared" si="350"/>
        <v/>
      </c>
      <c r="OQ87" s="43" t="str">
        <f t="shared" si="351"/>
        <v/>
      </c>
      <c r="OR87" s="43" t="str">
        <f t="shared" si="352"/>
        <v/>
      </c>
      <c r="OS87" s="43" t="str">
        <f t="shared" si="353"/>
        <v/>
      </c>
      <c r="OT87" s="43" t="str">
        <f t="shared" si="354"/>
        <v/>
      </c>
      <c r="OU87" s="43" t="str">
        <f t="shared" si="355"/>
        <v/>
      </c>
      <c r="OV87" s="110" t="str">
        <f t="shared" si="356"/>
        <v/>
      </c>
      <c r="OW87" s="43" t="str">
        <f t="shared" si="357"/>
        <v/>
      </c>
      <c r="OX87" s="43" t="str">
        <f t="shared" si="358"/>
        <v/>
      </c>
      <c r="OY87" s="43" t="str">
        <f t="shared" si="359"/>
        <v/>
      </c>
      <c r="OZ87" s="43" t="str">
        <f t="shared" si="360"/>
        <v/>
      </c>
      <c r="PA87" s="43" t="str">
        <f t="shared" si="361"/>
        <v/>
      </c>
      <c r="PB87" s="43" t="str">
        <f t="shared" si="362"/>
        <v/>
      </c>
      <c r="PC87" s="43" t="str">
        <f t="shared" si="363"/>
        <v/>
      </c>
      <c r="PD87" s="43" t="str">
        <f t="shared" si="364"/>
        <v/>
      </c>
      <c r="PE87" s="43" t="str">
        <f t="shared" si="365"/>
        <v/>
      </c>
      <c r="PF87" s="43" t="str">
        <f t="shared" si="366"/>
        <v/>
      </c>
      <c r="PG87" s="43" t="str">
        <f t="shared" si="367"/>
        <v/>
      </c>
      <c r="PH87" s="43" t="str">
        <f t="shared" si="368"/>
        <v/>
      </c>
      <c r="PI87" s="43">
        <f t="shared" si="369"/>
        <v>35</v>
      </c>
      <c r="PJ87" s="43" t="str">
        <f t="shared" si="370"/>
        <v/>
      </c>
      <c r="PK87" s="43" t="str">
        <f t="shared" si="371"/>
        <v/>
      </c>
      <c r="PL87" s="43" t="str">
        <f t="shared" si="372"/>
        <v/>
      </c>
      <c r="PM87" s="43" t="str">
        <f t="shared" si="373"/>
        <v/>
      </c>
      <c r="PN87" s="43" t="str">
        <f t="shared" si="374"/>
        <v/>
      </c>
      <c r="PO87" s="43" t="str">
        <f t="shared" si="375"/>
        <v/>
      </c>
      <c r="PP87" s="43" t="str">
        <f t="shared" si="376"/>
        <v/>
      </c>
      <c r="PQ87" s="43" t="str">
        <f t="shared" si="377"/>
        <v/>
      </c>
      <c r="PR87" s="43" t="str">
        <f t="shared" si="378"/>
        <v/>
      </c>
      <c r="PS87" s="43" t="str">
        <f t="shared" si="379"/>
        <v/>
      </c>
      <c r="PT87" s="43" t="str">
        <f t="shared" si="380"/>
        <v/>
      </c>
      <c r="PU87" s="43" t="str">
        <f t="shared" si="381"/>
        <v/>
      </c>
      <c r="PV87" s="43" t="str">
        <f t="shared" si="382"/>
        <v/>
      </c>
      <c r="PW87" s="43" t="str">
        <f t="shared" si="383"/>
        <v/>
      </c>
      <c r="PX87" s="43" t="str">
        <f t="shared" si="384"/>
        <v/>
      </c>
      <c r="PY87" s="43" t="str">
        <f t="shared" si="385"/>
        <v/>
      </c>
      <c r="PZ87" s="43" t="str">
        <f t="shared" si="386"/>
        <v/>
      </c>
      <c r="QA87" s="43" t="str">
        <f t="shared" si="387"/>
        <v/>
      </c>
      <c r="QB87" s="43" t="str">
        <f t="shared" si="388"/>
        <v/>
      </c>
      <c r="QC87" s="43" t="str">
        <f t="shared" si="389"/>
        <v/>
      </c>
      <c r="QD87" s="43" t="str">
        <f t="shared" si="390"/>
        <v/>
      </c>
      <c r="QE87" s="43" t="str">
        <f t="shared" si="391"/>
        <v/>
      </c>
      <c r="QF87" s="43" t="str">
        <f t="shared" si="392"/>
        <v/>
      </c>
      <c r="QG87" s="43" t="str">
        <f t="shared" si="393"/>
        <v/>
      </c>
      <c r="QH87" s="43" t="str">
        <f t="shared" si="394"/>
        <v/>
      </c>
      <c r="QI87" s="43" t="str">
        <f t="shared" si="395"/>
        <v/>
      </c>
      <c r="QJ87" s="43" t="str">
        <f t="shared" si="396"/>
        <v>NORMAL</v>
      </c>
      <c r="QK87" s="43" t="str">
        <f t="shared" si="397"/>
        <v/>
      </c>
      <c r="QL87" s="43" t="str">
        <f t="shared" si="398"/>
        <v/>
      </c>
      <c r="QM87" s="43" t="str">
        <f t="shared" si="399"/>
        <v/>
      </c>
      <c r="QN87" s="43" t="str">
        <f t="shared" si="400"/>
        <v/>
      </c>
      <c r="QO87" s="43" t="str">
        <f t="shared" si="401"/>
        <v/>
      </c>
      <c r="QP87" s="43" t="str">
        <f t="shared" si="402"/>
        <v/>
      </c>
      <c r="QQ87" s="43" t="str">
        <f t="shared" si="403"/>
        <v/>
      </c>
      <c r="QR87" s="43">
        <f t="shared" si="433"/>
        <v>35</v>
      </c>
      <c r="QS87" s="43"/>
      <c r="QT87" s="21" t="str">
        <f t="shared" si="404"/>
        <v/>
      </c>
      <c r="QU87" s="21" t="str">
        <f t="shared" si="405"/>
        <v/>
      </c>
      <c r="QV87" s="21" t="str">
        <f t="shared" si="406"/>
        <v/>
      </c>
      <c r="QW87" s="21" t="str">
        <f t="shared" si="407"/>
        <v/>
      </c>
      <c r="QX87" s="21" t="str">
        <f t="shared" si="408"/>
        <v/>
      </c>
      <c r="QY87" s="21" t="str">
        <f t="shared" si="409"/>
        <v/>
      </c>
      <c r="QZ87" s="21" t="str">
        <f t="shared" si="410"/>
        <v/>
      </c>
      <c r="RA87" s="21" t="str">
        <f t="shared" si="411"/>
        <v/>
      </c>
      <c r="RB87" s="21" t="str">
        <f t="shared" si="412"/>
        <v/>
      </c>
      <c r="RC87" s="21" t="str">
        <f t="shared" si="413"/>
        <v/>
      </c>
      <c r="RD87" s="21" t="str">
        <f t="shared" si="414"/>
        <v/>
      </c>
      <c r="RE87" s="21" t="str">
        <f t="shared" si="415"/>
        <v/>
      </c>
      <c r="RF87" s="21" t="str">
        <f t="shared" si="416"/>
        <v/>
      </c>
      <c r="RG87" s="21" t="str">
        <f t="shared" si="417"/>
        <v/>
      </c>
      <c r="RH87" s="21" t="str">
        <f t="shared" si="418"/>
        <v/>
      </c>
      <c r="RI87" s="21" t="str">
        <f t="shared" si="419"/>
        <v/>
      </c>
      <c r="RJ87" s="21" t="str">
        <f t="shared" si="420"/>
        <v/>
      </c>
      <c r="RK87" s="21" t="str">
        <f t="shared" si="421"/>
        <v/>
      </c>
      <c r="RL87" s="21" t="str">
        <f t="shared" si="422"/>
        <v/>
      </c>
      <c r="RM87" s="21" t="str">
        <f t="shared" si="423"/>
        <v/>
      </c>
      <c r="RN87" s="21" t="str">
        <f t="shared" si="424"/>
        <v/>
      </c>
      <c r="RO87" s="21" t="str">
        <f t="shared" si="425"/>
        <v/>
      </c>
      <c r="RP87" s="21" t="str">
        <f t="shared" si="426"/>
        <v>ADECUADO PARA EDAD GESTACIONAL</v>
      </c>
      <c r="RQ87" s="21" t="str">
        <f t="shared" si="427"/>
        <v/>
      </c>
      <c r="RR87" s="21" t="str">
        <f t="shared" si="428"/>
        <v/>
      </c>
      <c r="RS87" s="21" t="str">
        <f t="shared" si="429"/>
        <v/>
      </c>
      <c r="RT87" s="21" t="str">
        <f t="shared" si="430"/>
        <v/>
      </c>
      <c r="RU87" s="21" t="str">
        <f t="shared" si="431"/>
        <v/>
      </c>
      <c r="RV87" s="21">
        <f t="shared" si="432"/>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4"/>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16.739726027397261</v>
      </c>
      <c r="O88" s="22">
        <v>44960</v>
      </c>
      <c r="P88" s="214" t="str">
        <f t="shared" si="438"/>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9"/>
        <v>CONCERTAR PLAN DE PARTO INMEDIATO</v>
      </c>
      <c r="DV88" s="226" t="str">
        <f t="shared" si="440"/>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1"/>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2"/>
        <v>NO APLICA-INGRESO TARDIO</v>
      </c>
      <c r="FP88" s="22"/>
      <c r="FQ88" s="32"/>
      <c r="FR88" s="29" t="str">
        <f t="shared" ca="1" si="443"/>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4"/>
        <v>NO APLICA-INGRESO TARDIO</v>
      </c>
      <c r="GE88" s="22"/>
      <c r="GF88" s="22"/>
      <c r="GG88" s="29" t="str">
        <f t="shared" ca="1" si="445"/>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t="str">
        <f t="shared" ca="1" si="289"/>
        <v>**********************MULTIPARIDAD**RIESGO POR EDAD***************</v>
      </c>
      <c r="HK88" s="21" t="str">
        <f t="shared" si="290"/>
        <v>SIN ANTECEDENTES DE RIESGO</v>
      </c>
      <c r="HL88" s="24" t="str">
        <f t="shared" si="291"/>
        <v>REGISTRE DATO PRESIÓN ARTERIAL MENSUAL</v>
      </c>
      <c r="HM88" s="21" t="e">
        <f t="shared" ca="1" si="292"/>
        <v>#REF!</v>
      </c>
      <c r="HN88" s="30" t="str">
        <f t="shared" si="446"/>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3"/>
        <v>29.5</v>
      </c>
      <c r="IA88" s="26"/>
      <c r="IB88" s="26"/>
      <c r="IC88" s="111">
        <v>44960</v>
      </c>
      <c r="ID88" s="22">
        <v>44960</v>
      </c>
      <c r="IE88" s="22" t="str">
        <f t="shared" ca="1" si="294"/>
        <v>VACUNA APLICADA ENTRE SEMANA 27 Y EL PARTO</v>
      </c>
      <c r="IF88" s="22"/>
      <c r="IG88" s="22">
        <f t="shared" si="295"/>
        <v>45033.5</v>
      </c>
      <c r="IH88" s="29">
        <f t="shared" ca="1" si="296"/>
        <v>-198.5</v>
      </c>
      <c r="II88" s="22" t="str">
        <f t="shared" ca="1" si="297"/>
        <v>POSIBLEMENTE NACIO</v>
      </c>
      <c r="IJ88" s="22"/>
      <c r="IK88" s="21"/>
      <c r="IL88" s="21"/>
      <c r="IM88" s="34"/>
      <c r="IN88" s="349"/>
      <c r="IO88" s="21"/>
      <c r="IP88" s="29" t="str">
        <f t="shared" si="436"/>
        <v/>
      </c>
      <c r="IQ88" s="110"/>
      <c r="IR88" s="21"/>
      <c r="IS88" s="21"/>
      <c r="IT88" s="21"/>
      <c r="IU88" s="21"/>
      <c r="IV88" s="21"/>
      <c r="IW88" s="21"/>
      <c r="IX88" s="21"/>
      <c r="IY88" s="21"/>
      <c r="IZ88" s="21"/>
      <c r="JA88" s="21"/>
      <c r="JB88" s="30"/>
      <c r="JC88" s="21"/>
      <c r="JD88" s="36"/>
      <c r="JE88" s="21" t="str">
        <f t="shared" si="447"/>
        <v/>
      </c>
      <c r="JF88" s="30"/>
      <c r="JG88" s="21"/>
      <c r="JH88" s="21"/>
      <c r="JI88" s="21"/>
      <c r="JJ88" s="30"/>
      <c r="JK88" s="22"/>
      <c r="JL88" s="22"/>
      <c r="JM88" s="21"/>
      <c r="JN88" s="36"/>
      <c r="JO88" s="21" t="str">
        <f t="shared" si="448"/>
        <v/>
      </c>
      <c r="JP88" s="22"/>
      <c r="JQ88" s="21"/>
      <c r="JR88" s="21"/>
      <c r="JS88" s="21"/>
      <c r="JT88" s="30"/>
      <c r="JU88" s="22"/>
      <c r="JV88" s="22"/>
      <c r="JW88" s="33"/>
      <c r="JX88" s="28" t="str">
        <f t="shared" si="449"/>
        <v/>
      </c>
      <c r="JY88" s="33"/>
      <c r="JZ88" s="28" t="str">
        <f t="shared" si="450"/>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3"/>
        <v>0</v>
      </c>
      <c r="MI88" s="43" t="str">
        <f t="shared" si="304"/>
        <v/>
      </c>
      <c r="MJ88" s="43" t="str">
        <f t="shared" si="305"/>
        <v/>
      </c>
      <c r="MK88" s="43">
        <f t="shared" si="306"/>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7"/>
        <v>29.5</v>
      </c>
      <c r="MN88" s="43">
        <f t="shared" si="308"/>
        <v>2</v>
      </c>
      <c r="MO88" s="43">
        <f t="shared" si="309"/>
        <v>2023</v>
      </c>
      <c r="MP88" s="43" t="str">
        <f t="shared" si="310"/>
        <v>I TRIMESTRE AÑO</v>
      </c>
      <c r="MQ88" s="43">
        <f t="shared" si="311"/>
        <v>15.752299605781864</v>
      </c>
      <c r="MR88" s="43">
        <f t="shared" si="312"/>
        <v>1</v>
      </c>
      <c r="MS88" s="43" t="str">
        <f t="shared" si="313"/>
        <v>DE 14 A 19AÑOS</v>
      </c>
      <c r="MT88" s="43">
        <f t="shared" si="314"/>
        <v>0</v>
      </c>
      <c r="MU88" s="43">
        <f t="shared" si="315"/>
        <v>1</v>
      </c>
      <c r="MV88" s="43">
        <f t="shared" si="316"/>
        <v>0</v>
      </c>
      <c r="MW88" s="43">
        <f t="shared" si="317"/>
        <v>0</v>
      </c>
      <c r="MX88" s="43" t="str">
        <f t="shared" si="318"/>
        <v/>
      </c>
      <c r="MY88" s="43" t="str">
        <f t="shared" ca="1" si="451"/>
        <v/>
      </c>
      <c r="MZ88" s="43" t="str">
        <f t="shared" si="319"/>
        <v/>
      </c>
      <c r="NA88" s="43">
        <f t="shared" si="320"/>
        <v>0</v>
      </c>
      <c r="NB88" s="43" t="str">
        <f t="shared" si="321"/>
        <v/>
      </c>
      <c r="NC88" s="43" t="str">
        <f t="shared" si="322"/>
        <v/>
      </c>
      <c r="ND88" s="43">
        <f t="shared" ca="1" si="323"/>
        <v>2</v>
      </c>
      <c r="NE88" s="43">
        <f>IF(OR(O88&gt;0,R88&gt;0),SUM(COUNTIF(Tabla1[[#This Row],[AÑOS AL INICIO5 CPN]],"&gt;=40"),COUNTIF(AS88,"0"),COUNTIF(AR88,"SI"),COUNTIF(CC88,"SI"),COUNTIF(BQ88,"&gt;119"),COUNTIF(CI88,"&gt;=35")),"")</f>
        <v>1</v>
      </c>
      <c r="NF88" s="43">
        <f t="shared" si="324"/>
        <v>29.5</v>
      </c>
      <c r="NG88" s="43">
        <f t="shared" si="325"/>
        <v>0</v>
      </c>
      <c r="NH88" s="43">
        <f t="shared" si="326"/>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7"/>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8"/>
        <v>III TRIM</v>
      </c>
      <c r="NQ88" s="21" t="str">
        <f t="shared" si="437"/>
        <v/>
      </c>
      <c r="NR88" s="21">
        <f t="shared" si="452"/>
        <v>1</v>
      </c>
      <c r="NS88" s="205">
        <f t="shared" ca="1" si="329"/>
        <v>0</v>
      </c>
      <c r="NT88" s="21">
        <f t="shared" ca="1" si="330"/>
        <v>0</v>
      </c>
      <c r="NU88" s="21" t="str">
        <f t="shared" ca="1" si="331"/>
        <v>INCOMPLETO</v>
      </c>
      <c r="NV88" s="21" t="str">
        <f t="shared" ca="1" si="332"/>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3"/>
        <v>VACUNADA</v>
      </c>
      <c r="NY88" s="43">
        <f>ROW(Tabla1[[#This Row],['# DE TAMIZAJES SIFILIS TOMADOS ]])</f>
        <v>88</v>
      </c>
      <c r="NZ88" s="43">
        <f t="shared" si="334"/>
        <v>29</v>
      </c>
      <c r="OA88" s="43" t="str">
        <f t="shared" si="335"/>
        <v/>
      </c>
      <c r="OB88" s="43" t="str">
        <f t="shared" si="336"/>
        <v/>
      </c>
      <c r="OC88" s="43" t="str">
        <f t="shared" si="337"/>
        <v/>
      </c>
      <c r="OD88" s="43" t="str">
        <f t="shared" si="338"/>
        <v/>
      </c>
      <c r="OE88" s="43" t="str">
        <f t="shared" si="339"/>
        <v/>
      </c>
      <c r="OF88" s="43" t="str">
        <f t="shared" si="340"/>
        <v/>
      </c>
      <c r="OG88" s="43" t="str">
        <f t="shared" si="341"/>
        <v/>
      </c>
      <c r="OH88" s="43" t="str">
        <f t="shared" si="342"/>
        <v/>
      </c>
      <c r="OI88" s="43" t="str">
        <f t="shared" si="343"/>
        <v/>
      </c>
      <c r="OJ88" s="43" t="str">
        <f t="shared" si="344"/>
        <v/>
      </c>
      <c r="OK88" s="43" t="str">
        <f t="shared" si="345"/>
        <v/>
      </c>
      <c r="OL88" s="43" t="str">
        <f t="shared" si="346"/>
        <v/>
      </c>
      <c r="OM88" s="43" t="str">
        <f t="shared" si="347"/>
        <v/>
      </c>
      <c r="ON88" s="43" t="str">
        <f t="shared" si="348"/>
        <v/>
      </c>
      <c r="OO88" s="43" t="str">
        <f t="shared" si="349"/>
        <v/>
      </c>
      <c r="OP88" s="43" t="str">
        <f t="shared" si="350"/>
        <v/>
      </c>
      <c r="OQ88" s="43" t="str">
        <f t="shared" si="351"/>
        <v/>
      </c>
      <c r="OR88" s="43" t="str">
        <f t="shared" si="352"/>
        <v/>
      </c>
      <c r="OS88" s="43" t="str">
        <f t="shared" si="353"/>
        <v/>
      </c>
      <c r="OT88" s="43" t="str">
        <f t="shared" si="354"/>
        <v/>
      </c>
      <c r="OU88" s="43" t="str">
        <f t="shared" si="355"/>
        <v>OBESIDAD</v>
      </c>
      <c r="OV88" s="110" t="str">
        <f t="shared" si="356"/>
        <v/>
      </c>
      <c r="OW88" s="43" t="str">
        <f t="shared" si="357"/>
        <v/>
      </c>
      <c r="OX88" s="43" t="str">
        <f t="shared" si="358"/>
        <v/>
      </c>
      <c r="OY88" s="43" t="str">
        <f t="shared" si="359"/>
        <v/>
      </c>
      <c r="OZ88" s="43" t="str">
        <f t="shared" si="360"/>
        <v/>
      </c>
      <c r="PA88" s="43" t="str">
        <f t="shared" si="361"/>
        <v/>
      </c>
      <c r="PB88" s="43" t="str">
        <f t="shared" si="362"/>
        <v/>
      </c>
      <c r="PC88" s="43" t="str">
        <f t="shared" si="363"/>
        <v/>
      </c>
      <c r="PD88" s="43" t="str">
        <f t="shared" si="364"/>
        <v/>
      </c>
      <c r="PE88" s="43" t="str">
        <f t="shared" si="365"/>
        <v/>
      </c>
      <c r="PF88" s="43" t="str">
        <f t="shared" si="366"/>
        <v/>
      </c>
      <c r="PG88" s="43" t="str">
        <f t="shared" si="367"/>
        <v/>
      </c>
      <c r="PH88" s="43" t="str">
        <f t="shared" si="368"/>
        <v/>
      </c>
      <c r="PI88" s="43">
        <f t="shared" si="369"/>
        <v>29</v>
      </c>
      <c r="PJ88" s="43" t="str">
        <f t="shared" si="370"/>
        <v/>
      </c>
      <c r="PK88" s="43" t="str">
        <f t="shared" si="371"/>
        <v/>
      </c>
      <c r="PL88" s="43" t="str">
        <f t="shared" si="372"/>
        <v/>
      </c>
      <c r="PM88" s="43" t="str">
        <f t="shared" si="373"/>
        <v/>
      </c>
      <c r="PN88" s="43" t="str">
        <f t="shared" si="374"/>
        <v/>
      </c>
      <c r="PO88" s="43" t="str">
        <f t="shared" si="375"/>
        <v/>
      </c>
      <c r="PP88" s="43" t="str">
        <f t="shared" si="376"/>
        <v/>
      </c>
      <c r="PQ88" s="43" t="str">
        <f t="shared" si="377"/>
        <v/>
      </c>
      <c r="PR88" s="43" t="str">
        <f t="shared" si="378"/>
        <v/>
      </c>
      <c r="PS88" s="43" t="str">
        <f t="shared" si="379"/>
        <v/>
      </c>
      <c r="PT88" s="43" t="str">
        <f t="shared" si="380"/>
        <v/>
      </c>
      <c r="PU88" s="43" t="str">
        <f t="shared" si="381"/>
        <v/>
      </c>
      <c r="PV88" s="43" t="str">
        <f t="shared" si="382"/>
        <v/>
      </c>
      <c r="PW88" s="43" t="str">
        <f t="shared" si="383"/>
        <v/>
      </c>
      <c r="PX88" s="43" t="str">
        <f t="shared" si="384"/>
        <v/>
      </c>
      <c r="PY88" s="43" t="str">
        <f t="shared" si="385"/>
        <v/>
      </c>
      <c r="PZ88" s="43" t="str">
        <f t="shared" si="386"/>
        <v/>
      </c>
      <c r="QA88" s="43" t="str">
        <f t="shared" si="387"/>
        <v/>
      </c>
      <c r="QB88" s="43" t="str">
        <f t="shared" si="388"/>
        <v/>
      </c>
      <c r="QC88" s="43" t="str">
        <f t="shared" si="389"/>
        <v/>
      </c>
      <c r="QD88" s="43" t="str">
        <f t="shared" si="390"/>
        <v/>
      </c>
      <c r="QE88" s="43" t="str">
        <f t="shared" si="391"/>
        <v/>
      </c>
      <c r="QF88" s="43" t="str">
        <f t="shared" si="392"/>
        <v/>
      </c>
      <c r="QG88" s="43" t="str">
        <f t="shared" si="393"/>
        <v/>
      </c>
      <c r="QH88" s="43" t="str">
        <f t="shared" si="394"/>
        <v/>
      </c>
      <c r="QI88" s="43" t="str">
        <f t="shared" si="395"/>
        <v/>
      </c>
      <c r="QJ88" s="43" t="str">
        <f t="shared" si="396"/>
        <v/>
      </c>
      <c r="QK88" s="43" t="str">
        <f t="shared" si="397"/>
        <v/>
      </c>
      <c r="QL88" s="43" t="str">
        <f t="shared" si="398"/>
        <v/>
      </c>
      <c r="QM88" s="43" t="str">
        <f t="shared" si="399"/>
        <v/>
      </c>
      <c r="QN88" s="43" t="str">
        <f t="shared" si="400"/>
        <v/>
      </c>
      <c r="QO88" s="43" t="str">
        <f t="shared" si="401"/>
        <v/>
      </c>
      <c r="QP88" s="43" t="str">
        <f t="shared" si="402"/>
        <v/>
      </c>
      <c r="QQ88" s="43" t="str">
        <f t="shared" si="403"/>
        <v/>
      </c>
      <c r="QR88" s="43">
        <f t="shared" si="433"/>
        <v>29</v>
      </c>
      <c r="QS88" s="43"/>
      <c r="QT88" s="21" t="str">
        <f t="shared" si="404"/>
        <v/>
      </c>
      <c r="QU88" s="21" t="str">
        <f t="shared" si="405"/>
        <v/>
      </c>
      <c r="QV88" s="21" t="str">
        <f t="shared" si="406"/>
        <v/>
      </c>
      <c r="QW88" s="21" t="str">
        <f t="shared" si="407"/>
        <v/>
      </c>
      <c r="QX88" s="21" t="str">
        <f t="shared" si="408"/>
        <v/>
      </c>
      <c r="QY88" s="21" t="str">
        <f t="shared" si="409"/>
        <v/>
      </c>
      <c r="QZ88" s="21" t="str">
        <f t="shared" si="410"/>
        <v/>
      </c>
      <c r="RA88" s="21" t="str">
        <f t="shared" si="411"/>
        <v/>
      </c>
      <c r="RB88" s="21" t="str">
        <f t="shared" si="412"/>
        <v/>
      </c>
      <c r="RC88" s="21" t="str">
        <f t="shared" si="413"/>
        <v/>
      </c>
      <c r="RD88" s="21" t="str">
        <f t="shared" si="414"/>
        <v/>
      </c>
      <c r="RE88" s="21" t="str">
        <f t="shared" si="415"/>
        <v/>
      </c>
      <c r="RF88" s="21" t="str">
        <f t="shared" si="416"/>
        <v/>
      </c>
      <c r="RG88" s="21" t="str">
        <f t="shared" si="417"/>
        <v/>
      </c>
      <c r="RH88" s="21" t="str">
        <f t="shared" si="418"/>
        <v/>
      </c>
      <c r="RI88" s="21" t="str">
        <f t="shared" si="419"/>
        <v/>
      </c>
      <c r="RJ88" s="21" t="str">
        <f t="shared" si="420"/>
        <v/>
      </c>
      <c r="RK88" s="21" t="str">
        <f t="shared" si="421"/>
        <v/>
      </c>
      <c r="RL88" s="21" t="str">
        <f t="shared" si="422"/>
        <v/>
      </c>
      <c r="RM88" s="21" t="str">
        <f t="shared" si="423"/>
        <v/>
      </c>
      <c r="RN88" s="21" t="str">
        <f t="shared" si="424"/>
        <v/>
      </c>
      <c r="RO88" s="21" t="str">
        <f t="shared" si="425"/>
        <v/>
      </c>
      <c r="RP88" s="21" t="str">
        <f t="shared" si="426"/>
        <v/>
      </c>
      <c r="RQ88" s="21" t="str">
        <f t="shared" si="427"/>
        <v/>
      </c>
      <c r="RR88" s="21" t="str">
        <f t="shared" si="428"/>
        <v/>
      </c>
      <c r="RS88" s="21" t="str">
        <f t="shared" si="429"/>
        <v/>
      </c>
      <c r="RT88" s="21" t="str">
        <f t="shared" si="430"/>
        <v/>
      </c>
      <c r="RU88" s="21" t="str">
        <f t="shared" si="431"/>
        <v/>
      </c>
      <c r="RV88" s="21">
        <f t="shared" si="432"/>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4"/>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28.304109589041097</v>
      </c>
      <c r="O89" s="22">
        <v>44947</v>
      </c>
      <c r="P89" s="214" t="str">
        <f t="shared" si="438"/>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9"/>
        <v>SALE SIN PLAN DE PARTO</v>
      </c>
      <c r="DV89" s="226" t="str">
        <f t="shared" si="440"/>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1"/>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2"/>
        <v>13.571428571428571</v>
      </c>
      <c r="FP89" s="22"/>
      <c r="FQ89" s="32"/>
      <c r="FR89" s="29" t="str">
        <f t="shared" ca="1" si="443"/>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4"/>
        <v>13.571428571428571</v>
      </c>
      <c r="GE89" s="22"/>
      <c r="GF89" s="22"/>
      <c r="GG89" s="29" t="str">
        <f t="shared" ca="1" si="445"/>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t="str">
        <f t="shared" ca="1" si="289"/>
        <v>***************************************</v>
      </c>
      <c r="HK89" s="21" t="str">
        <f t="shared" si="290"/>
        <v>SIN ANTECEDENTES DE RIESGO</v>
      </c>
      <c r="HL89" s="24" t="str">
        <f t="shared" si="291"/>
        <v>APARENTEMENTE NORMAL</v>
      </c>
      <c r="HM89" s="21" t="str">
        <f t="shared" ca="1" si="292"/>
        <v/>
      </c>
      <c r="HN89" s="30" t="str">
        <f t="shared" si="446"/>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3"/>
        <v>12.142857142857142</v>
      </c>
      <c r="IA89" s="26"/>
      <c r="IB89" s="26"/>
      <c r="IC89" s="111"/>
      <c r="ID89" s="22"/>
      <c r="IE89" s="22" t="str">
        <f t="shared" ca="1" si="294"/>
        <v>SALE SIN VACUNA</v>
      </c>
      <c r="IF89" s="22"/>
      <c r="IG89" s="22">
        <f t="shared" si="295"/>
        <v>45142</v>
      </c>
      <c r="IH89" s="29">
        <f t="shared" ca="1" si="296"/>
        <v>-90</v>
      </c>
      <c r="II89" s="22" t="str">
        <f t="shared" ca="1" si="297"/>
        <v>POSIBLEMENTE NACIO</v>
      </c>
      <c r="IJ89" s="22"/>
      <c r="IK89" s="21" t="s">
        <v>1652</v>
      </c>
      <c r="IL89" s="21"/>
      <c r="IM89" s="34"/>
      <c r="IN89" s="349">
        <v>45145</v>
      </c>
      <c r="IO89" s="21" t="s">
        <v>1186</v>
      </c>
      <c r="IP89" s="29">
        <f t="shared" si="436"/>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7"/>
        <v>PESO ADECUADO EDAD GESTACIONAL</v>
      </c>
      <c r="JF89" s="30"/>
      <c r="JG89" s="21"/>
      <c r="JH89" s="21"/>
      <c r="JI89" s="21"/>
      <c r="JJ89" s="30"/>
      <c r="JK89" s="22"/>
      <c r="JL89" s="22"/>
      <c r="JM89" s="21"/>
      <c r="JN89" s="36"/>
      <c r="JO89" s="21" t="str">
        <f t="shared" si="448"/>
        <v/>
      </c>
      <c r="JP89" s="22"/>
      <c r="JQ89" s="21"/>
      <c r="JR89" s="21"/>
      <c r="JS89" s="21"/>
      <c r="JT89" s="30"/>
      <c r="JU89" s="22"/>
      <c r="JV89" s="22"/>
      <c r="JW89" s="33"/>
      <c r="JX89" s="28" t="str">
        <f t="shared" si="449"/>
        <v>INASISTENTE</v>
      </c>
      <c r="JY89" s="33"/>
      <c r="JZ89" s="28" t="str">
        <f t="shared" si="450"/>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3"/>
        <v>0</v>
      </c>
      <c r="MI89" s="43" t="str">
        <f t="shared" si="304"/>
        <v/>
      </c>
      <c r="MJ89" s="43" t="str">
        <f t="shared" si="305"/>
        <v/>
      </c>
      <c r="MK89" s="43">
        <f t="shared" si="306"/>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7"/>
        <v>12.142857142857142</v>
      </c>
      <c r="MN89" s="43">
        <f t="shared" si="308"/>
        <v>1</v>
      </c>
      <c r="MO89" s="43">
        <f t="shared" si="309"/>
        <v>2023</v>
      </c>
      <c r="MP89" s="43" t="str">
        <f t="shared" si="310"/>
        <v>I TRIMESTRE AÑO</v>
      </c>
      <c r="MQ89" s="43">
        <f t="shared" si="311"/>
        <v>27.091546211125713</v>
      </c>
      <c r="MR89" s="43">
        <f t="shared" si="312"/>
        <v>0</v>
      </c>
      <c r="MS89" s="43" t="str">
        <f t="shared" si="313"/>
        <v xml:space="preserve"> DE 25 A 29 AÑOS</v>
      </c>
      <c r="MT89" s="43">
        <f t="shared" si="314"/>
        <v>0</v>
      </c>
      <c r="MU89" s="43">
        <f t="shared" si="315"/>
        <v>0</v>
      </c>
      <c r="MV89" s="43">
        <f t="shared" si="316"/>
        <v>0</v>
      </c>
      <c r="MW89" s="43">
        <f t="shared" si="317"/>
        <v>0</v>
      </c>
      <c r="MX89" s="43" t="str">
        <f t="shared" si="318"/>
        <v/>
      </c>
      <c r="MY89" s="43" t="str">
        <f t="shared" ca="1" si="451"/>
        <v/>
      </c>
      <c r="MZ89" s="43" t="str">
        <f t="shared" si="319"/>
        <v/>
      </c>
      <c r="NA89" s="43" t="str">
        <f t="shared" si="320"/>
        <v/>
      </c>
      <c r="NB89" s="43" t="str">
        <f t="shared" si="321"/>
        <v/>
      </c>
      <c r="NC89" s="43" t="str">
        <f t="shared" si="322"/>
        <v/>
      </c>
      <c r="ND89" s="43">
        <f t="shared" ca="1" si="323"/>
        <v>0</v>
      </c>
      <c r="NE89" s="43">
        <f>IF(OR(O89&gt;0,R89&gt;0),SUM(COUNTIF(Tabla1[[#This Row],[AÑOS AL INICIO5 CPN]],"&gt;=40"),COUNTIF(AS89,"0"),COUNTIF(AR89,"SI"),COUNTIF(CC89,"SI"),COUNTIF(BQ89,"&gt;119"),COUNTIF(CI89,"&gt;=35")),"")</f>
        <v>0</v>
      </c>
      <c r="NF89" s="43" t="str">
        <f t="shared" si="324"/>
        <v/>
      </c>
      <c r="NG89" s="43">
        <f t="shared" si="325"/>
        <v>0</v>
      </c>
      <c r="NH89" s="43">
        <f t="shared" si="326"/>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7"/>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8"/>
        <v>I TRIM</v>
      </c>
      <c r="NQ89" s="21">
        <f t="shared" si="437"/>
        <v>7</v>
      </c>
      <c r="NR89" s="21">
        <f t="shared" si="452"/>
        <v>3</v>
      </c>
      <c r="NS89" s="205">
        <f t="shared" ca="1" si="329"/>
        <v>1</v>
      </c>
      <c r="NT89" s="21">
        <f t="shared" ca="1" si="330"/>
        <v>1</v>
      </c>
      <c r="NU89" s="21" t="str">
        <f t="shared" ca="1" si="331"/>
        <v>INCOMPLETO</v>
      </c>
      <c r="NV89" s="21" t="str">
        <f t="shared" ca="1" si="332"/>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3"/>
        <v>SIN VACUNAR</v>
      </c>
      <c r="NY89" s="43">
        <f>ROW(Tabla1[[#This Row],['# DE TAMIZAJES SIFILIS TOMADOS ]])</f>
        <v>89</v>
      </c>
      <c r="NZ89" s="43">
        <f t="shared" si="334"/>
        <v>11</v>
      </c>
      <c r="OA89" s="43" t="str">
        <f t="shared" si="335"/>
        <v/>
      </c>
      <c r="OB89" s="43" t="str">
        <f t="shared" si="336"/>
        <v/>
      </c>
      <c r="OC89" s="43" t="str">
        <f t="shared" si="337"/>
        <v>SOBREPESO</v>
      </c>
      <c r="OD89" s="43" t="str">
        <f t="shared" si="338"/>
        <v/>
      </c>
      <c r="OE89" s="43" t="str">
        <f t="shared" si="339"/>
        <v/>
      </c>
      <c r="OF89" s="43" t="str">
        <f t="shared" si="340"/>
        <v/>
      </c>
      <c r="OG89" s="43" t="str">
        <f t="shared" si="341"/>
        <v/>
      </c>
      <c r="OH89" s="43" t="str">
        <f t="shared" si="342"/>
        <v/>
      </c>
      <c r="OI89" s="43" t="str">
        <f t="shared" si="343"/>
        <v/>
      </c>
      <c r="OJ89" s="43" t="str">
        <f t="shared" si="344"/>
        <v/>
      </c>
      <c r="OK89" s="43" t="str">
        <f t="shared" si="345"/>
        <v/>
      </c>
      <c r="OL89" s="43" t="str">
        <f t="shared" si="346"/>
        <v/>
      </c>
      <c r="OM89" s="43" t="str">
        <f t="shared" si="347"/>
        <v/>
      </c>
      <c r="ON89" s="43" t="str">
        <f t="shared" si="348"/>
        <v/>
      </c>
      <c r="OO89" s="43" t="str">
        <f t="shared" si="349"/>
        <v/>
      </c>
      <c r="OP89" s="43" t="str">
        <f t="shared" si="350"/>
        <v/>
      </c>
      <c r="OQ89" s="43" t="str">
        <f t="shared" si="351"/>
        <v/>
      </c>
      <c r="OR89" s="43" t="str">
        <f t="shared" si="352"/>
        <v/>
      </c>
      <c r="OS89" s="43" t="str">
        <f t="shared" si="353"/>
        <v/>
      </c>
      <c r="OT89" s="43" t="str">
        <f t="shared" si="354"/>
        <v/>
      </c>
      <c r="OU89" s="43" t="str">
        <f t="shared" si="355"/>
        <v/>
      </c>
      <c r="OV89" s="110" t="str">
        <f t="shared" si="356"/>
        <v/>
      </c>
      <c r="OW89" s="43" t="str">
        <f t="shared" si="357"/>
        <v/>
      </c>
      <c r="OX89" s="43" t="str">
        <f t="shared" si="358"/>
        <v/>
      </c>
      <c r="OY89" s="43" t="str">
        <f t="shared" si="359"/>
        <v/>
      </c>
      <c r="OZ89" s="43" t="str">
        <f t="shared" si="360"/>
        <v/>
      </c>
      <c r="PA89" s="43" t="str">
        <f t="shared" si="361"/>
        <v/>
      </c>
      <c r="PB89" s="43" t="str">
        <f t="shared" si="362"/>
        <v/>
      </c>
      <c r="PC89" s="43" t="str">
        <f t="shared" si="363"/>
        <v/>
      </c>
      <c r="PD89" s="43" t="str">
        <f t="shared" si="364"/>
        <v/>
      </c>
      <c r="PE89" s="43" t="str">
        <f t="shared" si="365"/>
        <v/>
      </c>
      <c r="PF89" s="43" t="str">
        <f t="shared" si="366"/>
        <v/>
      </c>
      <c r="PG89" s="43" t="str">
        <f t="shared" si="367"/>
        <v/>
      </c>
      <c r="PH89" s="43" t="str">
        <f t="shared" si="368"/>
        <v/>
      </c>
      <c r="PI89" s="43">
        <f t="shared" si="369"/>
        <v>37</v>
      </c>
      <c r="PJ89" s="43" t="str">
        <f t="shared" si="370"/>
        <v/>
      </c>
      <c r="PK89" s="43" t="str">
        <f t="shared" si="371"/>
        <v/>
      </c>
      <c r="PL89" s="43" t="str">
        <f t="shared" si="372"/>
        <v/>
      </c>
      <c r="PM89" s="43" t="str">
        <f t="shared" si="373"/>
        <v/>
      </c>
      <c r="PN89" s="43" t="str">
        <f t="shared" si="374"/>
        <v/>
      </c>
      <c r="PO89" s="43" t="str">
        <f t="shared" si="375"/>
        <v/>
      </c>
      <c r="PP89" s="43" t="str">
        <f t="shared" si="376"/>
        <v/>
      </c>
      <c r="PQ89" s="43" t="str">
        <f t="shared" si="377"/>
        <v/>
      </c>
      <c r="PR89" s="43" t="str">
        <f t="shared" si="378"/>
        <v/>
      </c>
      <c r="PS89" s="43" t="str">
        <f t="shared" si="379"/>
        <v/>
      </c>
      <c r="PT89" s="43" t="str">
        <f t="shared" si="380"/>
        <v/>
      </c>
      <c r="PU89" s="43" t="str">
        <f t="shared" si="381"/>
        <v/>
      </c>
      <c r="PV89" s="43" t="str">
        <f t="shared" si="382"/>
        <v/>
      </c>
      <c r="PW89" s="43" t="str">
        <f t="shared" si="383"/>
        <v/>
      </c>
      <c r="PX89" s="43" t="str">
        <f t="shared" si="384"/>
        <v/>
      </c>
      <c r="PY89" s="43" t="str">
        <f t="shared" si="385"/>
        <v/>
      </c>
      <c r="PZ89" s="43" t="str">
        <f t="shared" si="386"/>
        <v/>
      </c>
      <c r="QA89" s="43" t="str">
        <f t="shared" si="387"/>
        <v/>
      </c>
      <c r="QB89" s="43" t="str">
        <f t="shared" si="388"/>
        <v/>
      </c>
      <c r="QC89" s="43" t="str">
        <f t="shared" si="389"/>
        <v/>
      </c>
      <c r="QD89" s="43" t="str">
        <f t="shared" si="390"/>
        <v/>
      </c>
      <c r="QE89" s="43" t="str">
        <f t="shared" si="391"/>
        <v/>
      </c>
      <c r="QF89" s="43" t="str">
        <f t="shared" si="392"/>
        <v/>
      </c>
      <c r="QG89" s="43" t="str">
        <f t="shared" si="393"/>
        <v/>
      </c>
      <c r="QH89" s="43" t="str">
        <f t="shared" si="394"/>
        <v/>
      </c>
      <c r="QI89" s="43" t="str">
        <f t="shared" si="395"/>
        <v/>
      </c>
      <c r="QJ89" s="43" t="str">
        <f t="shared" si="396"/>
        <v/>
      </c>
      <c r="QK89" s="43" t="str">
        <f t="shared" si="397"/>
        <v/>
      </c>
      <c r="QL89" s="43" t="str">
        <f t="shared" si="398"/>
        <v>SOBREPESO</v>
      </c>
      <c r="QM89" s="43" t="str">
        <f t="shared" si="399"/>
        <v/>
      </c>
      <c r="QN89" s="43" t="str">
        <f t="shared" si="400"/>
        <v/>
      </c>
      <c r="QO89" s="43" t="str">
        <f t="shared" si="401"/>
        <v/>
      </c>
      <c r="QP89" s="43" t="str">
        <f t="shared" si="402"/>
        <v/>
      </c>
      <c r="QQ89" s="43" t="str">
        <f t="shared" si="403"/>
        <v/>
      </c>
      <c r="QR89" s="43">
        <f t="shared" si="433"/>
        <v>37</v>
      </c>
      <c r="QS89" s="43"/>
      <c r="QT89" s="21" t="str">
        <f t="shared" si="404"/>
        <v/>
      </c>
      <c r="QU89" s="21" t="str">
        <f t="shared" si="405"/>
        <v/>
      </c>
      <c r="QV89" s="21" t="str">
        <f t="shared" si="406"/>
        <v/>
      </c>
      <c r="QW89" s="21" t="str">
        <f t="shared" si="407"/>
        <v/>
      </c>
      <c r="QX89" s="21" t="str">
        <f t="shared" si="408"/>
        <v/>
      </c>
      <c r="QY89" s="21" t="str">
        <f t="shared" si="409"/>
        <v/>
      </c>
      <c r="QZ89" s="21" t="str">
        <f t="shared" si="410"/>
        <v/>
      </c>
      <c r="RA89" s="21" t="str">
        <f t="shared" si="411"/>
        <v/>
      </c>
      <c r="RB89" s="21" t="str">
        <f t="shared" si="412"/>
        <v/>
      </c>
      <c r="RC89" s="21" t="str">
        <f t="shared" si="413"/>
        <v/>
      </c>
      <c r="RD89" s="21" t="str">
        <f t="shared" si="414"/>
        <v/>
      </c>
      <c r="RE89" s="21" t="str">
        <f t="shared" si="415"/>
        <v/>
      </c>
      <c r="RF89" s="21" t="str">
        <f t="shared" si="416"/>
        <v/>
      </c>
      <c r="RG89" s="21" t="str">
        <f t="shared" si="417"/>
        <v/>
      </c>
      <c r="RH89" s="21" t="str">
        <f t="shared" si="418"/>
        <v/>
      </c>
      <c r="RI89" s="21" t="str">
        <f t="shared" si="419"/>
        <v/>
      </c>
      <c r="RJ89" s="21" t="str">
        <f t="shared" si="420"/>
        <v/>
      </c>
      <c r="RK89" s="21" t="str">
        <f t="shared" si="421"/>
        <v/>
      </c>
      <c r="RL89" s="21" t="str">
        <f t="shared" si="422"/>
        <v/>
      </c>
      <c r="RM89" s="21" t="str">
        <f t="shared" si="423"/>
        <v/>
      </c>
      <c r="RN89" s="21" t="str">
        <f t="shared" si="424"/>
        <v/>
      </c>
      <c r="RO89" s="21" t="str">
        <f t="shared" si="425"/>
        <v/>
      </c>
      <c r="RP89" s="21" t="str">
        <f t="shared" si="426"/>
        <v/>
      </c>
      <c r="RQ89" s="21" t="str">
        <f t="shared" si="427"/>
        <v/>
      </c>
      <c r="RR89" s="21" t="str">
        <f t="shared" si="428"/>
        <v>ALTO PARA EDAD GESTACIONAL</v>
      </c>
      <c r="RS89" s="21" t="str">
        <f t="shared" si="429"/>
        <v/>
      </c>
      <c r="RT89" s="21" t="str">
        <f t="shared" si="430"/>
        <v/>
      </c>
      <c r="RU89" s="21" t="str">
        <f t="shared" si="431"/>
        <v/>
      </c>
      <c r="RV89" s="21">
        <f t="shared" si="432"/>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4"/>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27.098630136986301</v>
      </c>
      <c r="O90" s="22">
        <v>44953</v>
      </c>
      <c r="P90" s="214" t="str">
        <f t="shared" si="438"/>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9"/>
        <v>SALE SIN PLAN DE PARTO</v>
      </c>
      <c r="DV90" s="226" t="str">
        <f t="shared" si="440"/>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4">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1"/>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2"/>
        <v>26.971428571428987</v>
      </c>
      <c r="FP90" s="22"/>
      <c r="FQ90" s="32"/>
      <c r="FR90" s="29" t="str">
        <f t="shared" ca="1" si="443"/>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4"/>
        <v>20.257142857143272</v>
      </c>
      <c r="GE90" s="22"/>
      <c r="GF90" s="22"/>
      <c r="GG90" s="29" t="str">
        <f t="shared" ca="1" si="445"/>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t="str">
        <f t="shared" ca="1" si="289"/>
        <v>***************PRESENTACIÓN FETAL PODALICA O TRANSVERSA**********CESAREAS PREVIAS**************</v>
      </c>
      <c r="HK90" s="21" t="str">
        <f t="shared" si="290"/>
        <v>SIN ANTECEDENTES DE RIESGO</v>
      </c>
      <c r="HL90" s="24" t="str">
        <f t="shared" si="291"/>
        <v>APARENTEMENTE NORMAL</v>
      </c>
      <c r="HM90" s="21" t="str">
        <f t="shared" ca="1" si="292"/>
        <v/>
      </c>
      <c r="HN90" s="30" t="str">
        <f t="shared" si="446"/>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3"/>
        <v>15.11428571428613</v>
      </c>
      <c r="IA90" s="26"/>
      <c r="IB90" s="26"/>
      <c r="IC90" s="111"/>
      <c r="ID90" s="22"/>
      <c r="IE90" s="22" t="str">
        <f t="shared" ca="1" si="294"/>
        <v>SALE SIN VACUNA</v>
      </c>
      <c r="IF90" s="22"/>
      <c r="IG90" s="22">
        <f t="shared" si="295"/>
        <v>45132.2</v>
      </c>
      <c r="IH90" s="29">
        <f t="shared" ca="1" si="296"/>
        <v>-99.80000000000291</v>
      </c>
      <c r="II90" s="22" t="str">
        <f t="shared" ca="1" si="297"/>
        <v>POSIBLEMENTE NACIO</v>
      </c>
      <c r="IJ90" s="22"/>
      <c r="IK90" s="21" t="s">
        <v>898</v>
      </c>
      <c r="IL90" s="21"/>
      <c r="IM90" s="34"/>
      <c r="IN90" s="349">
        <v>45124</v>
      </c>
      <c r="IO90" s="21" t="s">
        <v>1186</v>
      </c>
      <c r="IP90" s="29">
        <f t="shared" si="436"/>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7"/>
        <v>PESO ADECUADO EDAD GESTACIONAL</v>
      </c>
      <c r="JF90" s="30"/>
      <c r="JG90" s="21"/>
      <c r="JH90" s="21"/>
      <c r="JI90" s="21" t="s">
        <v>854</v>
      </c>
      <c r="JJ90" s="30" t="s">
        <v>866</v>
      </c>
      <c r="JK90" s="22"/>
      <c r="JL90" s="22"/>
      <c r="JM90" s="21"/>
      <c r="JN90" s="36"/>
      <c r="JO90" s="21" t="str">
        <f t="shared" si="448"/>
        <v/>
      </c>
      <c r="JP90" s="22"/>
      <c r="JQ90" s="21"/>
      <c r="JR90" s="21"/>
      <c r="JS90" s="21"/>
      <c r="JT90" s="30"/>
      <c r="JU90" s="22"/>
      <c r="JV90" s="22"/>
      <c r="JW90" s="33"/>
      <c r="JX90" s="28" t="str">
        <f t="shared" si="449"/>
        <v>INASISTENTE</v>
      </c>
      <c r="JY90" s="33"/>
      <c r="JZ90" s="28" t="str">
        <f t="shared" si="450"/>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3"/>
        <v>0</v>
      </c>
      <c r="MI90" s="43" t="str">
        <f t="shared" si="304"/>
        <v/>
      </c>
      <c r="MJ90" s="43" t="str">
        <f t="shared" si="305"/>
        <v/>
      </c>
      <c r="MK90" s="43">
        <f t="shared" si="306"/>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7"/>
        <v>14.400000000000416</v>
      </c>
      <c r="MN90" s="43">
        <f t="shared" si="308"/>
        <v>1</v>
      </c>
      <c r="MO90" s="43">
        <f t="shared" si="309"/>
        <v>2023</v>
      </c>
      <c r="MP90" s="43" t="str">
        <f t="shared" si="310"/>
        <v>I TRIMESTRE AÑO</v>
      </c>
      <c r="MQ90" s="43">
        <f t="shared" si="311"/>
        <v>25.936268068331142</v>
      </c>
      <c r="MR90" s="43">
        <f t="shared" si="312"/>
        <v>0</v>
      </c>
      <c r="MS90" s="43" t="str">
        <f t="shared" si="313"/>
        <v xml:space="preserve"> DE 25 A 29 AÑOS</v>
      </c>
      <c r="MT90" s="43">
        <f t="shared" si="314"/>
        <v>0</v>
      </c>
      <c r="MU90" s="43">
        <f t="shared" si="315"/>
        <v>0</v>
      </c>
      <c r="MV90" s="43">
        <f t="shared" si="316"/>
        <v>1</v>
      </c>
      <c r="MW90" s="43">
        <f t="shared" si="317"/>
        <v>0</v>
      </c>
      <c r="MX90" s="43" t="str">
        <f t="shared" si="318"/>
        <v/>
      </c>
      <c r="MY90" s="43" t="str">
        <f t="shared" ca="1" si="451"/>
        <v/>
      </c>
      <c r="MZ90" s="43" t="str">
        <f t="shared" si="319"/>
        <v/>
      </c>
      <c r="NA90" s="43">
        <f t="shared" si="320"/>
        <v>3</v>
      </c>
      <c r="NB90" s="43" t="str">
        <f t="shared" si="321"/>
        <v/>
      </c>
      <c r="NC90" s="43" t="str">
        <f t="shared" si="322"/>
        <v/>
      </c>
      <c r="ND90" s="43">
        <f t="shared" ca="1" si="323"/>
        <v>4</v>
      </c>
      <c r="NE90" s="43">
        <f>IF(OR(O90&gt;0,R90&gt;0),SUM(COUNTIF(Tabla1[[#This Row],[AÑOS AL INICIO5 CPN]],"&gt;=40"),COUNTIF(AS90,"0"),COUNTIF(AR90,"SI"),COUNTIF(CC90,"SI"),COUNTIF(BQ90,"&gt;119"),COUNTIF(CI90,"&gt;=35")),"")</f>
        <v>0</v>
      </c>
      <c r="NF90" s="43" t="str">
        <f t="shared" si="324"/>
        <v/>
      </c>
      <c r="NG90" s="43">
        <f t="shared" si="325"/>
        <v>0</v>
      </c>
      <c r="NH90" s="43">
        <f t="shared" si="326"/>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7"/>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8"/>
        <v>II TRIM</v>
      </c>
      <c r="NQ90" s="21">
        <f t="shared" si="437"/>
        <v>9</v>
      </c>
      <c r="NR90" s="21">
        <f t="shared" si="452"/>
        <v>2</v>
      </c>
      <c r="NS90" s="205">
        <f t="shared" ca="1" si="329"/>
        <v>1</v>
      </c>
      <c r="NT90" s="21">
        <f t="shared" ca="1" si="330"/>
        <v>1</v>
      </c>
      <c r="NU90" s="21" t="str">
        <f t="shared" ca="1" si="331"/>
        <v>INCOMPLETO</v>
      </c>
      <c r="NV90" s="21" t="str">
        <f t="shared" ca="1" si="332"/>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3"/>
        <v>SIN VACUNAR</v>
      </c>
      <c r="NY90" s="43">
        <f>ROW(Tabla1[[#This Row],['# DE TAMIZAJES SIFILIS TOMADOS ]])</f>
        <v>90</v>
      </c>
      <c r="NZ90" s="43">
        <f t="shared" si="334"/>
        <v>14</v>
      </c>
      <c r="OA90" s="43" t="str">
        <f t="shared" si="335"/>
        <v/>
      </c>
      <c r="OB90" s="43" t="str">
        <f t="shared" si="336"/>
        <v/>
      </c>
      <c r="OC90" s="43" t="str">
        <f t="shared" si="337"/>
        <v/>
      </c>
      <c r="OD90" s="43" t="str">
        <f t="shared" si="338"/>
        <v/>
      </c>
      <c r="OE90" s="43" t="str">
        <f t="shared" si="339"/>
        <v/>
      </c>
      <c r="OF90" s="43" t="str">
        <f t="shared" si="340"/>
        <v>SOBREPESO</v>
      </c>
      <c r="OG90" s="43" t="str">
        <f t="shared" si="341"/>
        <v/>
      </c>
      <c r="OH90" s="43" t="str">
        <f t="shared" si="342"/>
        <v/>
      </c>
      <c r="OI90" s="43" t="str">
        <f t="shared" si="343"/>
        <v/>
      </c>
      <c r="OJ90" s="43" t="str">
        <f t="shared" si="344"/>
        <v/>
      </c>
      <c r="OK90" s="43" t="str">
        <f t="shared" si="345"/>
        <v/>
      </c>
      <c r="OL90" s="43" t="str">
        <f t="shared" si="346"/>
        <v/>
      </c>
      <c r="OM90" s="43" t="str">
        <f t="shared" si="347"/>
        <v/>
      </c>
      <c r="ON90" s="43" t="str">
        <f t="shared" si="348"/>
        <v/>
      </c>
      <c r="OO90" s="43" t="str">
        <f t="shared" si="349"/>
        <v/>
      </c>
      <c r="OP90" s="43" t="str">
        <f t="shared" si="350"/>
        <v/>
      </c>
      <c r="OQ90" s="43" t="str">
        <f t="shared" si="351"/>
        <v/>
      </c>
      <c r="OR90" s="43" t="str">
        <f t="shared" si="352"/>
        <v/>
      </c>
      <c r="OS90" s="43" t="str">
        <f t="shared" si="353"/>
        <v/>
      </c>
      <c r="OT90" s="43" t="str">
        <f t="shared" si="354"/>
        <v/>
      </c>
      <c r="OU90" s="43" t="str">
        <f t="shared" si="355"/>
        <v/>
      </c>
      <c r="OV90" s="110" t="str">
        <f t="shared" si="356"/>
        <v/>
      </c>
      <c r="OW90" s="43" t="str">
        <f t="shared" si="357"/>
        <v/>
      </c>
      <c r="OX90" s="43" t="str">
        <f t="shared" si="358"/>
        <v/>
      </c>
      <c r="OY90" s="43" t="str">
        <f t="shared" si="359"/>
        <v/>
      </c>
      <c r="OZ90" s="43" t="str">
        <f t="shared" si="360"/>
        <v/>
      </c>
      <c r="PA90" s="43" t="str">
        <f t="shared" si="361"/>
        <v/>
      </c>
      <c r="PB90" s="43" t="str">
        <f t="shared" si="362"/>
        <v/>
      </c>
      <c r="PC90" s="43" t="str">
        <f t="shared" si="363"/>
        <v/>
      </c>
      <c r="PD90" s="43" t="str">
        <f t="shared" si="364"/>
        <v/>
      </c>
      <c r="PE90" s="43" t="str">
        <f t="shared" si="365"/>
        <v/>
      </c>
      <c r="PF90" s="43" t="str">
        <f t="shared" si="366"/>
        <v/>
      </c>
      <c r="PG90" s="43" t="str">
        <f t="shared" si="367"/>
        <v/>
      </c>
      <c r="PH90" s="43" t="str">
        <f t="shared" si="368"/>
        <v/>
      </c>
      <c r="PI90" s="43">
        <f t="shared" si="369"/>
        <v>37</v>
      </c>
      <c r="PJ90" s="43" t="str">
        <f t="shared" si="370"/>
        <v/>
      </c>
      <c r="PK90" s="43" t="str">
        <f t="shared" si="371"/>
        <v/>
      </c>
      <c r="PL90" s="43" t="str">
        <f t="shared" si="372"/>
        <v/>
      </c>
      <c r="PM90" s="43" t="str">
        <f t="shared" si="373"/>
        <v/>
      </c>
      <c r="PN90" s="43" t="str">
        <f t="shared" si="374"/>
        <v/>
      </c>
      <c r="PO90" s="43" t="str">
        <f t="shared" si="375"/>
        <v/>
      </c>
      <c r="PP90" s="43" t="str">
        <f t="shared" si="376"/>
        <v/>
      </c>
      <c r="PQ90" s="43" t="str">
        <f t="shared" si="377"/>
        <v/>
      </c>
      <c r="PR90" s="43" t="str">
        <f t="shared" si="378"/>
        <v/>
      </c>
      <c r="PS90" s="43" t="str">
        <f t="shared" si="379"/>
        <v/>
      </c>
      <c r="PT90" s="43" t="str">
        <f t="shared" si="380"/>
        <v/>
      </c>
      <c r="PU90" s="43" t="str">
        <f t="shared" si="381"/>
        <v/>
      </c>
      <c r="PV90" s="43" t="str">
        <f t="shared" si="382"/>
        <v/>
      </c>
      <c r="PW90" s="43" t="str">
        <f t="shared" si="383"/>
        <v/>
      </c>
      <c r="PX90" s="43" t="str">
        <f t="shared" si="384"/>
        <v/>
      </c>
      <c r="PY90" s="43" t="str">
        <f t="shared" si="385"/>
        <v/>
      </c>
      <c r="PZ90" s="43" t="str">
        <f t="shared" si="386"/>
        <v/>
      </c>
      <c r="QA90" s="43" t="str">
        <f t="shared" si="387"/>
        <v/>
      </c>
      <c r="QB90" s="43" t="str">
        <f t="shared" si="388"/>
        <v/>
      </c>
      <c r="QC90" s="43" t="str">
        <f t="shared" si="389"/>
        <v/>
      </c>
      <c r="QD90" s="43" t="str">
        <f t="shared" si="390"/>
        <v/>
      </c>
      <c r="QE90" s="43" t="str">
        <f t="shared" si="391"/>
        <v/>
      </c>
      <c r="QF90" s="43" t="str">
        <f t="shared" si="392"/>
        <v/>
      </c>
      <c r="QG90" s="43" t="str">
        <f t="shared" si="393"/>
        <v/>
      </c>
      <c r="QH90" s="43" t="str">
        <f t="shared" si="394"/>
        <v/>
      </c>
      <c r="QI90" s="43" t="str">
        <f t="shared" si="395"/>
        <v/>
      </c>
      <c r="QJ90" s="43" t="str">
        <f t="shared" si="396"/>
        <v/>
      </c>
      <c r="QK90" s="43" t="str">
        <f t="shared" si="397"/>
        <v/>
      </c>
      <c r="QL90" s="43" t="str">
        <f t="shared" si="398"/>
        <v>SOBREPESO</v>
      </c>
      <c r="QM90" s="43" t="str">
        <f t="shared" si="399"/>
        <v/>
      </c>
      <c r="QN90" s="43" t="str">
        <f t="shared" si="400"/>
        <v/>
      </c>
      <c r="QO90" s="43" t="str">
        <f t="shared" si="401"/>
        <v/>
      </c>
      <c r="QP90" s="43" t="str">
        <f t="shared" si="402"/>
        <v/>
      </c>
      <c r="QQ90" s="43" t="str">
        <f t="shared" si="403"/>
        <v/>
      </c>
      <c r="QR90" s="43">
        <f t="shared" si="433"/>
        <v>37</v>
      </c>
      <c r="QS90" s="43"/>
      <c r="QT90" s="21" t="str">
        <f t="shared" si="404"/>
        <v/>
      </c>
      <c r="QU90" s="21" t="str">
        <f t="shared" si="405"/>
        <v/>
      </c>
      <c r="QV90" s="21" t="str">
        <f t="shared" si="406"/>
        <v/>
      </c>
      <c r="QW90" s="21" t="str">
        <f t="shared" si="407"/>
        <v/>
      </c>
      <c r="QX90" s="21" t="str">
        <f t="shared" si="408"/>
        <v/>
      </c>
      <c r="QY90" s="21" t="str">
        <f t="shared" si="409"/>
        <v/>
      </c>
      <c r="QZ90" s="21" t="str">
        <f t="shared" si="410"/>
        <v/>
      </c>
      <c r="RA90" s="21" t="str">
        <f t="shared" si="411"/>
        <v/>
      </c>
      <c r="RB90" s="21" t="str">
        <f t="shared" si="412"/>
        <v/>
      </c>
      <c r="RC90" s="21" t="str">
        <f t="shared" si="413"/>
        <v/>
      </c>
      <c r="RD90" s="21" t="str">
        <f t="shared" si="414"/>
        <v/>
      </c>
      <c r="RE90" s="21" t="str">
        <f t="shared" si="415"/>
        <v/>
      </c>
      <c r="RF90" s="21" t="str">
        <f t="shared" si="416"/>
        <v/>
      </c>
      <c r="RG90" s="21" t="str">
        <f t="shared" si="417"/>
        <v/>
      </c>
      <c r="RH90" s="21" t="str">
        <f t="shared" si="418"/>
        <v/>
      </c>
      <c r="RI90" s="21" t="str">
        <f t="shared" si="419"/>
        <v/>
      </c>
      <c r="RJ90" s="21" t="str">
        <f t="shared" si="420"/>
        <v/>
      </c>
      <c r="RK90" s="21" t="str">
        <f t="shared" si="421"/>
        <v/>
      </c>
      <c r="RL90" s="21" t="str">
        <f t="shared" si="422"/>
        <v/>
      </c>
      <c r="RM90" s="21" t="str">
        <f t="shared" si="423"/>
        <v/>
      </c>
      <c r="RN90" s="21" t="str">
        <f t="shared" si="424"/>
        <v/>
      </c>
      <c r="RO90" s="21" t="str">
        <f t="shared" si="425"/>
        <v/>
      </c>
      <c r="RP90" s="21" t="str">
        <f t="shared" si="426"/>
        <v/>
      </c>
      <c r="RQ90" s="21" t="str">
        <f t="shared" si="427"/>
        <v/>
      </c>
      <c r="RR90" s="21" t="str">
        <f t="shared" si="428"/>
        <v>ADECUADO PARA EDAD GESTACIONAL</v>
      </c>
      <c r="RS90" s="21" t="str">
        <f t="shared" si="429"/>
        <v/>
      </c>
      <c r="RT90" s="21" t="str">
        <f t="shared" si="430"/>
        <v/>
      </c>
      <c r="RU90" s="21" t="str">
        <f t="shared" si="431"/>
        <v/>
      </c>
      <c r="RV90" s="21">
        <f t="shared" si="432"/>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4"/>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14.887671232876713</v>
      </c>
      <c r="O91" s="22">
        <v>44952</v>
      </c>
      <c r="P91" s="214" t="str">
        <f t="shared" si="438"/>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9"/>
        <v>CONCERTAR PLAN DE PARTO INMEDIATO</v>
      </c>
      <c r="DV91" s="226" t="str">
        <f t="shared" si="440"/>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4">
        <v>44963</v>
      </c>
      <c r="EL91" s="21"/>
      <c r="EM91" s="21"/>
      <c r="EN91" s="22"/>
      <c r="EO91" s="222" t="str">
        <f t="shared" si="271"/>
        <v>TOMAR EXAMEN</v>
      </c>
      <c r="EP91" s="214" t="str">
        <f t="shared" si="272"/>
        <v/>
      </c>
      <c r="EQ91" s="216" t="str">
        <f t="shared" si="273"/>
        <v>POR DEFINIR</v>
      </c>
      <c r="ER91" s="24"/>
      <c r="ES91" s="22"/>
      <c r="ET91" s="29" t="str">
        <f t="shared" ca="1" si="441"/>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2"/>
        <v>PIERDE TOMA DE TAMIZAJE</v>
      </c>
      <c r="FP91" s="22"/>
      <c r="FQ91" s="32"/>
      <c r="FR91" s="29" t="str">
        <f t="shared" ca="1" si="443"/>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4"/>
        <v>PIERDE TOMA DE TAMIZAJE</v>
      </c>
      <c r="GE91" s="22"/>
      <c r="GF91" s="22"/>
      <c r="GG91" s="29" t="str">
        <f t="shared" ca="1" si="445"/>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t="str">
        <f t="shared" ca="1" si="289"/>
        <v>**********************MULTIPARIDAD**RIESGO POR EDAD***************</v>
      </c>
      <c r="HK91" s="21" t="str">
        <f t="shared" si="290"/>
        <v>SIN ANTECEDENTES DE RIESGO</v>
      </c>
      <c r="HL91" s="24" t="str">
        <f t="shared" si="291"/>
        <v>APARENTEMENTE NORMAL</v>
      </c>
      <c r="HM91" s="21" t="e">
        <f t="shared" ca="1" si="292"/>
        <v>#REF!</v>
      </c>
      <c r="HN91" s="30" t="str">
        <f t="shared" si="446"/>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3"/>
        <v>10.257142857143274</v>
      </c>
      <c r="IA91" s="26"/>
      <c r="IB91" s="26"/>
      <c r="IC91" s="111"/>
      <c r="ID91" s="22"/>
      <c r="IE91" s="22" t="str">
        <f t="shared" ca="1" si="294"/>
        <v/>
      </c>
      <c r="IF91" s="22"/>
      <c r="IG91" s="22">
        <f t="shared" si="295"/>
        <v>45160.2</v>
      </c>
      <c r="IH91" s="29">
        <f t="shared" ca="1" si="296"/>
        <v>-71.80000000000291</v>
      </c>
      <c r="II91" s="22" t="str">
        <f t="shared" ca="1" si="297"/>
        <v>POSIBLEMENTE NACIO</v>
      </c>
      <c r="IJ91" s="22"/>
      <c r="IK91" s="21"/>
      <c r="IL91" s="21"/>
      <c r="IM91" s="34"/>
      <c r="IN91" s="349"/>
      <c r="IO91" s="21"/>
      <c r="IP91" s="29" t="str">
        <f t="shared" si="436"/>
        <v/>
      </c>
      <c r="IQ91" s="110"/>
      <c r="IR91" s="21"/>
      <c r="IS91" s="21"/>
      <c r="IT91" s="21"/>
      <c r="IU91" s="21"/>
      <c r="IV91" s="21"/>
      <c r="IW91" s="21"/>
      <c r="IX91" s="21"/>
      <c r="IY91" s="21"/>
      <c r="IZ91" s="21"/>
      <c r="JA91" s="21"/>
      <c r="JB91" s="30"/>
      <c r="JC91" s="21"/>
      <c r="JD91" s="36"/>
      <c r="JE91" s="21" t="str">
        <f t="shared" si="447"/>
        <v/>
      </c>
      <c r="JF91" s="30"/>
      <c r="JG91" s="21"/>
      <c r="JH91" s="21"/>
      <c r="JI91" s="21"/>
      <c r="JJ91" s="30"/>
      <c r="JK91" s="22"/>
      <c r="JL91" s="22"/>
      <c r="JM91" s="21"/>
      <c r="JN91" s="36"/>
      <c r="JO91" s="21" t="str">
        <f t="shared" si="448"/>
        <v/>
      </c>
      <c r="JP91" s="22"/>
      <c r="JQ91" s="21"/>
      <c r="JR91" s="21"/>
      <c r="JS91" s="21"/>
      <c r="JT91" s="30"/>
      <c r="JU91" s="22"/>
      <c r="JV91" s="22"/>
      <c r="JW91" s="33"/>
      <c r="JX91" s="28" t="str">
        <f t="shared" si="449"/>
        <v/>
      </c>
      <c r="JY91" s="33"/>
      <c r="JZ91" s="28" t="str">
        <f t="shared" si="450"/>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3"/>
        <v>0</v>
      </c>
      <c r="MI91" s="43" t="str">
        <f t="shared" si="304"/>
        <v/>
      </c>
      <c r="MJ91" s="43" t="str">
        <f t="shared" si="305"/>
        <v/>
      </c>
      <c r="MK91" s="43">
        <f t="shared" si="306"/>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7"/>
        <v>10.257142857143274</v>
      </c>
      <c r="MN91" s="43">
        <f t="shared" si="308"/>
        <v>1</v>
      </c>
      <c r="MO91" s="43">
        <f t="shared" si="309"/>
        <v>2023</v>
      </c>
      <c r="MP91" s="43" t="str">
        <f t="shared" si="310"/>
        <v>I TRIMESTRE AÑO</v>
      </c>
      <c r="MQ91" s="43">
        <f t="shared" si="311"/>
        <v>13.907139728427508</v>
      </c>
      <c r="MR91" s="43">
        <f t="shared" si="312"/>
        <v>2</v>
      </c>
      <c r="MS91" s="43" t="str">
        <f t="shared" si="313"/>
        <v>MENOR 14 AÑOS</v>
      </c>
      <c r="MT91" s="43">
        <f t="shared" si="314"/>
        <v>0</v>
      </c>
      <c r="MU91" s="43">
        <f t="shared" si="315"/>
        <v>1</v>
      </c>
      <c r="MV91" s="43">
        <f t="shared" si="316"/>
        <v>0</v>
      </c>
      <c r="MW91" s="43">
        <f t="shared" si="317"/>
        <v>0</v>
      </c>
      <c r="MX91" s="43" t="str">
        <f t="shared" si="318"/>
        <v/>
      </c>
      <c r="MY91" s="43" t="str">
        <f t="shared" ca="1" si="451"/>
        <v/>
      </c>
      <c r="MZ91" s="43" t="str">
        <f t="shared" si="319"/>
        <v/>
      </c>
      <c r="NA91" s="43" t="str">
        <f t="shared" si="320"/>
        <v/>
      </c>
      <c r="NB91" s="43" t="str">
        <f t="shared" si="321"/>
        <v/>
      </c>
      <c r="NC91" s="43" t="str">
        <f t="shared" si="322"/>
        <v/>
      </c>
      <c r="ND91" s="43">
        <f t="shared" ca="1" si="323"/>
        <v>3</v>
      </c>
      <c r="NE91" s="43">
        <f>IF(OR(O91&gt;0,R91&gt;0),SUM(COUNTIF(Tabla1[[#This Row],[AÑOS AL INICIO5 CPN]],"&gt;=40"),COUNTIF(AS91,"0"),COUNTIF(AR91,"SI"),COUNTIF(CC91,"SI"),COUNTIF(BQ91,"&gt;119"),COUNTIF(CI91,"&gt;=35")),"")</f>
        <v>0</v>
      </c>
      <c r="NF91" s="43" t="str">
        <f t="shared" si="324"/>
        <v/>
      </c>
      <c r="NG91" s="43">
        <f t="shared" si="325"/>
        <v>0</v>
      </c>
      <c r="NH91" s="43">
        <f t="shared" si="326"/>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7"/>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8"/>
        <v>I TRIM</v>
      </c>
      <c r="NQ91" s="21">
        <f t="shared" si="437"/>
        <v>10</v>
      </c>
      <c r="NR91" s="21" t="str">
        <f t="shared" ca="1" si="452"/>
        <v>REVISAR FUM O FECHA SALIDA PROGRAMA</v>
      </c>
      <c r="NS91" s="205">
        <f t="shared" ca="1" si="329"/>
        <v>0</v>
      </c>
      <c r="NT91" s="21">
        <f t="shared" ca="1" si="330"/>
        <v>0</v>
      </c>
      <c r="NU91" s="21" t="str">
        <f t="shared" ca="1" si="331"/>
        <v>POR DEFINIR</v>
      </c>
      <c r="NV91" s="21" t="str">
        <f t="shared" ca="1" si="332"/>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3"/>
        <v>SIN VACUNAR</v>
      </c>
      <c r="NY91" s="43">
        <f>ROW(Tabla1[[#This Row],['# DE TAMIZAJES SIFILIS TOMADOS ]])</f>
        <v>91</v>
      </c>
      <c r="NZ91" s="43">
        <f t="shared" si="334"/>
        <v>10</v>
      </c>
      <c r="OA91" s="43" t="str">
        <f t="shared" si="335"/>
        <v/>
      </c>
      <c r="OB91" s="43" t="str">
        <f t="shared" si="336"/>
        <v>NORMAL</v>
      </c>
      <c r="OC91" s="43" t="str">
        <f t="shared" si="337"/>
        <v/>
      </c>
      <c r="OD91" s="43" t="str">
        <f t="shared" si="338"/>
        <v/>
      </c>
      <c r="OE91" s="43" t="str">
        <f t="shared" si="339"/>
        <v/>
      </c>
      <c r="OF91" s="43" t="str">
        <f t="shared" si="340"/>
        <v/>
      </c>
      <c r="OG91" s="43" t="str">
        <f t="shared" si="341"/>
        <v/>
      </c>
      <c r="OH91" s="43" t="str">
        <f t="shared" si="342"/>
        <v/>
      </c>
      <c r="OI91" s="43" t="str">
        <f t="shared" si="343"/>
        <v/>
      </c>
      <c r="OJ91" s="43" t="str">
        <f t="shared" si="344"/>
        <v/>
      </c>
      <c r="OK91" s="43" t="str">
        <f t="shared" si="345"/>
        <v/>
      </c>
      <c r="OL91" s="43" t="str">
        <f t="shared" si="346"/>
        <v/>
      </c>
      <c r="OM91" s="43" t="str">
        <f t="shared" si="347"/>
        <v/>
      </c>
      <c r="ON91" s="43" t="str">
        <f t="shared" si="348"/>
        <v/>
      </c>
      <c r="OO91" s="43" t="str">
        <f t="shared" si="349"/>
        <v/>
      </c>
      <c r="OP91" s="43" t="str">
        <f t="shared" si="350"/>
        <v/>
      </c>
      <c r="OQ91" s="43" t="str">
        <f t="shared" si="351"/>
        <v/>
      </c>
      <c r="OR91" s="43" t="str">
        <f t="shared" si="352"/>
        <v/>
      </c>
      <c r="OS91" s="43" t="str">
        <f t="shared" si="353"/>
        <v/>
      </c>
      <c r="OT91" s="43" t="str">
        <f t="shared" si="354"/>
        <v/>
      </c>
      <c r="OU91" s="43" t="str">
        <f t="shared" si="355"/>
        <v/>
      </c>
      <c r="OV91" s="110" t="str">
        <f t="shared" si="356"/>
        <v/>
      </c>
      <c r="OW91" s="43" t="str">
        <f t="shared" si="357"/>
        <v/>
      </c>
      <c r="OX91" s="43" t="str">
        <f t="shared" si="358"/>
        <v/>
      </c>
      <c r="OY91" s="43" t="str">
        <f t="shared" si="359"/>
        <v/>
      </c>
      <c r="OZ91" s="43" t="str">
        <f t="shared" si="360"/>
        <v/>
      </c>
      <c r="PA91" s="43" t="str">
        <f t="shared" si="361"/>
        <v/>
      </c>
      <c r="PB91" s="43" t="str">
        <f t="shared" si="362"/>
        <v/>
      </c>
      <c r="PC91" s="43" t="str">
        <f t="shared" si="363"/>
        <v/>
      </c>
      <c r="PD91" s="43" t="str">
        <f t="shared" si="364"/>
        <v/>
      </c>
      <c r="PE91" s="43" t="str">
        <f t="shared" si="365"/>
        <v/>
      </c>
      <c r="PF91" s="43" t="str">
        <f t="shared" si="366"/>
        <v/>
      </c>
      <c r="PG91" s="43" t="str">
        <f t="shared" si="367"/>
        <v/>
      </c>
      <c r="PH91" s="43" t="str">
        <f t="shared" si="368"/>
        <v/>
      </c>
      <c r="PI91" s="43">
        <f t="shared" si="369"/>
        <v>27</v>
      </c>
      <c r="PJ91" s="43" t="str">
        <f t="shared" si="370"/>
        <v/>
      </c>
      <c r="PK91" s="43" t="str">
        <f t="shared" si="371"/>
        <v/>
      </c>
      <c r="PL91" s="43" t="str">
        <f t="shared" si="372"/>
        <v/>
      </c>
      <c r="PM91" s="43" t="str">
        <f t="shared" si="373"/>
        <v/>
      </c>
      <c r="PN91" s="43" t="str">
        <f t="shared" si="374"/>
        <v/>
      </c>
      <c r="PO91" s="43" t="str">
        <f t="shared" si="375"/>
        <v/>
      </c>
      <c r="PP91" s="43" t="str">
        <f t="shared" si="376"/>
        <v/>
      </c>
      <c r="PQ91" s="43" t="str">
        <f t="shared" si="377"/>
        <v/>
      </c>
      <c r="PR91" s="43" t="str">
        <f t="shared" si="378"/>
        <v/>
      </c>
      <c r="PS91" s="43" t="str">
        <f t="shared" si="379"/>
        <v/>
      </c>
      <c r="PT91" s="43" t="str">
        <f t="shared" si="380"/>
        <v/>
      </c>
      <c r="PU91" s="43" t="str">
        <f t="shared" si="381"/>
        <v/>
      </c>
      <c r="PV91" s="43" t="str">
        <f t="shared" si="382"/>
        <v/>
      </c>
      <c r="PW91" s="43" t="str">
        <f t="shared" si="383"/>
        <v/>
      </c>
      <c r="PX91" s="43" t="str">
        <f t="shared" si="384"/>
        <v/>
      </c>
      <c r="PY91" s="43" t="str">
        <f t="shared" si="385"/>
        <v/>
      </c>
      <c r="PZ91" s="43" t="str">
        <f t="shared" si="386"/>
        <v/>
      </c>
      <c r="QA91" s="43" t="str">
        <f t="shared" si="387"/>
        <v/>
      </c>
      <c r="QB91" s="43" t="str">
        <f t="shared" si="388"/>
        <v>NORMAL</v>
      </c>
      <c r="QC91" s="43" t="str">
        <f t="shared" si="389"/>
        <v/>
      </c>
      <c r="QD91" s="43" t="str">
        <f t="shared" si="390"/>
        <v/>
      </c>
      <c r="QE91" s="43" t="str">
        <f t="shared" si="391"/>
        <v/>
      </c>
      <c r="QF91" s="43" t="str">
        <f t="shared" si="392"/>
        <v/>
      </c>
      <c r="QG91" s="43" t="str">
        <f t="shared" si="393"/>
        <v/>
      </c>
      <c r="QH91" s="43" t="str">
        <f t="shared" si="394"/>
        <v/>
      </c>
      <c r="QI91" s="43" t="str">
        <f t="shared" si="395"/>
        <v/>
      </c>
      <c r="QJ91" s="43" t="str">
        <f t="shared" si="396"/>
        <v/>
      </c>
      <c r="QK91" s="43" t="str">
        <f t="shared" si="397"/>
        <v/>
      </c>
      <c r="QL91" s="43" t="str">
        <f t="shared" si="398"/>
        <v/>
      </c>
      <c r="QM91" s="43" t="str">
        <f t="shared" si="399"/>
        <v/>
      </c>
      <c r="QN91" s="43" t="str">
        <f t="shared" si="400"/>
        <v/>
      </c>
      <c r="QO91" s="43" t="str">
        <f t="shared" si="401"/>
        <v/>
      </c>
      <c r="QP91" s="43" t="str">
        <f t="shared" si="402"/>
        <v/>
      </c>
      <c r="QQ91" s="43" t="str">
        <f t="shared" si="403"/>
        <v/>
      </c>
      <c r="QR91" s="43">
        <f t="shared" si="433"/>
        <v>27</v>
      </c>
      <c r="QS91" s="43"/>
      <c r="QT91" s="21" t="str">
        <f t="shared" si="404"/>
        <v/>
      </c>
      <c r="QU91" s="21" t="str">
        <f t="shared" si="405"/>
        <v/>
      </c>
      <c r="QV91" s="21" t="str">
        <f t="shared" si="406"/>
        <v/>
      </c>
      <c r="QW91" s="21" t="str">
        <f t="shared" si="407"/>
        <v/>
      </c>
      <c r="QX91" s="21" t="str">
        <f t="shared" si="408"/>
        <v/>
      </c>
      <c r="QY91" s="21" t="str">
        <f t="shared" si="409"/>
        <v/>
      </c>
      <c r="QZ91" s="21" t="str">
        <f t="shared" si="410"/>
        <v/>
      </c>
      <c r="RA91" s="21" t="str">
        <f t="shared" si="411"/>
        <v/>
      </c>
      <c r="RB91" s="21" t="str">
        <f t="shared" si="412"/>
        <v/>
      </c>
      <c r="RC91" s="21" t="str">
        <f t="shared" si="413"/>
        <v/>
      </c>
      <c r="RD91" s="21" t="str">
        <f t="shared" si="414"/>
        <v/>
      </c>
      <c r="RE91" s="21" t="str">
        <f t="shared" si="415"/>
        <v/>
      </c>
      <c r="RF91" s="21" t="str">
        <f t="shared" si="416"/>
        <v/>
      </c>
      <c r="RG91" s="21" t="str">
        <f t="shared" si="417"/>
        <v/>
      </c>
      <c r="RH91" s="21" t="str">
        <f t="shared" si="418"/>
        <v>ADECUADO PARA EDAD GESTACIONAL</v>
      </c>
      <c r="RI91" s="21" t="str">
        <f t="shared" si="419"/>
        <v/>
      </c>
      <c r="RJ91" s="21" t="str">
        <f t="shared" si="420"/>
        <v/>
      </c>
      <c r="RK91" s="21" t="str">
        <f t="shared" si="421"/>
        <v/>
      </c>
      <c r="RL91" s="21" t="str">
        <f t="shared" si="422"/>
        <v/>
      </c>
      <c r="RM91" s="21" t="str">
        <f t="shared" si="423"/>
        <v/>
      </c>
      <c r="RN91" s="21" t="str">
        <f t="shared" si="424"/>
        <v/>
      </c>
      <c r="RO91" s="21" t="str">
        <f t="shared" si="425"/>
        <v/>
      </c>
      <c r="RP91" s="21" t="str">
        <f t="shared" si="426"/>
        <v/>
      </c>
      <c r="RQ91" s="21" t="str">
        <f t="shared" si="427"/>
        <v/>
      </c>
      <c r="RR91" s="21" t="str">
        <f t="shared" si="428"/>
        <v/>
      </c>
      <c r="RS91" s="21" t="str">
        <f t="shared" si="429"/>
        <v/>
      </c>
      <c r="RT91" s="21" t="str">
        <f t="shared" si="430"/>
        <v/>
      </c>
      <c r="RU91" s="21" t="str">
        <f t="shared" si="431"/>
        <v/>
      </c>
      <c r="RV91" s="21">
        <f t="shared" si="432"/>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4"/>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44.731506849315068</v>
      </c>
      <c r="O92" s="22">
        <v>44960</v>
      </c>
      <c r="P92" s="214" t="str">
        <f t="shared" si="438"/>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9"/>
        <v>SALE SIN PLAN DE PARTO</v>
      </c>
      <c r="DV92" s="226" t="str">
        <f t="shared" si="440"/>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4">
        <v>44992</v>
      </c>
      <c r="EL92" s="21"/>
      <c r="EM92" s="21"/>
      <c r="EN92" s="22"/>
      <c r="EO92" s="222" t="str">
        <f t="shared" si="271"/>
        <v>TOMAR EXAMEN</v>
      </c>
      <c r="EP92" s="214" t="str">
        <f t="shared" si="272"/>
        <v/>
      </c>
      <c r="EQ92" s="216" t="str">
        <f t="shared" si="273"/>
        <v>POR DEFINIR</v>
      </c>
      <c r="ER92" s="24"/>
      <c r="ES92" s="22"/>
      <c r="ET92" s="29" t="str">
        <f t="shared" ca="1" si="441"/>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2"/>
        <v>PIERDE TOMA DE TAMIZAJE</v>
      </c>
      <c r="FP92" s="22"/>
      <c r="FQ92" s="32"/>
      <c r="FR92" s="29" t="str">
        <f t="shared" ca="1" si="443"/>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4"/>
        <v>PIERDE TOMA DE TAMIZAJE</v>
      </c>
      <c r="GE92" s="22"/>
      <c r="GF92" s="22"/>
      <c r="GG92" s="29" t="str">
        <f t="shared" ca="1" si="445"/>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t="str">
        <f t="shared" ca="1" si="289"/>
        <v>**********************MULTIPARIDAD**RIESGO POR EDAD***************</v>
      </c>
      <c r="HK92" s="21" t="str">
        <f t="shared" si="290"/>
        <v>RIESGO MODERADO (2 O MAS CRITERIOS) VER MANEJO GUIA SUMINISTRO ASA Y CALCIO</v>
      </c>
      <c r="HL92" s="24" t="str">
        <f t="shared" si="291"/>
        <v>REGISTRE DATO PRESIÓN ARTERIAL MENSUAL</v>
      </c>
      <c r="HM92" s="21" t="str">
        <f t="shared" ca="1" si="292"/>
        <v/>
      </c>
      <c r="HN92" s="30" t="str">
        <f t="shared" si="446"/>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3"/>
        <v>25.714285714285715</v>
      </c>
      <c r="IA92" s="26"/>
      <c r="IB92" s="26"/>
      <c r="IC92" s="111"/>
      <c r="ID92" s="22"/>
      <c r="IE92" s="22" t="str">
        <f t="shared" ca="1" si="294"/>
        <v>SALE SIN VACUNA</v>
      </c>
      <c r="IF92" s="22"/>
      <c r="IG92" s="22">
        <f t="shared" si="295"/>
        <v>45060</v>
      </c>
      <c r="IH92" s="29">
        <f t="shared" ca="1" si="296"/>
        <v>-172</v>
      </c>
      <c r="II92" s="22" t="str">
        <f t="shared" ca="1" si="297"/>
        <v>POSIBLEMENTE NACIO</v>
      </c>
      <c r="IJ92" s="22"/>
      <c r="IK92" s="21" t="s">
        <v>898</v>
      </c>
      <c r="IL92" s="21" t="s">
        <v>1639</v>
      </c>
      <c r="IM92" s="34"/>
      <c r="IN92" s="349">
        <v>45032</v>
      </c>
      <c r="IO92" s="21" t="s">
        <v>1640</v>
      </c>
      <c r="IP92" s="29">
        <f t="shared" si="436"/>
        <v>36</v>
      </c>
      <c r="IQ92" s="110"/>
      <c r="IR92" s="21" t="s">
        <v>879</v>
      </c>
      <c r="IS92" s="21" t="s">
        <v>1641</v>
      </c>
      <c r="IT92" s="21" t="s">
        <v>1642</v>
      </c>
      <c r="IU92" s="21"/>
      <c r="IV92" s="21"/>
      <c r="IW92" s="21"/>
      <c r="IX92" s="21"/>
      <c r="IY92" s="21"/>
      <c r="IZ92" s="21"/>
      <c r="JA92" s="21"/>
      <c r="JB92" s="30">
        <v>1</v>
      </c>
      <c r="JC92" s="21" t="s">
        <v>1643</v>
      </c>
      <c r="JD92" s="36">
        <v>1750</v>
      </c>
      <c r="JE92" s="21" t="str">
        <f t="shared" si="447"/>
        <v>PREMATURO</v>
      </c>
      <c r="JF92" s="30"/>
      <c r="JG92" s="21"/>
      <c r="JH92" s="21"/>
      <c r="JI92" s="21"/>
      <c r="JJ92" s="30"/>
      <c r="JK92" s="22"/>
      <c r="JL92" s="22"/>
      <c r="JM92" s="21"/>
      <c r="JN92" s="36"/>
      <c r="JO92" s="21" t="str">
        <f t="shared" si="448"/>
        <v/>
      </c>
      <c r="JP92" s="22"/>
      <c r="JQ92" s="21"/>
      <c r="JR92" s="21"/>
      <c r="JS92" s="21"/>
      <c r="JT92" s="30"/>
      <c r="JU92" s="22"/>
      <c r="JV92" s="22"/>
      <c r="JW92" s="33"/>
      <c r="JX92" s="28" t="str">
        <f t="shared" si="449"/>
        <v>INASISTENTE</v>
      </c>
      <c r="JY92" s="33"/>
      <c r="JZ92" s="28" t="str">
        <f t="shared" si="450"/>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3"/>
        <v>0</v>
      </c>
      <c r="MI92" s="43" t="str">
        <f t="shared" si="304"/>
        <v/>
      </c>
      <c r="MJ92" s="43" t="str">
        <f t="shared" si="305"/>
        <v/>
      </c>
      <c r="MK92" s="43">
        <f t="shared" si="306"/>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7"/>
        <v>25.714285714285715</v>
      </c>
      <c r="MN92" s="43">
        <f t="shared" si="308"/>
        <v>2</v>
      </c>
      <c r="MO92" s="43">
        <f t="shared" si="309"/>
        <v>2023</v>
      </c>
      <c r="MP92" s="43" t="str">
        <f t="shared" si="310"/>
        <v>I TRIMESTRE AÑO</v>
      </c>
      <c r="MQ92" s="43">
        <f t="shared" si="311"/>
        <v>43.320192728865521</v>
      </c>
      <c r="MR92" s="43">
        <f t="shared" si="312"/>
        <v>2</v>
      </c>
      <c r="MS92" s="43" t="str">
        <f t="shared" si="313"/>
        <v xml:space="preserve"> DE 40 Y MAS</v>
      </c>
      <c r="MT92" s="43">
        <f t="shared" si="314"/>
        <v>0</v>
      </c>
      <c r="MU92" s="43">
        <f t="shared" si="315"/>
        <v>1</v>
      </c>
      <c r="MV92" s="43">
        <f t="shared" si="316"/>
        <v>0</v>
      </c>
      <c r="MW92" s="43">
        <f t="shared" si="317"/>
        <v>0</v>
      </c>
      <c r="MX92" s="43" t="str">
        <f t="shared" si="318"/>
        <v/>
      </c>
      <c r="MY92" s="43" t="str">
        <f t="shared" ca="1" si="451"/>
        <v/>
      </c>
      <c r="MZ92" s="43" t="str">
        <f t="shared" si="319"/>
        <v/>
      </c>
      <c r="NA92" s="43">
        <f t="shared" si="320"/>
        <v>0</v>
      </c>
      <c r="NB92" s="43" t="str">
        <f t="shared" si="321"/>
        <v/>
      </c>
      <c r="NC92" s="43" t="str">
        <f t="shared" si="322"/>
        <v/>
      </c>
      <c r="ND92" s="43">
        <f t="shared" ca="1" si="323"/>
        <v>3</v>
      </c>
      <c r="NE92" s="43">
        <f>IF(OR(O92&gt;0,R92&gt;0),SUM(COUNTIF(Tabla1[[#This Row],[AÑOS AL INICIO5 CPN]],"&gt;=40"),COUNTIF(AS92,"0"),COUNTIF(AR92,"SI"),COUNTIF(CC92,"SI"),COUNTIF(BQ92,"&gt;119"),COUNTIF(CI92,"&gt;=35")),"")</f>
        <v>2</v>
      </c>
      <c r="NF92" s="43" t="str">
        <f t="shared" si="324"/>
        <v/>
      </c>
      <c r="NG92" s="43">
        <f t="shared" si="325"/>
        <v>0</v>
      </c>
      <c r="NH92" s="43">
        <f t="shared" si="326"/>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7"/>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8"/>
        <v>II TRIM</v>
      </c>
      <c r="NQ92" s="21">
        <f t="shared" si="437"/>
        <v>1</v>
      </c>
      <c r="NR92" s="21">
        <f t="shared" si="452"/>
        <v>2</v>
      </c>
      <c r="NS92" s="205">
        <f t="shared" ca="1" si="329"/>
        <v>0</v>
      </c>
      <c r="NT92" s="21">
        <f t="shared" ca="1" si="330"/>
        <v>0</v>
      </c>
      <c r="NU92" s="21" t="str">
        <f t="shared" ca="1" si="331"/>
        <v>INCOMPLETO</v>
      </c>
      <c r="NV92" s="21" t="str">
        <f t="shared" ca="1" si="332"/>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3"/>
        <v>SIN VACUNAR</v>
      </c>
      <c r="NY92" s="43">
        <f>ROW(Tabla1[[#This Row],['# DE TAMIZAJES SIFILIS TOMADOS ]])</f>
        <v>92</v>
      </c>
      <c r="NZ92" s="43">
        <f t="shared" si="334"/>
        <v>25</v>
      </c>
      <c r="OA92" s="43" t="str">
        <f t="shared" si="335"/>
        <v/>
      </c>
      <c r="OB92" s="43" t="str">
        <f t="shared" si="336"/>
        <v/>
      </c>
      <c r="OC92" s="43" t="str">
        <f t="shared" si="337"/>
        <v/>
      </c>
      <c r="OD92" s="43" t="str">
        <f t="shared" si="338"/>
        <v/>
      </c>
      <c r="OE92" s="43" t="str">
        <f t="shared" si="339"/>
        <v/>
      </c>
      <c r="OF92" s="43" t="str">
        <f t="shared" si="340"/>
        <v/>
      </c>
      <c r="OG92" s="43" t="str">
        <f t="shared" si="341"/>
        <v/>
      </c>
      <c r="OH92" s="43" t="str">
        <f t="shared" si="342"/>
        <v/>
      </c>
      <c r="OI92" s="43" t="str">
        <f t="shared" si="343"/>
        <v/>
      </c>
      <c r="OJ92" s="43" t="str">
        <f t="shared" si="344"/>
        <v/>
      </c>
      <c r="OK92" s="43" t="str">
        <f t="shared" si="345"/>
        <v/>
      </c>
      <c r="OL92" s="43" t="str">
        <f t="shared" si="346"/>
        <v/>
      </c>
      <c r="OM92" s="43" t="str">
        <f t="shared" si="347"/>
        <v/>
      </c>
      <c r="ON92" s="43" t="str">
        <f t="shared" si="348"/>
        <v/>
      </c>
      <c r="OO92" s="43" t="str">
        <f t="shared" si="349"/>
        <v/>
      </c>
      <c r="OP92" s="43" t="str">
        <f t="shared" si="350"/>
        <v/>
      </c>
      <c r="OQ92" s="43" t="str">
        <f t="shared" si="351"/>
        <v>NORMAL</v>
      </c>
      <c r="OR92" s="43" t="str">
        <f t="shared" si="352"/>
        <v/>
      </c>
      <c r="OS92" s="43" t="str">
        <f t="shared" si="353"/>
        <v/>
      </c>
      <c r="OT92" s="43" t="str">
        <f t="shared" si="354"/>
        <v/>
      </c>
      <c r="OU92" s="43" t="str">
        <f t="shared" si="355"/>
        <v/>
      </c>
      <c r="OV92" s="110" t="str">
        <f t="shared" si="356"/>
        <v/>
      </c>
      <c r="OW92" s="43" t="str">
        <f t="shared" si="357"/>
        <v/>
      </c>
      <c r="OX92" s="43" t="str">
        <f t="shared" si="358"/>
        <v/>
      </c>
      <c r="OY92" s="43" t="str">
        <f t="shared" si="359"/>
        <v/>
      </c>
      <c r="OZ92" s="43" t="str">
        <f t="shared" si="360"/>
        <v/>
      </c>
      <c r="PA92" s="43" t="str">
        <f t="shared" si="361"/>
        <v/>
      </c>
      <c r="PB92" s="43" t="str">
        <f t="shared" si="362"/>
        <v/>
      </c>
      <c r="PC92" s="43" t="str">
        <f t="shared" si="363"/>
        <v/>
      </c>
      <c r="PD92" s="43" t="str">
        <f t="shared" si="364"/>
        <v/>
      </c>
      <c r="PE92" s="43" t="str">
        <f t="shared" si="365"/>
        <v/>
      </c>
      <c r="PF92" s="43" t="str">
        <f t="shared" si="366"/>
        <v/>
      </c>
      <c r="PG92" s="43" t="str">
        <f t="shared" si="367"/>
        <v/>
      </c>
      <c r="PH92" s="43" t="str">
        <f t="shared" si="368"/>
        <v/>
      </c>
      <c r="PI92" s="43">
        <f t="shared" si="369"/>
        <v>31</v>
      </c>
      <c r="PJ92" s="43" t="str">
        <f t="shared" si="370"/>
        <v/>
      </c>
      <c r="PK92" s="43" t="str">
        <f t="shared" si="371"/>
        <v/>
      </c>
      <c r="PL92" s="43" t="str">
        <f t="shared" si="372"/>
        <v/>
      </c>
      <c r="PM92" s="43" t="str">
        <f t="shared" si="373"/>
        <v/>
      </c>
      <c r="PN92" s="43" t="str">
        <f t="shared" si="374"/>
        <v/>
      </c>
      <c r="PO92" s="43" t="str">
        <f t="shared" si="375"/>
        <v/>
      </c>
      <c r="PP92" s="43" t="str">
        <f t="shared" si="376"/>
        <v/>
      </c>
      <c r="PQ92" s="43" t="str">
        <f t="shared" si="377"/>
        <v/>
      </c>
      <c r="PR92" s="43" t="str">
        <f t="shared" si="378"/>
        <v/>
      </c>
      <c r="PS92" s="43" t="str">
        <f t="shared" si="379"/>
        <v/>
      </c>
      <c r="PT92" s="43" t="str">
        <f t="shared" si="380"/>
        <v/>
      </c>
      <c r="PU92" s="43" t="str">
        <f t="shared" si="381"/>
        <v/>
      </c>
      <c r="PV92" s="43" t="str">
        <f t="shared" si="382"/>
        <v/>
      </c>
      <c r="PW92" s="43" t="str">
        <f t="shared" si="383"/>
        <v/>
      </c>
      <c r="PX92" s="43" t="str">
        <f t="shared" si="384"/>
        <v/>
      </c>
      <c r="PY92" s="43" t="str">
        <f t="shared" si="385"/>
        <v/>
      </c>
      <c r="PZ92" s="43" t="str">
        <f t="shared" si="386"/>
        <v/>
      </c>
      <c r="QA92" s="43" t="str">
        <f t="shared" si="387"/>
        <v/>
      </c>
      <c r="QB92" s="43" t="str">
        <f t="shared" si="388"/>
        <v/>
      </c>
      <c r="QC92" s="43" t="str">
        <f t="shared" si="389"/>
        <v/>
      </c>
      <c r="QD92" s="43" t="str">
        <f t="shared" si="390"/>
        <v/>
      </c>
      <c r="QE92" s="43" t="str">
        <f t="shared" si="391"/>
        <v/>
      </c>
      <c r="QF92" s="43" t="str">
        <f t="shared" si="392"/>
        <v/>
      </c>
      <c r="QG92" s="43" t="str">
        <f t="shared" si="393"/>
        <v/>
      </c>
      <c r="QH92" s="43" t="str">
        <f t="shared" si="394"/>
        <v/>
      </c>
      <c r="QI92" s="43" t="str">
        <f t="shared" si="395"/>
        <v/>
      </c>
      <c r="QJ92" s="43" t="str">
        <f t="shared" si="396"/>
        <v/>
      </c>
      <c r="QK92" s="43" t="str">
        <f t="shared" si="397"/>
        <v/>
      </c>
      <c r="QL92" s="43" t="str">
        <f t="shared" si="398"/>
        <v/>
      </c>
      <c r="QM92" s="43" t="str">
        <f t="shared" si="399"/>
        <v/>
      </c>
      <c r="QN92" s="43" t="str">
        <f t="shared" si="400"/>
        <v/>
      </c>
      <c r="QO92" s="43" t="str">
        <f t="shared" si="401"/>
        <v/>
      </c>
      <c r="QP92" s="43" t="str">
        <f t="shared" si="402"/>
        <v/>
      </c>
      <c r="QQ92" s="43" t="str">
        <f t="shared" si="403"/>
        <v/>
      </c>
      <c r="QR92" s="43">
        <f t="shared" si="433"/>
        <v>31</v>
      </c>
      <c r="QS92" s="43"/>
      <c r="QT92" s="21" t="str">
        <f t="shared" si="404"/>
        <v/>
      </c>
      <c r="QU92" s="21" t="str">
        <f t="shared" si="405"/>
        <v/>
      </c>
      <c r="QV92" s="21" t="str">
        <f t="shared" si="406"/>
        <v/>
      </c>
      <c r="QW92" s="21" t="str">
        <f t="shared" si="407"/>
        <v/>
      </c>
      <c r="QX92" s="21" t="str">
        <f t="shared" si="408"/>
        <v/>
      </c>
      <c r="QY92" s="21" t="str">
        <f t="shared" si="409"/>
        <v/>
      </c>
      <c r="QZ92" s="21" t="str">
        <f t="shared" si="410"/>
        <v/>
      </c>
      <c r="RA92" s="21" t="str">
        <f t="shared" si="411"/>
        <v/>
      </c>
      <c r="RB92" s="21" t="str">
        <f t="shared" si="412"/>
        <v/>
      </c>
      <c r="RC92" s="21" t="str">
        <f t="shared" si="413"/>
        <v/>
      </c>
      <c r="RD92" s="21" t="str">
        <f t="shared" si="414"/>
        <v/>
      </c>
      <c r="RE92" s="21" t="str">
        <f t="shared" si="415"/>
        <v/>
      </c>
      <c r="RF92" s="21" t="str">
        <f t="shared" si="416"/>
        <v/>
      </c>
      <c r="RG92" s="21" t="str">
        <f t="shared" si="417"/>
        <v/>
      </c>
      <c r="RH92" s="21" t="str">
        <f t="shared" si="418"/>
        <v/>
      </c>
      <c r="RI92" s="21" t="str">
        <f t="shared" si="419"/>
        <v/>
      </c>
      <c r="RJ92" s="21" t="str">
        <f t="shared" si="420"/>
        <v/>
      </c>
      <c r="RK92" s="21" t="str">
        <f t="shared" si="421"/>
        <v/>
      </c>
      <c r="RL92" s="21" t="str">
        <f t="shared" si="422"/>
        <v/>
      </c>
      <c r="RM92" s="21" t="str">
        <f t="shared" si="423"/>
        <v/>
      </c>
      <c r="RN92" s="21" t="str">
        <f t="shared" si="424"/>
        <v/>
      </c>
      <c r="RO92" s="21" t="str">
        <f t="shared" si="425"/>
        <v/>
      </c>
      <c r="RP92" s="21" t="str">
        <f t="shared" si="426"/>
        <v/>
      </c>
      <c r="RQ92" s="21" t="str">
        <f t="shared" si="427"/>
        <v/>
      </c>
      <c r="RR92" s="21" t="str">
        <f t="shared" si="428"/>
        <v/>
      </c>
      <c r="RS92" s="21" t="str">
        <f t="shared" si="429"/>
        <v/>
      </c>
      <c r="RT92" s="21" t="str">
        <f t="shared" si="430"/>
        <v/>
      </c>
      <c r="RU92" s="21" t="str">
        <f t="shared" si="431"/>
        <v/>
      </c>
      <c r="RV92" s="21">
        <f t="shared" si="432"/>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4"/>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23.654794520547945</v>
      </c>
      <c r="O93" s="22">
        <v>44960</v>
      </c>
      <c r="P93" s="214" t="str">
        <f t="shared" si="438"/>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9"/>
        <v>SALE SIN PLAN DE PARTO</v>
      </c>
      <c r="DV93" s="226" t="str">
        <f t="shared" si="440"/>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1"/>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2"/>
        <v>PIERDE TOMA DE TAMIZAJE</v>
      </c>
      <c r="FP93" s="22"/>
      <c r="FQ93" s="32"/>
      <c r="FR93" s="29" t="str">
        <f t="shared" ca="1" si="443"/>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3">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4"/>
        <v>PIERDE TOMA DE TAMIZAJE</v>
      </c>
      <c r="GE93" s="22"/>
      <c r="GF93" s="22"/>
      <c r="GG93" s="29" t="str">
        <f t="shared" ca="1" si="445"/>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t="str">
        <f t="shared" ca="1" si="289"/>
        <v>***************************************</v>
      </c>
      <c r="HK93" s="21" t="str">
        <f t="shared" si="290"/>
        <v>SIN ANTECEDENTES DE RIESGO</v>
      </c>
      <c r="HL93" s="24" t="str">
        <f t="shared" si="291"/>
        <v>REGISTRE DATO PRESIÓN ARTERIAL MENSUAL</v>
      </c>
      <c r="HM93" s="21" t="str">
        <f t="shared" ca="1" si="292"/>
        <v/>
      </c>
      <c r="HN93" s="30" t="str">
        <f t="shared" si="446"/>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3"/>
        <v>22.428571428571427</v>
      </c>
      <c r="IA93" s="26"/>
      <c r="IB93" s="26"/>
      <c r="IC93" s="111"/>
      <c r="ID93" s="22"/>
      <c r="IE93" s="22" t="str">
        <f t="shared" ca="1" si="294"/>
        <v>SALE SIN VACUNA</v>
      </c>
      <c r="IF93" s="22"/>
      <c r="IG93" s="22">
        <f t="shared" si="295"/>
        <v>45083</v>
      </c>
      <c r="IH93" s="29">
        <f t="shared" ca="1" si="296"/>
        <v>-149</v>
      </c>
      <c r="II93" s="22" t="str">
        <f t="shared" ca="1" si="297"/>
        <v>POSIBLEMENTE NACIO</v>
      </c>
      <c r="IJ93" s="22"/>
      <c r="IK93" s="21" t="s">
        <v>1652</v>
      </c>
      <c r="IL93" s="21"/>
      <c r="IM93" s="34"/>
      <c r="IN93" s="349">
        <v>45063</v>
      </c>
      <c r="IO93" s="21" t="s">
        <v>1186</v>
      </c>
      <c r="IP93" s="29">
        <f t="shared" si="436"/>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7"/>
        <v>PESO ADECUADO EDAD GESTACIONAL</v>
      </c>
      <c r="JF93" s="30"/>
      <c r="JG93" s="21"/>
      <c r="JH93" s="21"/>
      <c r="JI93" s="21" t="s">
        <v>854</v>
      </c>
      <c r="JJ93" s="30" t="s">
        <v>866</v>
      </c>
      <c r="JK93" s="22"/>
      <c r="JL93" s="22"/>
      <c r="JM93" s="21"/>
      <c r="JN93" s="36"/>
      <c r="JO93" s="21" t="str">
        <f t="shared" si="448"/>
        <v/>
      </c>
      <c r="JP93" s="22"/>
      <c r="JQ93" s="21"/>
      <c r="JR93" s="21"/>
      <c r="JS93" s="21"/>
      <c r="JT93" s="30"/>
      <c r="JU93" s="22"/>
      <c r="JV93" s="22"/>
      <c r="JW93" s="33"/>
      <c r="JX93" s="28" t="str">
        <f t="shared" si="449"/>
        <v>INASISTENTE</v>
      </c>
      <c r="JY93" s="33"/>
      <c r="JZ93" s="28" t="str">
        <f t="shared" si="450"/>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3"/>
        <v>0</v>
      </c>
      <c r="MI93" s="43" t="str">
        <f t="shared" si="304"/>
        <v/>
      </c>
      <c r="MJ93" s="43" t="str">
        <f t="shared" si="305"/>
        <v/>
      </c>
      <c r="MK93" s="43">
        <f t="shared" si="306"/>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7"/>
        <v>22.428571428571427</v>
      </c>
      <c r="MN93" s="43">
        <f t="shared" si="308"/>
        <v>2</v>
      </c>
      <c r="MO93" s="43">
        <f t="shared" si="309"/>
        <v>2023</v>
      </c>
      <c r="MP93" s="43" t="str">
        <f t="shared" si="310"/>
        <v>I TRIMESTRE AÑO</v>
      </c>
      <c r="MQ93" s="43">
        <f t="shared" si="311"/>
        <v>22.558037669732808</v>
      </c>
      <c r="MR93" s="43">
        <f t="shared" si="312"/>
        <v>0</v>
      </c>
      <c r="MS93" s="43" t="str">
        <f t="shared" si="313"/>
        <v xml:space="preserve"> DE 20 A 24 AÑOS</v>
      </c>
      <c r="MT93" s="43">
        <f t="shared" si="314"/>
        <v>0</v>
      </c>
      <c r="MU93" s="43" t="str">
        <f t="shared" si="315"/>
        <v/>
      </c>
      <c r="MV93" s="43" t="str">
        <f t="shared" si="316"/>
        <v/>
      </c>
      <c r="MW93" s="43">
        <f t="shared" si="317"/>
        <v>0</v>
      </c>
      <c r="MX93" s="43" t="str">
        <f t="shared" si="318"/>
        <v/>
      </c>
      <c r="MY93" s="43" t="str">
        <f t="shared" ca="1" si="451"/>
        <v/>
      </c>
      <c r="MZ93" s="43" t="str">
        <f t="shared" si="319"/>
        <v/>
      </c>
      <c r="NA93" s="43">
        <f t="shared" si="320"/>
        <v>0</v>
      </c>
      <c r="NB93" s="43" t="str">
        <f t="shared" si="321"/>
        <v/>
      </c>
      <c r="NC93" s="43" t="str">
        <f t="shared" si="322"/>
        <v/>
      </c>
      <c r="ND93" s="43">
        <f t="shared" ca="1" si="323"/>
        <v>0</v>
      </c>
      <c r="NE93" s="43">
        <f>IF(OR(O93&gt;0,R93&gt;0),SUM(COUNTIF(Tabla1[[#This Row],[AÑOS AL INICIO5 CPN]],"&gt;=40"),COUNTIF(AS93,"0"),COUNTIF(AR93,"SI"),COUNTIF(CC93,"SI"),COUNTIF(BQ93,"&gt;119"),COUNTIF(CI93,"&gt;=35")),"")</f>
        <v>0</v>
      </c>
      <c r="NF93" s="43" t="str">
        <f t="shared" si="324"/>
        <v/>
      </c>
      <c r="NG93" s="43">
        <f t="shared" si="325"/>
        <v>0</v>
      </c>
      <c r="NH93" s="43">
        <f t="shared" si="326"/>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7"/>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8"/>
        <v>II TRIM</v>
      </c>
      <c r="NQ93" s="21" t="str">
        <f t="shared" si="437"/>
        <v/>
      </c>
      <c r="NR93" s="21">
        <f t="shared" si="452"/>
        <v>2</v>
      </c>
      <c r="NS93" s="205">
        <f t="shared" ca="1" si="329"/>
        <v>0</v>
      </c>
      <c r="NT93" s="21">
        <f t="shared" ca="1" si="330"/>
        <v>0</v>
      </c>
      <c r="NU93" s="21" t="str">
        <f t="shared" ca="1" si="331"/>
        <v>INCOMPLETO</v>
      </c>
      <c r="NV93" s="21" t="str">
        <f t="shared" ca="1" si="332"/>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3"/>
        <v>SIN VACUNAR</v>
      </c>
      <c r="NY93" s="43">
        <f>ROW(Tabla1[[#This Row],['# DE TAMIZAJES SIFILIS TOMADOS ]])</f>
        <v>93</v>
      </c>
      <c r="NZ93" s="43">
        <f t="shared" si="334"/>
        <v>22</v>
      </c>
      <c r="OA93" s="43" t="str">
        <f t="shared" si="335"/>
        <v/>
      </c>
      <c r="OB93" s="43" t="str">
        <f t="shared" si="336"/>
        <v/>
      </c>
      <c r="OC93" s="43" t="str">
        <f t="shared" si="337"/>
        <v/>
      </c>
      <c r="OD93" s="43" t="str">
        <f t="shared" si="338"/>
        <v/>
      </c>
      <c r="OE93" s="43" t="str">
        <f t="shared" si="339"/>
        <v/>
      </c>
      <c r="OF93" s="43" t="str">
        <f t="shared" si="340"/>
        <v/>
      </c>
      <c r="OG93" s="43" t="str">
        <f t="shared" si="341"/>
        <v/>
      </c>
      <c r="OH93" s="43" t="str">
        <f t="shared" si="342"/>
        <v/>
      </c>
      <c r="OI93" s="43" t="str">
        <f t="shared" si="343"/>
        <v/>
      </c>
      <c r="OJ93" s="43" t="str">
        <f t="shared" si="344"/>
        <v/>
      </c>
      <c r="OK93" s="43" t="str">
        <f t="shared" si="345"/>
        <v/>
      </c>
      <c r="OL93" s="43" t="str">
        <f t="shared" si="346"/>
        <v/>
      </c>
      <c r="OM93" s="43" t="str">
        <f t="shared" si="347"/>
        <v/>
      </c>
      <c r="ON93" s="43" t="str">
        <f t="shared" si="348"/>
        <v>NORMAL</v>
      </c>
      <c r="OO93" s="43" t="str">
        <f t="shared" si="349"/>
        <v/>
      </c>
      <c r="OP93" s="43" t="str">
        <f t="shared" si="350"/>
        <v/>
      </c>
      <c r="OQ93" s="43" t="str">
        <f t="shared" si="351"/>
        <v/>
      </c>
      <c r="OR93" s="43" t="str">
        <f t="shared" si="352"/>
        <v/>
      </c>
      <c r="OS93" s="43" t="str">
        <f t="shared" si="353"/>
        <v/>
      </c>
      <c r="OT93" s="43" t="str">
        <f t="shared" si="354"/>
        <v/>
      </c>
      <c r="OU93" s="43" t="str">
        <f t="shared" si="355"/>
        <v/>
      </c>
      <c r="OV93" s="110" t="str">
        <f t="shared" si="356"/>
        <v/>
      </c>
      <c r="OW93" s="43" t="str">
        <f t="shared" si="357"/>
        <v/>
      </c>
      <c r="OX93" s="43" t="str">
        <f t="shared" si="358"/>
        <v/>
      </c>
      <c r="OY93" s="43" t="str">
        <f t="shared" si="359"/>
        <v/>
      </c>
      <c r="OZ93" s="43" t="str">
        <f t="shared" si="360"/>
        <v/>
      </c>
      <c r="PA93" s="43" t="str">
        <f t="shared" si="361"/>
        <v/>
      </c>
      <c r="PB93" s="43" t="str">
        <f t="shared" si="362"/>
        <v/>
      </c>
      <c r="PC93" s="43" t="str">
        <f t="shared" si="363"/>
        <v/>
      </c>
      <c r="PD93" s="43" t="str">
        <f t="shared" si="364"/>
        <v/>
      </c>
      <c r="PE93" s="43" t="str">
        <f t="shared" si="365"/>
        <v/>
      </c>
      <c r="PF93" s="43" t="str">
        <f t="shared" si="366"/>
        <v/>
      </c>
      <c r="PG93" s="43" t="str">
        <f t="shared" si="367"/>
        <v/>
      </c>
      <c r="PH93" s="43" t="str">
        <f t="shared" si="368"/>
        <v/>
      </c>
      <c r="PI93" s="43">
        <f t="shared" si="369"/>
        <v>28</v>
      </c>
      <c r="PJ93" s="43" t="str">
        <f t="shared" si="370"/>
        <v/>
      </c>
      <c r="PK93" s="43" t="str">
        <f t="shared" si="371"/>
        <v/>
      </c>
      <c r="PL93" s="43" t="str">
        <f t="shared" si="372"/>
        <v/>
      </c>
      <c r="PM93" s="43" t="str">
        <f t="shared" si="373"/>
        <v/>
      </c>
      <c r="PN93" s="43" t="str">
        <f t="shared" si="374"/>
        <v/>
      </c>
      <c r="PO93" s="43" t="str">
        <f t="shared" si="375"/>
        <v/>
      </c>
      <c r="PP93" s="43" t="str">
        <f t="shared" si="376"/>
        <v/>
      </c>
      <c r="PQ93" s="43" t="str">
        <f t="shared" si="377"/>
        <v/>
      </c>
      <c r="PR93" s="43" t="str">
        <f t="shared" si="378"/>
        <v/>
      </c>
      <c r="PS93" s="43" t="str">
        <f t="shared" si="379"/>
        <v/>
      </c>
      <c r="PT93" s="43" t="str">
        <f t="shared" si="380"/>
        <v/>
      </c>
      <c r="PU93" s="43" t="str">
        <f t="shared" si="381"/>
        <v/>
      </c>
      <c r="PV93" s="43" t="str">
        <f t="shared" si="382"/>
        <v/>
      </c>
      <c r="PW93" s="43" t="str">
        <f t="shared" si="383"/>
        <v/>
      </c>
      <c r="PX93" s="43" t="str">
        <f t="shared" si="384"/>
        <v/>
      </c>
      <c r="PY93" s="43" t="str">
        <f t="shared" si="385"/>
        <v/>
      </c>
      <c r="PZ93" s="43" t="str">
        <f t="shared" si="386"/>
        <v/>
      </c>
      <c r="QA93" s="43" t="str">
        <f t="shared" si="387"/>
        <v/>
      </c>
      <c r="QB93" s="43" t="str">
        <f t="shared" si="388"/>
        <v/>
      </c>
      <c r="QC93" s="43" t="str">
        <f t="shared" si="389"/>
        <v/>
      </c>
      <c r="QD93" s="43" t="str">
        <f t="shared" si="390"/>
        <v/>
      </c>
      <c r="QE93" s="43" t="str">
        <f t="shared" si="391"/>
        <v/>
      </c>
      <c r="QF93" s="43" t="str">
        <f t="shared" si="392"/>
        <v/>
      </c>
      <c r="QG93" s="43" t="str">
        <f t="shared" si="393"/>
        <v/>
      </c>
      <c r="QH93" s="43" t="str">
        <f t="shared" si="394"/>
        <v/>
      </c>
      <c r="QI93" s="43" t="str">
        <f t="shared" si="395"/>
        <v/>
      </c>
      <c r="QJ93" s="43" t="str">
        <f t="shared" si="396"/>
        <v/>
      </c>
      <c r="QK93" s="43" t="str">
        <f t="shared" si="397"/>
        <v/>
      </c>
      <c r="QL93" s="43" t="str">
        <f t="shared" si="398"/>
        <v/>
      </c>
      <c r="QM93" s="43" t="str">
        <f t="shared" si="399"/>
        <v/>
      </c>
      <c r="QN93" s="43" t="str">
        <f t="shared" si="400"/>
        <v/>
      </c>
      <c r="QO93" s="43" t="str">
        <f t="shared" si="401"/>
        <v/>
      </c>
      <c r="QP93" s="43" t="str">
        <f t="shared" si="402"/>
        <v/>
      </c>
      <c r="QQ93" s="43" t="str">
        <f t="shared" si="403"/>
        <v/>
      </c>
      <c r="QR93" s="43">
        <f t="shared" si="433"/>
        <v>28</v>
      </c>
      <c r="QS93" s="43"/>
      <c r="QT93" s="21" t="str">
        <f t="shared" si="404"/>
        <v/>
      </c>
      <c r="QU93" s="21" t="str">
        <f t="shared" si="405"/>
        <v/>
      </c>
      <c r="QV93" s="21" t="str">
        <f t="shared" si="406"/>
        <v/>
      </c>
      <c r="QW93" s="21" t="str">
        <f t="shared" si="407"/>
        <v/>
      </c>
      <c r="QX93" s="21" t="str">
        <f t="shared" si="408"/>
        <v/>
      </c>
      <c r="QY93" s="21" t="str">
        <f t="shared" si="409"/>
        <v/>
      </c>
      <c r="QZ93" s="21" t="str">
        <f t="shared" si="410"/>
        <v/>
      </c>
      <c r="RA93" s="21" t="str">
        <f t="shared" si="411"/>
        <v/>
      </c>
      <c r="RB93" s="21" t="str">
        <f t="shared" si="412"/>
        <v/>
      </c>
      <c r="RC93" s="21" t="str">
        <f t="shared" si="413"/>
        <v/>
      </c>
      <c r="RD93" s="21" t="str">
        <f t="shared" si="414"/>
        <v/>
      </c>
      <c r="RE93" s="21" t="str">
        <f t="shared" si="415"/>
        <v/>
      </c>
      <c r="RF93" s="21" t="str">
        <f t="shared" si="416"/>
        <v/>
      </c>
      <c r="RG93" s="21" t="str">
        <f t="shared" si="417"/>
        <v/>
      </c>
      <c r="RH93" s="21" t="str">
        <f t="shared" si="418"/>
        <v/>
      </c>
      <c r="RI93" s="21" t="str">
        <f t="shared" si="419"/>
        <v/>
      </c>
      <c r="RJ93" s="21" t="str">
        <f t="shared" si="420"/>
        <v/>
      </c>
      <c r="RK93" s="21" t="str">
        <f t="shared" si="421"/>
        <v/>
      </c>
      <c r="RL93" s="21" t="str">
        <f t="shared" si="422"/>
        <v/>
      </c>
      <c r="RM93" s="21" t="str">
        <f t="shared" si="423"/>
        <v/>
      </c>
      <c r="RN93" s="21" t="str">
        <f t="shared" si="424"/>
        <v/>
      </c>
      <c r="RO93" s="21" t="str">
        <f t="shared" si="425"/>
        <v/>
      </c>
      <c r="RP93" s="21" t="str">
        <f t="shared" si="426"/>
        <v/>
      </c>
      <c r="RQ93" s="21" t="str">
        <f t="shared" si="427"/>
        <v/>
      </c>
      <c r="RR93" s="21" t="str">
        <f t="shared" si="428"/>
        <v/>
      </c>
      <c r="RS93" s="21" t="str">
        <f t="shared" si="429"/>
        <v/>
      </c>
      <c r="RT93" s="21" t="str">
        <f t="shared" si="430"/>
        <v/>
      </c>
      <c r="RU93" s="21" t="str">
        <f t="shared" si="431"/>
        <v/>
      </c>
      <c r="RV93" s="21">
        <f t="shared" si="432"/>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4"/>
        <v>0</v>
      </c>
    </row>
    <row r="94" spans="1:493" s="338" customFormat="1"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35.561643835616437</v>
      </c>
      <c r="O94" s="305">
        <v>44958</v>
      </c>
      <c r="P94" s="307" t="str">
        <f t="shared" si="438"/>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9"/>
        <v>CONCERTAR PLAN DE PARTO INMEDIATO</v>
      </c>
      <c r="DV94" s="324" t="str">
        <f t="shared" si="440"/>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1"/>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2"/>
        <v>13.400000000000416</v>
      </c>
      <c r="FP94" s="305"/>
      <c r="FQ94" s="328"/>
      <c r="FR94" s="326" t="str">
        <f t="shared" ca="1" si="443"/>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3"/>
        <v>NO APLICA-INGRESO TARDIO</v>
      </c>
      <c r="GB94" s="305" t="s">
        <v>868</v>
      </c>
      <c r="GC94" s="305">
        <v>44958</v>
      </c>
      <c r="GD94" s="326">
        <f t="shared" ca="1" si="444"/>
        <v>13.11428571428613</v>
      </c>
      <c r="GE94" s="305"/>
      <c r="GF94" s="305"/>
      <c r="GG94" s="326" t="str">
        <f t="shared" ca="1" si="445"/>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t="str">
        <f t="shared" ca="1" si="289"/>
        <v>***************************************</v>
      </c>
      <c r="HK94" s="309" t="str">
        <f t="shared" si="290"/>
        <v>SIN ANTECEDENTES DE RIESGO</v>
      </c>
      <c r="HL94" s="310" t="str">
        <f t="shared" si="291"/>
        <v>VIGILAR CIFRAS PRESION ARTERIAL</v>
      </c>
      <c r="HM94" s="309" t="e">
        <f t="shared" ca="1" si="292"/>
        <v>#REF!</v>
      </c>
      <c r="HN94" s="329" t="str">
        <f t="shared" si="446"/>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3"/>
        <v>13.11428571428613</v>
      </c>
      <c r="IA94" s="308"/>
      <c r="IB94" s="308"/>
      <c r="IC94" s="330"/>
      <c r="ID94" s="305"/>
      <c r="IE94" s="305" t="str">
        <f t="shared" ca="1" si="294"/>
        <v/>
      </c>
      <c r="IF94" s="305"/>
      <c r="IG94" s="305">
        <f t="shared" si="295"/>
        <v>45146.2</v>
      </c>
      <c r="IH94" s="326">
        <f t="shared" ca="1" si="296"/>
        <v>-85.80000000000291</v>
      </c>
      <c r="II94" s="305" t="str">
        <f t="shared" ca="1" si="297"/>
        <v>POSIBLEMENTE NACIO</v>
      </c>
      <c r="IJ94" s="305"/>
      <c r="IK94" s="309"/>
      <c r="IL94" s="309"/>
      <c r="IM94" s="331"/>
      <c r="IN94" s="350"/>
      <c r="IO94" s="309"/>
      <c r="IP94" s="326" t="str">
        <f t="shared" si="436"/>
        <v/>
      </c>
      <c r="IQ94" s="303"/>
      <c r="IR94" s="309"/>
      <c r="IS94" s="309"/>
      <c r="IT94" s="309"/>
      <c r="IU94" s="309"/>
      <c r="IV94" s="309"/>
      <c r="IW94" s="309"/>
      <c r="IX94" s="309"/>
      <c r="IY94" s="309"/>
      <c r="IZ94" s="309"/>
      <c r="JA94" s="309"/>
      <c r="JB94" s="329"/>
      <c r="JC94" s="309"/>
      <c r="JD94" s="333"/>
      <c r="JE94" s="309" t="str">
        <f t="shared" si="447"/>
        <v/>
      </c>
      <c r="JF94" s="329"/>
      <c r="JG94" s="309"/>
      <c r="JH94" s="309"/>
      <c r="JI94" s="309"/>
      <c r="JJ94" s="329"/>
      <c r="JK94" s="305"/>
      <c r="JL94" s="305"/>
      <c r="JM94" s="309"/>
      <c r="JN94" s="333"/>
      <c r="JO94" s="309" t="str">
        <f t="shared" si="448"/>
        <v/>
      </c>
      <c r="JP94" s="305"/>
      <c r="JQ94" s="309"/>
      <c r="JR94" s="309"/>
      <c r="JS94" s="309"/>
      <c r="JT94" s="329"/>
      <c r="JU94" s="305"/>
      <c r="JV94" s="305"/>
      <c r="JW94" s="334"/>
      <c r="JX94" s="320" t="str">
        <f t="shared" si="449"/>
        <v/>
      </c>
      <c r="JY94" s="334"/>
      <c r="JZ94" s="320" t="str">
        <f t="shared" si="450"/>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3"/>
        <v>0</v>
      </c>
      <c r="MI94" s="43" t="str">
        <f t="shared" si="304"/>
        <v/>
      </c>
      <c r="MJ94" s="43" t="str">
        <f t="shared" si="305"/>
        <v/>
      </c>
      <c r="MK94" s="43">
        <f t="shared" si="306"/>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7"/>
        <v>13.11428571428613</v>
      </c>
      <c r="MN94" s="43">
        <f t="shared" si="308"/>
        <v>2</v>
      </c>
      <c r="MO94" s="43">
        <f t="shared" si="309"/>
        <v>2023</v>
      </c>
      <c r="MP94" s="43" t="str">
        <f t="shared" si="310"/>
        <v>I TRIMESTRE AÑO</v>
      </c>
      <c r="MQ94" s="43">
        <f t="shared" si="311"/>
        <v>34.280551905387647</v>
      </c>
      <c r="MR94" s="43">
        <f t="shared" si="312"/>
        <v>0</v>
      </c>
      <c r="MS94" s="43" t="str">
        <f t="shared" si="313"/>
        <v xml:space="preserve"> DE 30 A 34 AÑOS</v>
      </c>
      <c r="MT94" s="43">
        <f t="shared" si="314"/>
        <v>0</v>
      </c>
      <c r="MU94" s="43">
        <f t="shared" si="315"/>
        <v>0</v>
      </c>
      <c r="MV94" s="43">
        <f t="shared" si="316"/>
        <v>0</v>
      </c>
      <c r="MW94" s="43">
        <f t="shared" si="317"/>
        <v>0</v>
      </c>
      <c r="MX94" s="43" t="str">
        <f t="shared" si="318"/>
        <v/>
      </c>
      <c r="MY94" s="43" t="str">
        <f t="shared" ca="1" si="451"/>
        <v/>
      </c>
      <c r="MZ94" s="43" t="str">
        <f t="shared" si="319"/>
        <v/>
      </c>
      <c r="NA94" s="43" t="str">
        <f t="shared" si="320"/>
        <v/>
      </c>
      <c r="NB94" s="43" t="str">
        <f t="shared" si="321"/>
        <v/>
      </c>
      <c r="NC94" s="43" t="str">
        <f t="shared" si="322"/>
        <v/>
      </c>
      <c r="ND94" s="43">
        <f t="shared" ca="1" si="323"/>
        <v>0</v>
      </c>
      <c r="NE94" s="43">
        <f>IF(OR(O94&gt;0,R94&gt;0),SUM(COUNTIF(Tabla1[[#This Row],[AÑOS AL INICIO5 CPN]],"&gt;=40"),COUNTIF(AS94,"0"),COUNTIF(AR94,"SI"),COUNTIF(CC94,"SI"),COUNTIF(BQ94,"&gt;119"),COUNTIF(CI94,"&gt;=35")),"")</f>
        <v>1</v>
      </c>
      <c r="NF94" s="43" t="str">
        <f t="shared" si="324"/>
        <v/>
      </c>
      <c r="NG94" s="43">
        <f t="shared" si="325"/>
        <v>0</v>
      </c>
      <c r="NH94" s="43">
        <f t="shared" si="326"/>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7"/>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8"/>
        <v>II TRIM</v>
      </c>
      <c r="NQ94" s="21" t="str">
        <f t="shared" si="437"/>
        <v/>
      </c>
      <c r="NR94" s="21" t="str">
        <f t="shared" ca="1" si="452"/>
        <v>REVISAR FUM O FECHA SALIDA PROGRAMA</v>
      </c>
      <c r="NS94" s="205">
        <f t="shared" ca="1" si="329"/>
        <v>1</v>
      </c>
      <c r="NT94" s="21">
        <f t="shared" ca="1" si="330"/>
        <v>1</v>
      </c>
      <c r="NU94" s="21" t="str">
        <f t="shared" ca="1" si="331"/>
        <v>POR DEFINIR</v>
      </c>
      <c r="NV94" s="21" t="str">
        <f t="shared" ca="1" si="332"/>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3"/>
        <v>SIN VACUNAR</v>
      </c>
      <c r="NY94" s="43">
        <f>ROW(Tabla1[[#This Row],['# DE TAMIZAJES SIFILIS TOMADOS ]])</f>
        <v>94</v>
      </c>
      <c r="NZ94" s="43">
        <f t="shared" si="334"/>
        <v>13</v>
      </c>
      <c r="OA94" s="43" t="str">
        <f t="shared" si="335"/>
        <v/>
      </c>
      <c r="OB94" s="43" t="str">
        <f t="shared" si="336"/>
        <v/>
      </c>
      <c r="OC94" s="43" t="str">
        <f t="shared" si="337"/>
        <v/>
      </c>
      <c r="OD94" s="43" t="str">
        <f t="shared" si="338"/>
        <v/>
      </c>
      <c r="OE94" s="43" t="str">
        <f t="shared" si="339"/>
        <v>NORMAL</v>
      </c>
      <c r="OF94" s="43" t="str">
        <f t="shared" si="340"/>
        <v/>
      </c>
      <c r="OG94" s="43" t="str">
        <f t="shared" si="341"/>
        <v/>
      </c>
      <c r="OH94" s="43" t="str">
        <f t="shared" si="342"/>
        <v/>
      </c>
      <c r="OI94" s="43" t="str">
        <f t="shared" si="343"/>
        <v/>
      </c>
      <c r="OJ94" s="43" t="str">
        <f t="shared" si="344"/>
        <v/>
      </c>
      <c r="OK94" s="43" t="str">
        <f t="shared" si="345"/>
        <v/>
      </c>
      <c r="OL94" s="43" t="str">
        <f t="shared" si="346"/>
        <v/>
      </c>
      <c r="OM94" s="43" t="str">
        <f t="shared" si="347"/>
        <v/>
      </c>
      <c r="ON94" s="43" t="str">
        <f t="shared" si="348"/>
        <v/>
      </c>
      <c r="OO94" s="43" t="str">
        <f t="shared" si="349"/>
        <v/>
      </c>
      <c r="OP94" s="43" t="str">
        <f t="shared" si="350"/>
        <v/>
      </c>
      <c r="OQ94" s="43" t="str">
        <f t="shared" si="351"/>
        <v/>
      </c>
      <c r="OR94" s="43" t="str">
        <f t="shared" si="352"/>
        <v/>
      </c>
      <c r="OS94" s="43" t="str">
        <f t="shared" si="353"/>
        <v/>
      </c>
      <c r="OT94" s="43" t="str">
        <f t="shared" si="354"/>
        <v/>
      </c>
      <c r="OU94" s="43" t="str">
        <f t="shared" si="355"/>
        <v/>
      </c>
      <c r="OV94" s="110" t="str">
        <f t="shared" si="356"/>
        <v/>
      </c>
      <c r="OW94" s="43" t="str">
        <f t="shared" si="357"/>
        <v/>
      </c>
      <c r="OX94" s="43" t="str">
        <f t="shared" si="358"/>
        <v/>
      </c>
      <c r="OY94" s="43" t="str">
        <f t="shared" si="359"/>
        <v/>
      </c>
      <c r="OZ94" s="43" t="str">
        <f t="shared" si="360"/>
        <v/>
      </c>
      <c r="PA94" s="43" t="str">
        <f t="shared" si="361"/>
        <v/>
      </c>
      <c r="PB94" s="43" t="str">
        <f t="shared" si="362"/>
        <v/>
      </c>
      <c r="PC94" s="43" t="str">
        <f t="shared" si="363"/>
        <v/>
      </c>
      <c r="PD94" s="43" t="str">
        <f t="shared" si="364"/>
        <v/>
      </c>
      <c r="PE94" s="43" t="str">
        <f t="shared" si="365"/>
        <v/>
      </c>
      <c r="PF94" s="43" t="str">
        <f t="shared" si="366"/>
        <v/>
      </c>
      <c r="PG94" s="43" t="str">
        <f t="shared" si="367"/>
        <v/>
      </c>
      <c r="PH94" s="43" t="str">
        <f t="shared" si="368"/>
        <v/>
      </c>
      <c r="PI94" s="43">
        <f t="shared" si="369"/>
        <v>35</v>
      </c>
      <c r="PJ94" s="43" t="str">
        <f t="shared" si="370"/>
        <v/>
      </c>
      <c r="PK94" s="43" t="str">
        <f t="shared" si="371"/>
        <v/>
      </c>
      <c r="PL94" s="43" t="str">
        <f t="shared" si="372"/>
        <v/>
      </c>
      <c r="PM94" s="43" t="str">
        <f t="shared" si="373"/>
        <v/>
      </c>
      <c r="PN94" s="43" t="str">
        <f t="shared" si="374"/>
        <v/>
      </c>
      <c r="PO94" s="43" t="str">
        <f t="shared" si="375"/>
        <v/>
      </c>
      <c r="PP94" s="43" t="str">
        <f t="shared" si="376"/>
        <v/>
      </c>
      <c r="PQ94" s="43" t="str">
        <f t="shared" si="377"/>
        <v/>
      </c>
      <c r="PR94" s="43" t="str">
        <f t="shared" si="378"/>
        <v/>
      </c>
      <c r="PS94" s="43" t="str">
        <f t="shared" si="379"/>
        <v/>
      </c>
      <c r="PT94" s="43" t="str">
        <f t="shared" si="380"/>
        <v/>
      </c>
      <c r="PU94" s="43" t="str">
        <f t="shared" si="381"/>
        <v/>
      </c>
      <c r="PV94" s="43" t="str">
        <f t="shared" si="382"/>
        <v/>
      </c>
      <c r="PW94" s="43" t="str">
        <f t="shared" si="383"/>
        <v/>
      </c>
      <c r="PX94" s="43" t="str">
        <f t="shared" si="384"/>
        <v/>
      </c>
      <c r="PY94" s="43" t="str">
        <f t="shared" si="385"/>
        <v/>
      </c>
      <c r="PZ94" s="43" t="str">
        <f t="shared" si="386"/>
        <v/>
      </c>
      <c r="QA94" s="43" t="str">
        <f t="shared" si="387"/>
        <v/>
      </c>
      <c r="QB94" s="43" t="str">
        <f t="shared" si="388"/>
        <v/>
      </c>
      <c r="QC94" s="43" t="str">
        <f t="shared" si="389"/>
        <v/>
      </c>
      <c r="QD94" s="43" t="str">
        <f t="shared" si="390"/>
        <v/>
      </c>
      <c r="QE94" s="43" t="str">
        <f t="shared" si="391"/>
        <v/>
      </c>
      <c r="QF94" s="43" t="str">
        <f t="shared" si="392"/>
        <v/>
      </c>
      <c r="QG94" s="43" t="str">
        <f t="shared" si="393"/>
        <v/>
      </c>
      <c r="QH94" s="43" t="str">
        <f t="shared" si="394"/>
        <v/>
      </c>
      <c r="QI94" s="43" t="str">
        <f t="shared" si="395"/>
        <v/>
      </c>
      <c r="QJ94" s="43" t="str">
        <f t="shared" si="396"/>
        <v>SOBREPESO</v>
      </c>
      <c r="QK94" s="43" t="str">
        <f t="shared" si="397"/>
        <v/>
      </c>
      <c r="QL94" s="43" t="str">
        <f t="shared" si="398"/>
        <v/>
      </c>
      <c r="QM94" s="43" t="str">
        <f t="shared" si="399"/>
        <v/>
      </c>
      <c r="QN94" s="43" t="str">
        <f t="shared" si="400"/>
        <v/>
      </c>
      <c r="QO94" s="43" t="str">
        <f t="shared" si="401"/>
        <v/>
      </c>
      <c r="QP94" s="43" t="str">
        <f t="shared" si="402"/>
        <v/>
      </c>
      <c r="QQ94" s="43" t="str">
        <f t="shared" si="403"/>
        <v/>
      </c>
      <c r="QR94" s="43">
        <f t="shared" si="433"/>
        <v>35</v>
      </c>
      <c r="QS94" s="43"/>
      <c r="QT94" s="21" t="str">
        <f t="shared" si="404"/>
        <v/>
      </c>
      <c r="QU94" s="21" t="str">
        <f t="shared" si="405"/>
        <v/>
      </c>
      <c r="QV94" s="21" t="str">
        <f t="shared" si="406"/>
        <v/>
      </c>
      <c r="QW94" s="21" t="str">
        <f t="shared" si="407"/>
        <v/>
      </c>
      <c r="QX94" s="21" t="str">
        <f t="shared" si="408"/>
        <v/>
      </c>
      <c r="QY94" s="21" t="str">
        <f t="shared" si="409"/>
        <v/>
      </c>
      <c r="QZ94" s="21" t="str">
        <f t="shared" si="410"/>
        <v/>
      </c>
      <c r="RA94" s="21" t="str">
        <f t="shared" si="411"/>
        <v/>
      </c>
      <c r="RB94" s="21" t="str">
        <f t="shared" si="412"/>
        <v/>
      </c>
      <c r="RC94" s="21" t="str">
        <f t="shared" si="413"/>
        <v/>
      </c>
      <c r="RD94" s="21" t="str">
        <f t="shared" si="414"/>
        <v/>
      </c>
      <c r="RE94" s="21" t="str">
        <f t="shared" si="415"/>
        <v/>
      </c>
      <c r="RF94" s="21" t="str">
        <f t="shared" si="416"/>
        <v/>
      </c>
      <c r="RG94" s="21" t="str">
        <f t="shared" si="417"/>
        <v/>
      </c>
      <c r="RH94" s="21" t="str">
        <f t="shared" si="418"/>
        <v/>
      </c>
      <c r="RI94" s="21" t="str">
        <f t="shared" si="419"/>
        <v/>
      </c>
      <c r="RJ94" s="21" t="str">
        <f t="shared" si="420"/>
        <v/>
      </c>
      <c r="RK94" s="21" t="str">
        <f t="shared" si="421"/>
        <v/>
      </c>
      <c r="RL94" s="21" t="str">
        <f t="shared" si="422"/>
        <v/>
      </c>
      <c r="RM94" s="21" t="str">
        <f t="shared" si="423"/>
        <v/>
      </c>
      <c r="RN94" s="21" t="str">
        <f t="shared" si="424"/>
        <v/>
      </c>
      <c r="RO94" s="21" t="str">
        <f t="shared" si="425"/>
        <v/>
      </c>
      <c r="RP94" s="21" t="str">
        <f t="shared" si="426"/>
        <v>ADECUADO PARA EDAD GESTACIONAL</v>
      </c>
      <c r="RQ94" s="21" t="str">
        <f t="shared" si="427"/>
        <v/>
      </c>
      <c r="RR94" s="21" t="str">
        <f t="shared" si="428"/>
        <v/>
      </c>
      <c r="RS94" s="21" t="str">
        <f t="shared" si="429"/>
        <v/>
      </c>
      <c r="RT94" s="21" t="str">
        <f t="shared" si="430"/>
        <v/>
      </c>
      <c r="RU94" s="21" t="str">
        <f t="shared" si="431"/>
        <v/>
      </c>
      <c r="RV94" s="21">
        <f t="shared" si="432"/>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4"/>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28.139726027397259</v>
      </c>
      <c r="O95" s="22">
        <v>44958</v>
      </c>
      <c r="P95" s="214" t="str">
        <f t="shared" si="438"/>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9"/>
        <v>CONCERTAR PLAN DE PARTO INMEDIATO</v>
      </c>
      <c r="DV95" s="226" t="str">
        <f t="shared" si="440"/>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1"/>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2"/>
        <v>25.428571428571427</v>
      </c>
      <c r="FP95" s="22" t="s">
        <v>867</v>
      </c>
      <c r="FQ95" s="32">
        <v>45121</v>
      </c>
      <c r="FR95" s="29">
        <f t="shared" ca="1" si="443"/>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3"/>
        <v>PIERDE TOMA DE TAMIZAJE</v>
      </c>
      <c r="GB95" s="22" t="s">
        <v>868</v>
      </c>
      <c r="GC95" s="22">
        <v>45059</v>
      </c>
      <c r="GD95" s="29">
        <f t="shared" ca="1" si="444"/>
        <v>25.428571428571427</v>
      </c>
      <c r="GE95" s="22" t="s">
        <v>868</v>
      </c>
      <c r="GF95" s="22">
        <v>45121</v>
      </c>
      <c r="GG95" s="29">
        <f t="shared" ca="1" si="445"/>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t="str">
        <f t="shared" ca="1" si="289"/>
        <v>*********************MULTIPARIDAD******************</v>
      </c>
      <c r="HK95" s="21" t="str">
        <f t="shared" si="290"/>
        <v>SIN ANTECEDENTES DE RIESGO</v>
      </c>
      <c r="HL95" s="24" t="str">
        <f t="shared" si="291"/>
        <v>APARENTEMENTE NORMAL</v>
      </c>
      <c r="HM95" s="21" t="e">
        <f t="shared" ca="1" si="292"/>
        <v>#REF!</v>
      </c>
      <c r="HN95" s="30" t="str">
        <f t="shared" si="446"/>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3"/>
        <v>11</v>
      </c>
      <c r="IA95" s="26"/>
      <c r="IB95" s="26"/>
      <c r="IC95" s="22">
        <v>45121</v>
      </c>
      <c r="ID95" s="22">
        <v>45121</v>
      </c>
      <c r="IE95" s="22" t="str">
        <f t="shared" ca="1" si="294"/>
        <v>VACUNA APLICADA ENTRE SEMANA 27 Y EL PARTO</v>
      </c>
      <c r="IF95" s="22"/>
      <c r="IG95" s="22">
        <f t="shared" si="295"/>
        <v>45161</v>
      </c>
      <c r="IH95" s="29">
        <f t="shared" ca="1" si="296"/>
        <v>-71</v>
      </c>
      <c r="II95" s="22" t="str">
        <f t="shared" ca="1" si="297"/>
        <v>POSIBLEMENTE NACIO</v>
      </c>
      <c r="IJ95" s="22"/>
      <c r="IK95" s="21"/>
      <c r="IL95" s="21"/>
      <c r="IM95" s="34"/>
      <c r="IN95" s="349"/>
      <c r="IO95" s="21"/>
      <c r="IP95" s="29" t="str">
        <f t="shared" si="436"/>
        <v/>
      </c>
      <c r="IQ95" s="110"/>
      <c r="IR95" s="21"/>
      <c r="IS95" s="21"/>
      <c r="IT95" s="21"/>
      <c r="IU95" s="21"/>
      <c r="IV95" s="21"/>
      <c r="IW95" s="21"/>
      <c r="IX95" s="21"/>
      <c r="IY95" s="21"/>
      <c r="IZ95" s="21"/>
      <c r="JA95" s="21"/>
      <c r="JB95" s="30"/>
      <c r="JC95" s="21"/>
      <c r="JD95" s="36"/>
      <c r="JE95" s="21" t="str">
        <f t="shared" si="447"/>
        <v/>
      </c>
      <c r="JF95" s="30"/>
      <c r="JG95" s="21"/>
      <c r="JH95" s="21"/>
      <c r="JI95" s="21"/>
      <c r="JJ95" s="30"/>
      <c r="JK95" s="22"/>
      <c r="JL95" s="22"/>
      <c r="JM95" s="21"/>
      <c r="JN95" s="36"/>
      <c r="JO95" s="21" t="str">
        <f t="shared" si="448"/>
        <v/>
      </c>
      <c r="JP95" s="22"/>
      <c r="JQ95" s="21"/>
      <c r="JR95" s="21"/>
      <c r="JS95" s="21"/>
      <c r="JT95" s="30"/>
      <c r="JU95" s="22"/>
      <c r="JV95" s="22"/>
      <c r="JW95" s="33"/>
      <c r="JX95" s="28" t="str">
        <f t="shared" si="449"/>
        <v/>
      </c>
      <c r="JY95" s="33"/>
      <c r="JZ95" s="28" t="str">
        <f t="shared" si="450"/>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3"/>
        <v>0</v>
      </c>
      <c r="MI95" s="43" t="str">
        <f t="shared" si="304"/>
        <v/>
      </c>
      <c r="MJ95" s="43" t="str">
        <f t="shared" si="305"/>
        <v/>
      </c>
      <c r="MK95" s="43">
        <f t="shared" si="306"/>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7"/>
        <v>11</v>
      </c>
      <c r="MN95" s="43">
        <f t="shared" si="308"/>
        <v>2</v>
      </c>
      <c r="MO95" s="43">
        <f t="shared" si="309"/>
        <v>2023</v>
      </c>
      <c r="MP95" s="43" t="str">
        <f t="shared" si="310"/>
        <v>I TRIMESTRE AÑO</v>
      </c>
      <c r="MQ95" s="43">
        <f t="shared" si="311"/>
        <v>26.971090670170828</v>
      </c>
      <c r="MR95" s="43">
        <f t="shared" si="312"/>
        <v>0</v>
      </c>
      <c r="MS95" s="43" t="str">
        <f t="shared" si="313"/>
        <v xml:space="preserve"> DE 25 A 29 AÑOS</v>
      </c>
      <c r="MT95" s="43">
        <f t="shared" si="314"/>
        <v>0</v>
      </c>
      <c r="MU95" s="43">
        <f t="shared" si="315"/>
        <v>2</v>
      </c>
      <c r="MV95" s="43">
        <f t="shared" si="316"/>
        <v>0</v>
      </c>
      <c r="MW95" s="43">
        <f t="shared" si="317"/>
        <v>0</v>
      </c>
      <c r="MX95" s="43" t="str">
        <f t="shared" si="318"/>
        <v/>
      </c>
      <c r="MY95" s="43" t="str">
        <f t="shared" ca="1" si="451"/>
        <v/>
      </c>
      <c r="MZ95" s="43" t="str">
        <f t="shared" si="319"/>
        <v/>
      </c>
      <c r="NA95" s="43" t="str">
        <f t="shared" si="320"/>
        <v/>
      </c>
      <c r="NB95" s="43" t="str">
        <f t="shared" si="321"/>
        <v/>
      </c>
      <c r="NC95" s="43" t="str">
        <f t="shared" si="322"/>
        <v/>
      </c>
      <c r="ND95" s="43">
        <f t="shared" ca="1" si="323"/>
        <v>2</v>
      </c>
      <c r="NE95" s="43">
        <f>IF(OR(O95&gt;0,R95&gt;0),SUM(COUNTIF(Tabla1[[#This Row],[AÑOS AL INICIO5 CPN]],"&gt;=40"),COUNTIF(AS95,"0"),COUNTIF(AR95,"SI"),COUNTIF(CC95,"SI"),COUNTIF(BQ95,"&gt;119"),COUNTIF(CI95,"&gt;=35")),"")</f>
        <v>0</v>
      </c>
      <c r="NF95" s="43">
        <f t="shared" si="324"/>
        <v>34.285714285714285</v>
      </c>
      <c r="NG95" s="43">
        <f t="shared" si="325"/>
        <v>0</v>
      </c>
      <c r="NH95" s="43">
        <f t="shared" si="326"/>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7"/>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8"/>
        <v>DEFINIR CON ECO</v>
      </c>
      <c r="NQ95" s="21">
        <f t="shared" si="437"/>
        <v>9</v>
      </c>
      <c r="NR95" s="21" t="str">
        <f t="shared" ca="1" si="452"/>
        <v>REVISAR FUM O FECHA SALIDA PROGRAMA</v>
      </c>
      <c r="NS95" s="205">
        <f t="shared" ca="1" si="329"/>
        <v>2</v>
      </c>
      <c r="NT95" s="21">
        <f t="shared" ca="1" si="330"/>
        <v>2</v>
      </c>
      <c r="NU95" s="21" t="str">
        <f t="shared" ca="1" si="331"/>
        <v>POR DEFINIR</v>
      </c>
      <c r="NV95" s="21" t="str">
        <f t="shared" ca="1" si="332"/>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3"/>
        <v>VACUNADA</v>
      </c>
      <c r="NY95" s="43">
        <f>ROW(Tabla1[[#This Row],['# DE TAMIZAJES SIFILIS TOMADOS ]])</f>
        <v>95</v>
      </c>
      <c r="NZ95" s="43">
        <f t="shared" si="334"/>
        <v>11</v>
      </c>
      <c r="OA95" s="43" t="str">
        <f t="shared" si="335"/>
        <v/>
      </c>
      <c r="OB95" s="43" t="str">
        <f t="shared" si="336"/>
        <v/>
      </c>
      <c r="OC95" s="43" t="str">
        <f t="shared" si="337"/>
        <v>SOBREPESO</v>
      </c>
      <c r="OD95" s="43" t="str">
        <f t="shared" si="338"/>
        <v/>
      </c>
      <c r="OE95" s="43" t="str">
        <f t="shared" si="339"/>
        <v/>
      </c>
      <c r="OF95" s="43" t="str">
        <f t="shared" si="340"/>
        <v/>
      </c>
      <c r="OG95" s="43" t="str">
        <f t="shared" si="341"/>
        <v/>
      </c>
      <c r="OH95" s="43" t="str">
        <f t="shared" si="342"/>
        <v/>
      </c>
      <c r="OI95" s="43" t="str">
        <f t="shared" si="343"/>
        <v/>
      </c>
      <c r="OJ95" s="43" t="str">
        <f t="shared" si="344"/>
        <v/>
      </c>
      <c r="OK95" s="43" t="str">
        <f t="shared" si="345"/>
        <v/>
      </c>
      <c r="OL95" s="43" t="str">
        <f t="shared" si="346"/>
        <v/>
      </c>
      <c r="OM95" s="43" t="str">
        <f t="shared" si="347"/>
        <v/>
      </c>
      <c r="ON95" s="43" t="str">
        <f t="shared" si="348"/>
        <v/>
      </c>
      <c r="OO95" s="43" t="str">
        <f t="shared" si="349"/>
        <v/>
      </c>
      <c r="OP95" s="43" t="str">
        <f t="shared" si="350"/>
        <v/>
      </c>
      <c r="OQ95" s="43" t="str">
        <f t="shared" si="351"/>
        <v/>
      </c>
      <c r="OR95" s="43" t="str">
        <f t="shared" si="352"/>
        <v/>
      </c>
      <c r="OS95" s="43" t="str">
        <f t="shared" si="353"/>
        <v/>
      </c>
      <c r="OT95" s="43" t="str">
        <f t="shared" si="354"/>
        <v/>
      </c>
      <c r="OU95" s="43" t="str">
        <f t="shared" si="355"/>
        <v/>
      </c>
      <c r="OV95" s="110" t="str">
        <f t="shared" si="356"/>
        <v/>
      </c>
      <c r="OW95" s="43" t="str">
        <f t="shared" si="357"/>
        <v/>
      </c>
      <c r="OX95" s="43" t="str">
        <f t="shared" si="358"/>
        <v/>
      </c>
      <c r="OY95" s="43" t="str">
        <f t="shared" si="359"/>
        <v/>
      </c>
      <c r="OZ95" s="43" t="str">
        <f t="shared" si="360"/>
        <v/>
      </c>
      <c r="PA95" s="43" t="str">
        <f t="shared" si="361"/>
        <v/>
      </c>
      <c r="PB95" s="43" t="str">
        <f t="shared" si="362"/>
        <v/>
      </c>
      <c r="PC95" s="43" t="str">
        <f t="shared" si="363"/>
        <v/>
      </c>
      <c r="PD95" s="43" t="str">
        <f t="shared" si="364"/>
        <v/>
      </c>
      <c r="PE95" s="43" t="str">
        <f t="shared" si="365"/>
        <v/>
      </c>
      <c r="PF95" s="43" t="str">
        <f t="shared" si="366"/>
        <v/>
      </c>
      <c r="PG95" s="43" t="str">
        <f t="shared" si="367"/>
        <v/>
      </c>
      <c r="PH95" s="43" t="str">
        <f t="shared" si="368"/>
        <v/>
      </c>
      <c r="PI95" s="43">
        <f t="shared" si="369"/>
        <v>33</v>
      </c>
      <c r="PJ95" s="43" t="str">
        <f t="shared" si="370"/>
        <v/>
      </c>
      <c r="PK95" s="43" t="str">
        <f t="shared" si="371"/>
        <v/>
      </c>
      <c r="PL95" s="43" t="str">
        <f t="shared" si="372"/>
        <v/>
      </c>
      <c r="PM95" s="43" t="str">
        <f t="shared" si="373"/>
        <v/>
      </c>
      <c r="PN95" s="43" t="str">
        <f t="shared" si="374"/>
        <v/>
      </c>
      <c r="PO95" s="43" t="str">
        <f t="shared" si="375"/>
        <v/>
      </c>
      <c r="PP95" s="43" t="str">
        <f t="shared" si="376"/>
        <v/>
      </c>
      <c r="PQ95" s="43" t="str">
        <f t="shared" si="377"/>
        <v/>
      </c>
      <c r="PR95" s="43" t="str">
        <f t="shared" si="378"/>
        <v/>
      </c>
      <c r="PS95" s="43" t="str">
        <f t="shared" si="379"/>
        <v/>
      </c>
      <c r="PT95" s="43" t="str">
        <f t="shared" si="380"/>
        <v/>
      </c>
      <c r="PU95" s="43" t="str">
        <f t="shared" si="381"/>
        <v/>
      </c>
      <c r="PV95" s="43" t="str">
        <f t="shared" si="382"/>
        <v/>
      </c>
      <c r="PW95" s="43" t="str">
        <f t="shared" si="383"/>
        <v/>
      </c>
      <c r="PX95" s="43" t="str">
        <f t="shared" si="384"/>
        <v/>
      </c>
      <c r="PY95" s="43" t="str">
        <f t="shared" si="385"/>
        <v/>
      </c>
      <c r="PZ95" s="43" t="str">
        <f t="shared" si="386"/>
        <v/>
      </c>
      <c r="QA95" s="43" t="str">
        <f t="shared" si="387"/>
        <v/>
      </c>
      <c r="QB95" s="43" t="str">
        <f t="shared" si="388"/>
        <v/>
      </c>
      <c r="QC95" s="43" t="str">
        <f t="shared" si="389"/>
        <v/>
      </c>
      <c r="QD95" s="43" t="str">
        <f t="shared" si="390"/>
        <v/>
      </c>
      <c r="QE95" s="43" t="str">
        <f t="shared" si="391"/>
        <v/>
      </c>
      <c r="QF95" s="43" t="str">
        <f t="shared" si="392"/>
        <v/>
      </c>
      <c r="QG95" s="43" t="str">
        <f t="shared" si="393"/>
        <v/>
      </c>
      <c r="QH95" s="43" t="str">
        <f t="shared" si="394"/>
        <v>SOBREPESO</v>
      </c>
      <c r="QI95" s="43" t="str">
        <f t="shared" si="395"/>
        <v/>
      </c>
      <c r="QJ95" s="43" t="str">
        <f t="shared" si="396"/>
        <v/>
      </c>
      <c r="QK95" s="43" t="str">
        <f t="shared" si="397"/>
        <v/>
      </c>
      <c r="QL95" s="43" t="str">
        <f t="shared" si="398"/>
        <v/>
      </c>
      <c r="QM95" s="43" t="str">
        <f t="shared" si="399"/>
        <v/>
      </c>
      <c r="QN95" s="43" t="str">
        <f t="shared" si="400"/>
        <v/>
      </c>
      <c r="QO95" s="43" t="str">
        <f t="shared" si="401"/>
        <v/>
      </c>
      <c r="QP95" s="43" t="str">
        <f t="shared" si="402"/>
        <v/>
      </c>
      <c r="QQ95" s="43" t="str">
        <f t="shared" si="403"/>
        <v/>
      </c>
      <c r="QR95" s="43">
        <f t="shared" si="433"/>
        <v>33</v>
      </c>
      <c r="QS95" s="43"/>
      <c r="QT95" s="21" t="str">
        <f t="shared" si="404"/>
        <v/>
      </c>
      <c r="QU95" s="21" t="str">
        <f t="shared" si="405"/>
        <v/>
      </c>
      <c r="QV95" s="21" t="str">
        <f t="shared" si="406"/>
        <v/>
      </c>
      <c r="QW95" s="21" t="str">
        <f t="shared" si="407"/>
        <v/>
      </c>
      <c r="QX95" s="21" t="str">
        <f t="shared" si="408"/>
        <v/>
      </c>
      <c r="QY95" s="21" t="str">
        <f t="shared" si="409"/>
        <v/>
      </c>
      <c r="QZ95" s="21" t="str">
        <f t="shared" si="410"/>
        <v/>
      </c>
      <c r="RA95" s="21" t="str">
        <f t="shared" si="411"/>
        <v/>
      </c>
      <c r="RB95" s="21" t="str">
        <f t="shared" si="412"/>
        <v/>
      </c>
      <c r="RC95" s="21" t="str">
        <f t="shared" si="413"/>
        <v/>
      </c>
      <c r="RD95" s="21" t="str">
        <f t="shared" si="414"/>
        <v/>
      </c>
      <c r="RE95" s="21" t="str">
        <f t="shared" si="415"/>
        <v/>
      </c>
      <c r="RF95" s="21" t="str">
        <f t="shared" si="416"/>
        <v/>
      </c>
      <c r="RG95" s="21" t="str">
        <f t="shared" si="417"/>
        <v/>
      </c>
      <c r="RH95" s="21" t="str">
        <f t="shared" si="418"/>
        <v/>
      </c>
      <c r="RI95" s="21" t="str">
        <f t="shared" si="419"/>
        <v/>
      </c>
      <c r="RJ95" s="21" t="str">
        <f t="shared" si="420"/>
        <v/>
      </c>
      <c r="RK95" s="21" t="str">
        <f t="shared" si="421"/>
        <v/>
      </c>
      <c r="RL95" s="21" t="str">
        <f t="shared" si="422"/>
        <v/>
      </c>
      <c r="RM95" s="21" t="str">
        <f t="shared" si="423"/>
        <v/>
      </c>
      <c r="RN95" s="21" t="str">
        <f t="shared" si="424"/>
        <v>ALTO PARA EDAD GESTACIONAL</v>
      </c>
      <c r="RO95" s="21" t="str">
        <f t="shared" si="425"/>
        <v/>
      </c>
      <c r="RP95" s="21" t="str">
        <f t="shared" si="426"/>
        <v/>
      </c>
      <c r="RQ95" s="21" t="str">
        <f t="shared" si="427"/>
        <v/>
      </c>
      <c r="RR95" s="21" t="str">
        <f t="shared" si="428"/>
        <v/>
      </c>
      <c r="RS95" s="21" t="str">
        <f t="shared" si="429"/>
        <v/>
      </c>
      <c r="RT95" s="21" t="str">
        <f t="shared" si="430"/>
        <v/>
      </c>
      <c r="RU95" s="21" t="str">
        <f t="shared" si="431"/>
        <v/>
      </c>
      <c r="RV95" s="21">
        <f t="shared" si="432"/>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4"/>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16.715068493150685</v>
      </c>
      <c r="O96" s="22">
        <v>44957</v>
      </c>
      <c r="P96" s="214" t="str">
        <f t="shared" si="438"/>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9"/>
        <v>CONCERTAR PLAN DE PARTO INMEDIATO</v>
      </c>
      <c r="DV96" s="226" t="str">
        <f t="shared" si="440"/>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4">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1"/>
        <v>TOMA DE HEMOGLOBINA TARDÍA</v>
      </c>
      <c r="EU96" s="25" t="str">
        <f t="shared" si="275"/>
        <v/>
      </c>
      <c r="EV96" s="24" t="s">
        <v>866</v>
      </c>
      <c r="EW96" s="24">
        <v>44960</v>
      </c>
      <c r="EX96" s="22"/>
      <c r="EY96" s="29">
        <f t="shared" ref="EY96:EY159" si="454">IF(AND(BT96="ERROR FUM O INGRESO",EW96&gt;0),"ERROR FUM O INGRESO",IF(AND(EW96="",R96="",O96=""),"",IF(OR(AND(EW96&lt;&gt;"",EW96&lt;RW96),AND(EW96&lt;&gt;"",SUM((EW96-RW96)/7)&gt;40)),"CORREGIR FECHA RESULTADO",IF(AND(EW96="",OR(O96&gt;0,R96&gt;0)),"TOMAR EXAMEN",IF(EW96&gt;0,SUM(EW96-RW96)/7,"")))))</f>
        <v>14.442857142856935</v>
      </c>
      <c r="EZ96" s="25" t="str">
        <f t="shared" ref="EZ96:EZ159" ca="1" si="455">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2"/>
        <v>PIERDE TOMA DE TAMIZAJE</v>
      </c>
      <c r="FP96" s="22"/>
      <c r="FQ96" s="32"/>
      <c r="FR96" s="29" t="str">
        <f t="shared" ca="1" si="443"/>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3"/>
        <v>REGISTRAR EN II TRIMESTRE</v>
      </c>
      <c r="GB96" s="22"/>
      <c r="GC96" s="22"/>
      <c r="GD96" s="29" t="str">
        <f t="shared" ca="1" si="444"/>
        <v>PIERDE TOMA DE TAMIZAJE</v>
      </c>
      <c r="GE96" s="22"/>
      <c r="GF96" s="22"/>
      <c r="GG96" s="29" t="str">
        <f t="shared" ca="1" si="445"/>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t="str">
        <f t="shared" ca="1" si="289"/>
        <v>**********************MULTIPARIDAD**RIESGO POR EDAD***************</v>
      </c>
      <c r="HK96" s="21" t="str">
        <f t="shared" si="290"/>
        <v>SIN ANTECEDENTES DE RIESGO</v>
      </c>
      <c r="HL96" s="24" t="str">
        <f t="shared" si="291"/>
        <v>APARENTEMENTE NORMAL</v>
      </c>
      <c r="HM96" s="21" t="e">
        <f t="shared" ca="1" si="292"/>
        <v>#REF!</v>
      </c>
      <c r="HN96" s="30" t="str">
        <f t="shared" si="446"/>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3"/>
        <v>13.299999999999793</v>
      </c>
      <c r="IA96" s="26"/>
      <c r="IB96" s="26"/>
      <c r="IC96" s="111"/>
      <c r="ID96" s="22"/>
      <c r="IE96" s="22" t="str">
        <f t="shared" ca="1" si="294"/>
        <v/>
      </c>
      <c r="IF96" s="22"/>
      <c r="IG96" s="22">
        <f t="shared" si="295"/>
        <v>45138.9</v>
      </c>
      <c r="IH96" s="29">
        <f t="shared" ca="1" si="296"/>
        <v>-93.099999999998545</v>
      </c>
      <c r="II96" s="22" t="str">
        <f t="shared" ca="1" si="297"/>
        <v>POSIBLEMENTE NACIO</v>
      </c>
      <c r="IJ96" s="22"/>
      <c r="IK96" s="21"/>
      <c r="IL96" s="21"/>
      <c r="IM96" s="34"/>
      <c r="IN96" s="349"/>
      <c r="IO96" s="21"/>
      <c r="IP96" s="29" t="str">
        <f t="shared" si="436"/>
        <v/>
      </c>
      <c r="IQ96" s="110"/>
      <c r="IR96" s="21"/>
      <c r="IS96" s="21"/>
      <c r="IT96" s="21"/>
      <c r="IU96" s="21"/>
      <c r="IV96" s="21"/>
      <c r="IW96" s="21"/>
      <c r="IX96" s="21"/>
      <c r="IY96" s="21"/>
      <c r="IZ96" s="21"/>
      <c r="JA96" s="21"/>
      <c r="JB96" s="30"/>
      <c r="JC96" s="21"/>
      <c r="JD96" s="36"/>
      <c r="JE96" s="21" t="str">
        <f t="shared" si="447"/>
        <v/>
      </c>
      <c r="JF96" s="30"/>
      <c r="JG96" s="21"/>
      <c r="JH96" s="21"/>
      <c r="JI96" s="21"/>
      <c r="JJ96" s="30"/>
      <c r="JK96" s="22"/>
      <c r="JL96" s="22"/>
      <c r="JM96" s="21"/>
      <c r="JN96" s="36"/>
      <c r="JO96" s="21" t="str">
        <f t="shared" si="448"/>
        <v/>
      </c>
      <c r="JP96" s="22"/>
      <c r="JQ96" s="21"/>
      <c r="JR96" s="21"/>
      <c r="JS96" s="21"/>
      <c r="JT96" s="30"/>
      <c r="JU96" s="22"/>
      <c r="JV96" s="22"/>
      <c r="JW96" s="33"/>
      <c r="JX96" s="28" t="str">
        <f t="shared" si="449"/>
        <v/>
      </c>
      <c r="JY96" s="33"/>
      <c r="JZ96" s="28" t="str">
        <f t="shared" si="450"/>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3"/>
        <v>0</v>
      </c>
      <c r="MI96" s="43" t="str">
        <f t="shared" si="304"/>
        <v/>
      </c>
      <c r="MJ96" s="43" t="str">
        <f t="shared" si="305"/>
        <v/>
      </c>
      <c r="MK96" s="43">
        <f t="shared" si="306"/>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7"/>
        <v>14.014285714285506</v>
      </c>
      <c r="MN96" s="43">
        <f t="shared" si="308"/>
        <v>1</v>
      </c>
      <c r="MO96" s="43">
        <f t="shared" si="309"/>
        <v>2023</v>
      </c>
      <c r="MP96" s="43" t="str">
        <f t="shared" si="310"/>
        <v>I TRIMESTRE AÑO</v>
      </c>
      <c r="MQ96" s="43">
        <f t="shared" si="311"/>
        <v>15.722185720543145</v>
      </c>
      <c r="MR96" s="43">
        <f t="shared" si="312"/>
        <v>1</v>
      </c>
      <c r="MS96" s="43" t="str">
        <f t="shared" si="313"/>
        <v>DE 14 A 19AÑOS</v>
      </c>
      <c r="MT96" s="43">
        <f t="shared" si="314"/>
        <v>0</v>
      </c>
      <c r="MU96" s="43">
        <f t="shared" si="315"/>
        <v>1</v>
      </c>
      <c r="MV96" s="43">
        <f t="shared" si="316"/>
        <v>0</v>
      </c>
      <c r="MW96" s="43">
        <f t="shared" si="317"/>
        <v>0</v>
      </c>
      <c r="MX96" s="43" t="str">
        <f t="shared" si="318"/>
        <v/>
      </c>
      <c r="MY96" s="43" t="str">
        <f t="shared" ca="1" si="451"/>
        <v/>
      </c>
      <c r="MZ96" s="43" t="str">
        <f t="shared" si="319"/>
        <v/>
      </c>
      <c r="NA96" s="43" t="str">
        <f t="shared" si="320"/>
        <v/>
      </c>
      <c r="NB96" s="43" t="str">
        <f t="shared" si="321"/>
        <v/>
      </c>
      <c r="NC96" s="43" t="str">
        <f t="shared" si="322"/>
        <v/>
      </c>
      <c r="ND96" s="43">
        <f t="shared" ca="1" si="323"/>
        <v>2</v>
      </c>
      <c r="NE96" s="43">
        <f>IF(OR(O96&gt;0,R96&gt;0),SUM(COUNTIF(Tabla1[[#This Row],[AÑOS AL INICIO5 CPN]],"&gt;=40"),COUNTIF(AS96,"0"),COUNTIF(AR96,"SI"),COUNTIF(CC96,"SI"),COUNTIF(BQ96,"&gt;119"),COUNTIF(CI96,"&gt;=35")),"")</f>
        <v>0</v>
      </c>
      <c r="NF96" s="43" t="str">
        <f t="shared" si="324"/>
        <v/>
      </c>
      <c r="NG96" s="43">
        <f t="shared" si="325"/>
        <v>0</v>
      </c>
      <c r="NH96" s="43">
        <f t="shared" si="326"/>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7"/>
        <v>31</v>
      </c>
      <c r="NM96" s="43" t="str">
        <f t="shared" ref="NM96:NM127" si="456">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8"/>
        <v>II TRIM</v>
      </c>
      <c r="NQ96" s="21">
        <f t="shared" si="437"/>
        <v>1</v>
      </c>
      <c r="NR96" s="21" t="str">
        <f t="shared" ca="1" si="452"/>
        <v>REVISAR FUM O FECHA SALIDA PROGRAMA</v>
      </c>
      <c r="NS96" s="205">
        <f t="shared" ca="1" si="329"/>
        <v>0</v>
      </c>
      <c r="NT96" s="21">
        <f t="shared" ca="1" si="330"/>
        <v>0</v>
      </c>
      <c r="NU96" s="21" t="str">
        <f t="shared" ca="1" si="331"/>
        <v>POR DEFINIR</v>
      </c>
      <c r="NV96" s="21" t="str">
        <f t="shared" ca="1" si="332"/>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3"/>
        <v>SIN VACUNAR</v>
      </c>
      <c r="NY96" s="43">
        <f>ROW(Tabla1[[#This Row],['# DE TAMIZAJES SIFILIS TOMADOS ]])</f>
        <v>96</v>
      </c>
      <c r="NZ96" s="43">
        <f t="shared" si="334"/>
        <v>14</v>
      </c>
      <c r="OA96" s="43" t="str">
        <f t="shared" si="335"/>
        <v/>
      </c>
      <c r="OB96" s="43" t="str">
        <f t="shared" si="336"/>
        <v/>
      </c>
      <c r="OC96" s="43" t="str">
        <f t="shared" si="337"/>
        <v/>
      </c>
      <c r="OD96" s="43" t="str">
        <f t="shared" si="338"/>
        <v/>
      </c>
      <c r="OE96" s="43" t="str">
        <f t="shared" si="339"/>
        <v/>
      </c>
      <c r="OF96" s="43" t="str">
        <f t="shared" si="340"/>
        <v>BAJO PESO</v>
      </c>
      <c r="OG96" s="43" t="str">
        <f t="shared" si="341"/>
        <v/>
      </c>
      <c r="OH96" s="43" t="str">
        <f t="shared" si="342"/>
        <v/>
      </c>
      <c r="OI96" s="43" t="str">
        <f t="shared" si="343"/>
        <v/>
      </c>
      <c r="OJ96" s="43" t="str">
        <f t="shared" si="344"/>
        <v/>
      </c>
      <c r="OK96" s="43" t="str">
        <f t="shared" si="345"/>
        <v/>
      </c>
      <c r="OL96" s="43" t="str">
        <f t="shared" si="346"/>
        <v/>
      </c>
      <c r="OM96" s="43" t="str">
        <f t="shared" si="347"/>
        <v/>
      </c>
      <c r="ON96" s="43" t="str">
        <f t="shared" si="348"/>
        <v/>
      </c>
      <c r="OO96" s="43" t="str">
        <f t="shared" si="349"/>
        <v/>
      </c>
      <c r="OP96" s="43" t="str">
        <f t="shared" si="350"/>
        <v/>
      </c>
      <c r="OQ96" s="43" t="str">
        <f t="shared" si="351"/>
        <v/>
      </c>
      <c r="OR96" s="43" t="str">
        <f t="shared" si="352"/>
        <v/>
      </c>
      <c r="OS96" s="43" t="str">
        <f t="shared" si="353"/>
        <v/>
      </c>
      <c r="OT96" s="43" t="str">
        <f t="shared" si="354"/>
        <v/>
      </c>
      <c r="OU96" s="43" t="str">
        <f t="shared" si="355"/>
        <v/>
      </c>
      <c r="OV96" s="110" t="str">
        <f t="shared" si="356"/>
        <v/>
      </c>
      <c r="OW96" s="43" t="str">
        <f t="shared" si="357"/>
        <v/>
      </c>
      <c r="OX96" s="43" t="str">
        <f t="shared" si="358"/>
        <v/>
      </c>
      <c r="OY96" s="43" t="str">
        <f t="shared" si="359"/>
        <v/>
      </c>
      <c r="OZ96" s="43" t="str">
        <f t="shared" si="360"/>
        <v/>
      </c>
      <c r="PA96" s="43" t="str">
        <f t="shared" si="361"/>
        <v/>
      </c>
      <c r="PB96" s="43" t="str">
        <f t="shared" si="362"/>
        <v/>
      </c>
      <c r="PC96" s="43" t="str">
        <f t="shared" si="363"/>
        <v/>
      </c>
      <c r="PD96" s="43" t="str">
        <f t="shared" si="364"/>
        <v/>
      </c>
      <c r="PE96" s="43" t="str">
        <f t="shared" si="365"/>
        <v/>
      </c>
      <c r="PF96" s="43" t="str">
        <f t="shared" si="366"/>
        <v/>
      </c>
      <c r="PG96" s="43" t="str">
        <f t="shared" si="367"/>
        <v/>
      </c>
      <c r="PH96" s="43" t="str">
        <f t="shared" si="368"/>
        <v/>
      </c>
      <c r="PI96" s="43">
        <f t="shared" si="369"/>
        <v>30</v>
      </c>
      <c r="PJ96" s="43" t="str">
        <f t="shared" si="370"/>
        <v/>
      </c>
      <c r="PK96" s="43" t="str">
        <f t="shared" si="371"/>
        <v/>
      </c>
      <c r="PL96" s="43" t="str">
        <f t="shared" si="372"/>
        <v/>
      </c>
      <c r="PM96" s="43" t="str">
        <f t="shared" si="373"/>
        <v/>
      </c>
      <c r="PN96" s="43" t="str">
        <f t="shared" si="374"/>
        <v/>
      </c>
      <c r="PO96" s="43" t="str">
        <f t="shared" si="375"/>
        <v/>
      </c>
      <c r="PP96" s="43" t="str">
        <f t="shared" si="376"/>
        <v/>
      </c>
      <c r="PQ96" s="43" t="str">
        <f t="shared" si="377"/>
        <v/>
      </c>
      <c r="PR96" s="43" t="str">
        <f t="shared" si="378"/>
        <v/>
      </c>
      <c r="PS96" s="43" t="str">
        <f t="shared" si="379"/>
        <v/>
      </c>
      <c r="PT96" s="43" t="str">
        <f t="shared" si="380"/>
        <v/>
      </c>
      <c r="PU96" s="43" t="str">
        <f t="shared" si="381"/>
        <v/>
      </c>
      <c r="PV96" s="43" t="str">
        <f t="shared" si="382"/>
        <v/>
      </c>
      <c r="PW96" s="43" t="str">
        <f t="shared" si="383"/>
        <v/>
      </c>
      <c r="PX96" s="43" t="str">
        <f t="shared" si="384"/>
        <v/>
      </c>
      <c r="PY96" s="43" t="str">
        <f t="shared" si="385"/>
        <v/>
      </c>
      <c r="PZ96" s="43" t="str">
        <f t="shared" si="386"/>
        <v/>
      </c>
      <c r="QA96" s="43" t="str">
        <f t="shared" si="387"/>
        <v/>
      </c>
      <c r="QB96" s="43" t="str">
        <f t="shared" si="388"/>
        <v/>
      </c>
      <c r="QC96" s="43" t="str">
        <f t="shared" si="389"/>
        <v/>
      </c>
      <c r="QD96" s="43" t="str">
        <f t="shared" si="390"/>
        <v/>
      </c>
      <c r="QE96" s="43" t="str">
        <f t="shared" si="391"/>
        <v>BAJO PESO</v>
      </c>
      <c r="QF96" s="43" t="str">
        <f t="shared" si="392"/>
        <v/>
      </c>
      <c r="QG96" s="43" t="str">
        <f t="shared" si="393"/>
        <v/>
      </c>
      <c r="QH96" s="43" t="str">
        <f t="shared" si="394"/>
        <v/>
      </c>
      <c r="QI96" s="43" t="str">
        <f t="shared" si="395"/>
        <v/>
      </c>
      <c r="QJ96" s="43" t="str">
        <f t="shared" si="396"/>
        <v/>
      </c>
      <c r="QK96" s="43" t="str">
        <f t="shared" si="397"/>
        <v/>
      </c>
      <c r="QL96" s="43" t="str">
        <f t="shared" si="398"/>
        <v/>
      </c>
      <c r="QM96" s="43" t="str">
        <f t="shared" si="399"/>
        <v/>
      </c>
      <c r="QN96" s="43" t="str">
        <f t="shared" si="400"/>
        <v/>
      </c>
      <c r="QO96" s="43" t="str">
        <f t="shared" si="401"/>
        <v/>
      </c>
      <c r="QP96" s="43" t="str">
        <f t="shared" si="402"/>
        <v/>
      </c>
      <c r="QQ96" s="43" t="str">
        <f t="shared" si="403"/>
        <v/>
      </c>
      <c r="QR96" s="43">
        <f t="shared" si="433"/>
        <v>30</v>
      </c>
      <c r="QS96" s="43"/>
      <c r="QT96" s="21" t="str">
        <f t="shared" si="404"/>
        <v/>
      </c>
      <c r="QU96" s="21" t="str">
        <f t="shared" si="405"/>
        <v/>
      </c>
      <c r="QV96" s="21" t="str">
        <f t="shared" si="406"/>
        <v/>
      </c>
      <c r="QW96" s="21" t="str">
        <f t="shared" si="407"/>
        <v/>
      </c>
      <c r="QX96" s="21" t="str">
        <f t="shared" si="408"/>
        <v/>
      </c>
      <c r="QY96" s="21" t="str">
        <f t="shared" si="409"/>
        <v/>
      </c>
      <c r="QZ96" s="21" t="str">
        <f t="shared" si="410"/>
        <v/>
      </c>
      <c r="RA96" s="21" t="str">
        <f t="shared" si="411"/>
        <v/>
      </c>
      <c r="RB96" s="21" t="str">
        <f t="shared" si="412"/>
        <v/>
      </c>
      <c r="RC96" s="21" t="str">
        <f t="shared" si="413"/>
        <v/>
      </c>
      <c r="RD96" s="21" t="str">
        <f t="shared" si="414"/>
        <v/>
      </c>
      <c r="RE96" s="21" t="str">
        <f t="shared" si="415"/>
        <v/>
      </c>
      <c r="RF96" s="21" t="str">
        <f t="shared" si="416"/>
        <v/>
      </c>
      <c r="RG96" s="21" t="str">
        <f t="shared" si="417"/>
        <v/>
      </c>
      <c r="RH96" s="21" t="str">
        <f t="shared" si="418"/>
        <v/>
      </c>
      <c r="RI96" s="21" t="str">
        <f t="shared" si="419"/>
        <v/>
      </c>
      <c r="RJ96" s="21" t="str">
        <f t="shared" si="420"/>
        <v/>
      </c>
      <c r="RK96" s="21" t="str">
        <f t="shared" si="421"/>
        <v>ADECUADO PARA EDAD GESTACIONAL</v>
      </c>
      <c r="RL96" s="21" t="str">
        <f t="shared" si="422"/>
        <v/>
      </c>
      <c r="RM96" s="21" t="str">
        <f t="shared" si="423"/>
        <v/>
      </c>
      <c r="RN96" s="21" t="str">
        <f t="shared" si="424"/>
        <v/>
      </c>
      <c r="RO96" s="21" t="str">
        <f t="shared" si="425"/>
        <v/>
      </c>
      <c r="RP96" s="21" t="str">
        <f t="shared" si="426"/>
        <v/>
      </c>
      <c r="RQ96" s="21" t="str">
        <f t="shared" si="427"/>
        <v/>
      </c>
      <c r="RR96" s="21" t="str">
        <f t="shared" si="428"/>
        <v/>
      </c>
      <c r="RS96" s="21" t="str">
        <f t="shared" si="429"/>
        <v/>
      </c>
      <c r="RT96" s="21" t="str">
        <f t="shared" si="430"/>
        <v/>
      </c>
      <c r="RU96" s="21" t="str">
        <f t="shared" si="431"/>
        <v/>
      </c>
      <c r="RV96" s="21">
        <f t="shared" si="432"/>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4"/>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16.893150684931506</v>
      </c>
      <c r="O97" s="22">
        <v>44957</v>
      </c>
      <c r="P97" s="214" t="str">
        <f t="shared" si="438"/>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9"/>
        <v>SALE SIN PLAN DE PARTO</v>
      </c>
      <c r="DV97" s="226" t="str">
        <f t="shared" si="440"/>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1"/>
        <v>SALE SIN TAMIZAJE HEMOGLOBINA SEM 28</v>
      </c>
      <c r="EU97" s="25" t="str">
        <f t="shared" si="275"/>
        <v/>
      </c>
      <c r="EV97" s="24" t="s">
        <v>866</v>
      </c>
      <c r="EW97" s="24">
        <v>44960</v>
      </c>
      <c r="EX97" s="22"/>
      <c r="EY97" s="29">
        <f t="shared" si="454"/>
        <v>20.142857142857142</v>
      </c>
      <c r="EZ97" s="25" t="str">
        <f t="shared" ca="1" si="455"/>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2"/>
        <v>PIERDE TOMA DE TAMIZAJE</v>
      </c>
      <c r="FP97" s="22" t="s">
        <v>867</v>
      </c>
      <c r="FQ97" s="32">
        <v>45072</v>
      </c>
      <c r="FR97" s="29">
        <f t="shared" ca="1" si="443"/>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3"/>
        <v>REGISTRAR EN II TRIMESTRE</v>
      </c>
      <c r="GB97" s="22"/>
      <c r="GC97" s="22"/>
      <c r="GD97" s="29" t="str">
        <f t="shared" ca="1" si="444"/>
        <v>PIERDE TOMA DE TAMIZAJE</v>
      </c>
      <c r="GE97" s="22" t="s">
        <v>868</v>
      </c>
      <c r="GF97" s="22">
        <v>45072</v>
      </c>
      <c r="GG97" s="29">
        <f t="shared" ca="1" si="445"/>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t="str">
        <f t="shared" ca="1" si="289"/>
        <v>**********************MULTIPARIDAD**RIESGO POR EDAD***************</v>
      </c>
      <c r="HK97" s="21" t="str">
        <f t="shared" si="290"/>
        <v>SIN ANTECEDENTES DE RIESGO</v>
      </c>
      <c r="HL97" s="24" t="str">
        <f t="shared" si="291"/>
        <v>APARENTEMENTE NORMAL</v>
      </c>
      <c r="HM97" s="21" t="str">
        <f t="shared" ca="1" si="292"/>
        <v/>
      </c>
      <c r="HN97" s="30" t="str">
        <f t="shared" si="446"/>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3"/>
        <v>19.714285714285715</v>
      </c>
      <c r="IA97" s="26"/>
      <c r="IB97" s="26"/>
      <c r="IC97" s="111"/>
      <c r="ID97" s="22"/>
      <c r="IE97" s="22" t="str">
        <f t="shared" ca="1" si="294"/>
        <v>SALE SIN VACUNA</v>
      </c>
      <c r="IF97" s="22"/>
      <c r="IG97" s="22">
        <f t="shared" si="295"/>
        <v>45099</v>
      </c>
      <c r="IH97" s="29">
        <f t="shared" ca="1" si="296"/>
        <v>-133</v>
      </c>
      <c r="II97" s="22" t="str">
        <f t="shared" ca="1" si="297"/>
        <v>POSIBLEMENTE NACIO</v>
      </c>
      <c r="IJ97" s="22"/>
      <c r="IK97" s="21" t="s">
        <v>898</v>
      </c>
      <c r="IL97" s="21"/>
      <c r="IM97" s="34"/>
      <c r="IN97" s="349">
        <v>45103</v>
      </c>
      <c r="IO97" s="21" t="s">
        <v>1640</v>
      </c>
      <c r="IP97" s="29">
        <f t="shared" si="436"/>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7"/>
        <v>PESO ADECUADO EDAD GESTACIONAL</v>
      </c>
      <c r="JF97" s="30"/>
      <c r="JG97" s="21"/>
      <c r="JH97" s="21"/>
      <c r="JI97" s="21"/>
      <c r="JJ97" s="30"/>
      <c r="JK97" s="22"/>
      <c r="JL97" s="22"/>
      <c r="JM97" s="21"/>
      <c r="JN97" s="36"/>
      <c r="JO97" s="21" t="str">
        <f t="shared" si="448"/>
        <v/>
      </c>
      <c r="JP97" s="22"/>
      <c r="JQ97" s="21"/>
      <c r="JR97" s="21"/>
      <c r="JS97" s="21"/>
      <c r="JT97" s="30"/>
      <c r="JU97" s="22"/>
      <c r="JV97" s="22"/>
      <c r="JW97" s="33"/>
      <c r="JX97" s="28" t="str">
        <f t="shared" si="449"/>
        <v>INASISTENTE</v>
      </c>
      <c r="JY97" s="33"/>
      <c r="JZ97" s="28" t="str">
        <f t="shared" si="450"/>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3"/>
        <v>0</v>
      </c>
      <c r="MI97" s="43" t="str">
        <f t="shared" si="304"/>
        <v/>
      </c>
      <c r="MJ97" s="43" t="str">
        <f t="shared" si="305"/>
        <v/>
      </c>
      <c r="MK97" s="43">
        <f t="shared" si="306"/>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7"/>
        <v>19.714285714285715</v>
      </c>
      <c r="MN97" s="43">
        <f t="shared" si="308"/>
        <v>1</v>
      </c>
      <c r="MO97" s="43">
        <f t="shared" si="309"/>
        <v>2023</v>
      </c>
      <c r="MP97" s="43" t="str">
        <f t="shared" si="310"/>
        <v>I TRIMESTRE AÑO</v>
      </c>
      <c r="MQ97" s="43">
        <f t="shared" si="311"/>
        <v>15.894656154183091</v>
      </c>
      <c r="MR97" s="43">
        <f t="shared" si="312"/>
        <v>1</v>
      </c>
      <c r="MS97" s="43" t="str">
        <f t="shared" si="313"/>
        <v>DE 14 A 19AÑOS</v>
      </c>
      <c r="MT97" s="43">
        <f t="shared" si="314"/>
        <v>0</v>
      </c>
      <c r="MU97" s="43">
        <f t="shared" si="315"/>
        <v>1</v>
      </c>
      <c r="MV97" s="43">
        <f t="shared" si="316"/>
        <v>0</v>
      </c>
      <c r="MW97" s="43">
        <f t="shared" si="317"/>
        <v>0</v>
      </c>
      <c r="MX97" s="43" t="str">
        <f t="shared" si="318"/>
        <v/>
      </c>
      <c r="MY97" s="43" t="str">
        <f t="shared" ca="1" si="451"/>
        <v/>
      </c>
      <c r="MZ97" s="43" t="str">
        <f t="shared" si="319"/>
        <v/>
      </c>
      <c r="NA97" s="43">
        <f t="shared" si="320"/>
        <v>0</v>
      </c>
      <c r="NB97" s="43" t="str">
        <f t="shared" si="321"/>
        <v/>
      </c>
      <c r="NC97" s="43" t="str">
        <f t="shared" si="322"/>
        <v/>
      </c>
      <c r="ND97" s="43">
        <f t="shared" ca="1" si="323"/>
        <v>2</v>
      </c>
      <c r="NE97" s="43">
        <f>IF(OR(O97&gt;0,R97&gt;0),SUM(COUNTIF(Tabla1[[#This Row],[AÑOS AL INICIO5 CPN]],"&gt;=40"),COUNTIF(AS97,"0"),COUNTIF(AR97,"SI"),COUNTIF(CC97,"SI"),COUNTIF(BQ97,"&gt;119"),COUNTIF(CI97,"&gt;=35")),"")</f>
        <v>0</v>
      </c>
      <c r="NF97" s="43" t="str">
        <f t="shared" si="324"/>
        <v/>
      </c>
      <c r="NG97" s="43">
        <f t="shared" si="325"/>
        <v>0</v>
      </c>
      <c r="NH97" s="43">
        <f t="shared" si="326"/>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7"/>
        <v>45</v>
      </c>
      <c r="NM97" s="43" t="str">
        <f t="shared" si="456"/>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8"/>
        <v>II TRIM</v>
      </c>
      <c r="NQ97" s="21">
        <f t="shared" si="437"/>
        <v>3</v>
      </c>
      <c r="NR97" s="21">
        <f t="shared" si="452"/>
        <v>2</v>
      </c>
      <c r="NS97" s="205">
        <f t="shared" ca="1" si="329"/>
        <v>1</v>
      </c>
      <c r="NT97" s="21">
        <f t="shared" ca="1" si="330"/>
        <v>1</v>
      </c>
      <c r="NU97" s="21" t="str">
        <f t="shared" ca="1" si="331"/>
        <v>INCOMPLETO</v>
      </c>
      <c r="NV97" s="21" t="str">
        <f t="shared" ca="1" si="332"/>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3"/>
        <v>SIN VACUNAR</v>
      </c>
      <c r="NY97" s="43">
        <f>ROW(Tabla1[[#This Row],['# DE TAMIZAJES SIFILIS TOMADOS ]])</f>
        <v>97</v>
      </c>
      <c r="NZ97" s="43">
        <f t="shared" si="334"/>
        <v>19</v>
      </c>
      <c r="OA97" s="43" t="str">
        <f t="shared" si="335"/>
        <v/>
      </c>
      <c r="OB97" s="43" t="str">
        <f t="shared" si="336"/>
        <v/>
      </c>
      <c r="OC97" s="43" t="str">
        <f t="shared" si="337"/>
        <v/>
      </c>
      <c r="OD97" s="43" t="str">
        <f t="shared" si="338"/>
        <v/>
      </c>
      <c r="OE97" s="43" t="str">
        <f t="shared" si="339"/>
        <v/>
      </c>
      <c r="OF97" s="43" t="str">
        <f t="shared" si="340"/>
        <v/>
      </c>
      <c r="OG97" s="43" t="str">
        <f t="shared" si="341"/>
        <v/>
      </c>
      <c r="OH97" s="43" t="str">
        <f t="shared" si="342"/>
        <v/>
      </c>
      <c r="OI97" s="43" t="str">
        <f t="shared" si="343"/>
        <v/>
      </c>
      <c r="OJ97" s="43" t="str">
        <f t="shared" si="344"/>
        <v/>
      </c>
      <c r="OK97" s="43" t="str">
        <f t="shared" si="345"/>
        <v>NORMAL</v>
      </c>
      <c r="OL97" s="43" t="str">
        <f t="shared" si="346"/>
        <v/>
      </c>
      <c r="OM97" s="43" t="str">
        <f t="shared" si="347"/>
        <v/>
      </c>
      <c r="ON97" s="43" t="str">
        <f t="shared" si="348"/>
        <v/>
      </c>
      <c r="OO97" s="43" t="str">
        <f t="shared" si="349"/>
        <v/>
      </c>
      <c r="OP97" s="43" t="str">
        <f t="shared" si="350"/>
        <v/>
      </c>
      <c r="OQ97" s="43" t="str">
        <f t="shared" si="351"/>
        <v/>
      </c>
      <c r="OR97" s="43" t="str">
        <f t="shared" si="352"/>
        <v/>
      </c>
      <c r="OS97" s="43" t="str">
        <f t="shared" si="353"/>
        <v/>
      </c>
      <c r="OT97" s="43" t="str">
        <f t="shared" si="354"/>
        <v/>
      </c>
      <c r="OU97" s="43" t="str">
        <f t="shared" si="355"/>
        <v/>
      </c>
      <c r="OV97" s="110" t="str">
        <f t="shared" si="356"/>
        <v/>
      </c>
      <c r="OW97" s="43" t="str">
        <f t="shared" si="357"/>
        <v/>
      </c>
      <c r="OX97" s="43" t="str">
        <f t="shared" si="358"/>
        <v/>
      </c>
      <c r="OY97" s="43" t="str">
        <f t="shared" si="359"/>
        <v/>
      </c>
      <c r="OZ97" s="43" t="str">
        <f t="shared" si="360"/>
        <v/>
      </c>
      <c r="PA97" s="43" t="str">
        <f t="shared" si="361"/>
        <v/>
      </c>
      <c r="PB97" s="43" t="str">
        <f t="shared" si="362"/>
        <v/>
      </c>
      <c r="PC97" s="43" t="str">
        <f t="shared" si="363"/>
        <v/>
      </c>
      <c r="PD97" s="43" t="str">
        <f t="shared" si="364"/>
        <v/>
      </c>
      <c r="PE97" s="43" t="str">
        <f t="shared" si="365"/>
        <v/>
      </c>
      <c r="PF97" s="43" t="str">
        <f t="shared" si="366"/>
        <v/>
      </c>
      <c r="PG97" s="43" t="str">
        <f t="shared" si="367"/>
        <v/>
      </c>
      <c r="PH97" s="43" t="str">
        <f t="shared" si="368"/>
        <v/>
      </c>
      <c r="PI97" s="43">
        <f t="shared" si="369"/>
        <v>36</v>
      </c>
      <c r="PJ97" s="43" t="str">
        <f t="shared" si="370"/>
        <v/>
      </c>
      <c r="PK97" s="43" t="str">
        <f t="shared" si="371"/>
        <v/>
      </c>
      <c r="PL97" s="43" t="str">
        <f t="shared" si="372"/>
        <v/>
      </c>
      <c r="PM97" s="43" t="str">
        <f t="shared" si="373"/>
        <v/>
      </c>
      <c r="PN97" s="43" t="str">
        <f t="shared" si="374"/>
        <v/>
      </c>
      <c r="PO97" s="43" t="str">
        <f t="shared" si="375"/>
        <v/>
      </c>
      <c r="PP97" s="43" t="str">
        <f t="shared" si="376"/>
        <v/>
      </c>
      <c r="PQ97" s="43" t="str">
        <f t="shared" si="377"/>
        <v/>
      </c>
      <c r="PR97" s="43" t="str">
        <f t="shared" si="378"/>
        <v/>
      </c>
      <c r="PS97" s="43" t="str">
        <f t="shared" si="379"/>
        <v/>
      </c>
      <c r="PT97" s="43" t="str">
        <f t="shared" si="380"/>
        <v/>
      </c>
      <c r="PU97" s="43" t="str">
        <f t="shared" si="381"/>
        <v/>
      </c>
      <c r="PV97" s="43" t="str">
        <f t="shared" si="382"/>
        <v/>
      </c>
      <c r="PW97" s="43" t="str">
        <f t="shared" si="383"/>
        <v/>
      </c>
      <c r="PX97" s="43" t="str">
        <f t="shared" si="384"/>
        <v/>
      </c>
      <c r="PY97" s="43" t="str">
        <f t="shared" si="385"/>
        <v/>
      </c>
      <c r="PZ97" s="43" t="str">
        <f t="shared" si="386"/>
        <v/>
      </c>
      <c r="QA97" s="43" t="str">
        <f t="shared" si="387"/>
        <v/>
      </c>
      <c r="QB97" s="43" t="str">
        <f t="shared" si="388"/>
        <v/>
      </c>
      <c r="QC97" s="43" t="str">
        <f t="shared" si="389"/>
        <v/>
      </c>
      <c r="QD97" s="43" t="str">
        <f t="shared" si="390"/>
        <v/>
      </c>
      <c r="QE97" s="43" t="str">
        <f t="shared" si="391"/>
        <v/>
      </c>
      <c r="QF97" s="43" t="str">
        <f t="shared" si="392"/>
        <v/>
      </c>
      <c r="QG97" s="43" t="str">
        <f t="shared" si="393"/>
        <v/>
      </c>
      <c r="QH97" s="43" t="str">
        <f t="shared" si="394"/>
        <v/>
      </c>
      <c r="QI97" s="43" t="str">
        <f t="shared" si="395"/>
        <v/>
      </c>
      <c r="QJ97" s="43" t="str">
        <f t="shared" si="396"/>
        <v/>
      </c>
      <c r="QK97" s="43" t="str">
        <f t="shared" si="397"/>
        <v>BAJO PESO</v>
      </c>
      <c r="QL97" s="43" t="str">
        <f t="shared" si="398"/>
        <v/>
      </c>
      <c r="QM97" s="43" t="str">
        <f t="shared" si="399"/>
        <v/>
      </c>
      <c r="QN97" s="43" t="str">
        <f t="shared" si="400"/>
        <v/>
      </c>
      <c r="QO97" s="43" t="str">
        <f t="shared" si="401"/>
        <v/>
      </c>
      <c r="QP97" s="43" t="str">
        <f t="shared" si="402"/>
        <v/>
      </c>
      <c r="QQ97" s="43" t="str">
        <f t="shared" si="403"/>
        <v/>
      </c>
      <c r="QR97" s="43">
        <f t="shared" si="433"/>
        <v>36</v>
      </c>
      <c r="QS97" s="43"/>
      <c r="QT97" s="21" t="str">
        <f t="shared" si="404"/>
        <v/>
      </c>
      <c r="QU97" s="21" t="str">
        <f t="shared" si="405"/>
        <v/>
      </c>
      <c r="QV97" s="21" t="str">
        <f t="shared" si="406"/>
        <v/>
      </c>
      <c r="QW97" s="21" t="str">
        <f t="shared" si="407"/>
        <v/>
      </c>
      <c r="QX97" s="21" t="str">
        <f t="shared" si="408"/>
        <v/>
      </c>
      <c r="QY97" s="21" t="str">
        <f t="shared" si="409"/>
        <v/>
      </c>
      <c r="QZ97" s="21" t="str">
        <f t="shared" si="410"/>
        <v/>
      </c>
      <c r="RA97" s="21" t="str">
        <f t="shared" si="411"/>
        <v/>
      </c>
      <c r="RB97" s="21" t="str">
        <f t="shared" si="412"/>
        <v/>
      </c>
      <c r="RC97" s="21" t="str">
        <f t="shared" si="413"/>
        <v/>
      </c>
      <c r="RD97" s="21" t="str">
        <f t="shared" si="414"/>
        <v/>
      </c>
      <c r="RE97" s="21" t="str">
        <f t="shared" si="415"/>
        <v/>
      </c>
      <c r="RF97" s="21" t="str">
        <f t="shared" si="416"/>
        <v/>
      </c>
      <c r="RG97" s="21" t="str">
        <f t="shared" si="417"/>
        <v/>
      </c>
      <c r="RH97" s="21" t="str">
        <f t="shared" si="418"/>
        <v/>
      </c>
      <c r="RI97" s="21" t="str">
        <f t="shared" si="419"/>
        <v/>
      </c>
      <c r="RJ97" s="21" t="str">
        <f t="shared" si="420"/>
        <v/>
      </c>
      <c r="RK97" s="21" t="str">
        <f t="shared" si="421"/>
        <v/>
      </c>
      <c r="RL97" s="21" t="str">
        <f t="shared" si="422"/>
        <v/>
      </c>
      <c r="RM97" s="21" t="str">
        <f t="shared" si="423"/>
        <v/>
      </c>
      <c r="RN97" s="21" t="str">
        <f t="shared" si="424"/>
        <v/>
      </c>
      <c r="RO97" s="21" t="str">
        <f t="shared" si="425"/>
        <v/>
      </c>
      <c r="RP97" s="21" t="str">
        <f t="shared" si="426"/>
        <v/>
      </c>
      <c r="RQ97" s="21" t="str">
        <f t="shared" si="427"/>
        <v>ADECUADO PARA EDAD GESTACIONAL</v>
      </c>
      <c r="RR97" s="21" t="str">
        <f t="shared" si="428"/>
        <v/>
      </c>
      <c r="RS97" s="21" t="str">
        <f t="shared" si="429"/>
        <v/>
      </c>
      <c r="RT97" s="21" t="str">
        <f t="shared" si="430"/>
        <v/>
      </c>
      <c r="RU97" s="21" t="str">
        <f t="shared" si="431"/>
        <v/>
      </c>
      <c r="RV97" s="21">
        <f t="shared" si="432"/>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4"/>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22.389041095890413</v>
      </c>
      <c r="O98" s="22">
        <v>44964</v>
      </c>
      <c r="P98" s="214" t="str">
        <f t="shared" si="438"/>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9"/>
        <v>SALE SIN PLAN DE PARTO</v>
      </c>
      <c r="DV98" s="226" t="str">
        <f t="shared" si="440"/>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1"/>
        <v>SALE SIN TAMIZAJE HEMOGLOBINA SEM 28</v>
      </c>
      <c r="EU98" s="25" t="str">
        <f t="shared" si="275"/>
        <v/>
      </c>
      <c r="EV98" s="24"/>
      <c r="EW98" s="24"/>
      <c r="EX98" s="22"/>
      <c r="EY98" s="29" t="str">
        <f t="shared" si="454"/>
        <v>TOMAR EXAMEN</v>
      </c>
      <c r="EZ98" s="25" t="str">
        <f t="shared" ca="1" si="455"/>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2"/>
        <v>PIERDE TOMA DE TAMIZAJE</v>
      </c>
      <c r="FP98" s="22"/>
      <c r="FQ98" s="32"/>
      <c r="FR98" s="29" t="str">
        <f t="shared" ca="1" si="443"/>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3"/>
        <v>NO APLICA-INGRESO TARDIO</v>
      </c>
      <c r="GB98" s="22"/>
      <c r="GC98" s="22"/>
      <c r="GD98" s="29" t="str">
        <f t="shared" ca="1" si="444"/>
        <v>PIERDE TOMA DE TAMIZAJE</v>
      </c>
      <c r="GE98" s="22"/>
      <c r="GF98" s="22"/>
      <c r="GG98" s="29" t="str">
        <f t="shared" ca="1" si="445"/>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t="str">
        <f t="shared" ca="1" si="289"/>
        <v>***************************************</v>
      </c>
      <c r="HK98" s="21" t="str">
        <f t="shared" si="290"/>
        <v>SIN ANTECEDENTES DE RIESGO</v>
      </c>
      <c r="HL98" s="24" t="str">
        <f t="shared" si="291"/>
        <v>REGISTRE DATO PRESIÓN ARTERIAL MENSUAL</v>
      </c>
      <c r="HM98" s="21" t="str">
        <f t="shared" ca="1" si="292"/>
        <v/>
      </c>
      <c r="HN98" s="30" t="str">
        <f t="shared" si="446"/>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3"/>
        <v>20</v>
      </c>
      <c r="IA98" s="26"/>
      <c r="IB98" s="26"/>
      <c r="IC98" s="111"/>
      <c r="ID98" s="22"/>
      <c r="IE98" s="22" t="str">
        <f t="shared" ca="1" si="294"/>
        <v>SALE SIN VACUNA</v>
      </c>
      <c r="IF98" s="22"/>
      <c r="IG98" s="22">
        <f t="shared" si="295"/>
        <v>45104</v>
      </c>
      <c r="IH98" s="29">
        <f t="shared" ca="1" si="296"/>
        <v>-128</v>
      </c>
      <c r="II98" s="22" t="str">
        <f t="shared" ca="1" si="297"/>
        <v>POSIBLEMENTE NACIO</v>
      </c>
      <c r="IJ98" s="22"/>
      <c r="IK98" s="21" t="s">
        <v>898</v>
      </c>
      <c r="IL98" s="21"/>
      <c r="IM98" s="34"/>
      <c r="IN98" s="349">
        <v>45090</v>
      </c>
      <c r="IO98" s="21" t="s">
        <v>1640</v>
      </c>
      <c r="IP98" s="29">
        <f t="shared" si="436"/>
        <v>38</v>
      </c>
      <c r="IQ98" s="110"/>
      <c r="IR98" s="21" t="s">
        <v>879</v>
      </c>
      <c r="IS98" s="21" t="s">
        <v>1641</v>
      </c>
      <c r="IT98" s="290" t="s">
        <v>1642</v>
      </c>
      <c r="IU98" s="21"/>
      <c r="IV98" s="21"/>
      <c r="IW98" s="21"/>
      <c r="IX98" s="21"/>
      <c r="IY98" s="21"/>
      <c r="IZ98" s="21"/>
      <c r="JA98" s="21"/>
      <c r="JB98" s="30">
        <v>1</v>
      </c>
      <c r="JC98" s="21" t="s">
        <v>1647</v>
      </c>
      <c r="JD98" s="36">
        <v>2500</v>
      </c>
      <c r="JE98" s="21" t="str">
        <f t="shared" si="447"/>
        <v>PESO ADECUADO EDAD GESTACIONAL</v>
      </c>
      <c r="JF98" s="30"/>
      <c r="JG98" s="21"/>
      <c r="JH98" s="21"/>
      <c r="JI98" s="21"/>
      <c r="JJ98" s="30"/>
      <c r="JK98" s="22"/>
      <c r="JL98" s="22"/>
      <c r="JM98" s="21"/>
      <c r="JN98" s="36"/>
      <c r="JO98" s="21" t="str">
        <f t="shared" si="448"/>
        <v/>
      </c>
      <c r="JP98" s="22"/>
      <c r="JQ98" s="21"/>
      <c r="JR98" s="21"/>
      <c r="JS98" s="21"/>
      <c r="JT98" s="30"/>
      <c r="JU98" s="22"/>
      <c r="JV98" s="22"/>
      <c r="JW98" s="33"/>
      <c r="JX98" s="28" t="str">
        <f t="shared" si="449"/>
        <v>INASISTENTE</v>
      </c>
      <c r="JY98" s="33"/>
      <c r="JZ98" s="28" t="str">
        <f t="shared" si="450"/>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3"/>
        <v>0</v>
      </c>
      <c r="MI98" s="43" t="str">
        <f t="shared" si="304"/>
        <v/>
      </c>
      <c r="MJ98" s="43" t="str">
        <f t="shared" si="305"/>
        <v/>
      </c>
      <c r="MK98" s="43">
        <f t="shared" si="306"/>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7"/>
        <v>20</v>
      </c>
      <c r="MN98" s="43">
        <f t="shared" si="308"/>
        <v>2</v>
      </c>
      <c r="MO98" s="43">
        <f t="shared" si="309"/>
        <v>2023</v>
      </c>
      <c r="MP98" s="43" t="str">
        <f t="shared" si="310"/>
        <v>I TRIMESTRE AÑO</v>
      </c>
      <c r="MQ98" s="43">
        <f t="shared" si="311"/>
        <v>21.323368374945247</v>
      </c>
      <c r="MR98" s="43">
        <f t="shared" si="312"/>
        <v>0</v>
      </c>
      <c r="MS98" s="43" t="str">
        <f t="shared" si="313"/>
        <v xml:space="preserve"> DE 20 A 24 AÑOS</v>
      </c>
      <c r="MT98" s="43">
        <f t="shared" si="314"/>
        <v>0</v>
      </c>
      <c r="MU98" s="43">
        <f t="shared" si="315"/>
        <v>0</v>
      </c>
      <c r="MV98" s="43">
        <f t="shared" si="316"/>
        <v>0</v>
      </c>
      <c r="MW98" s="43">
        <f t="shared" si="317"/>
        <v>0</v>
      </c>
      <c r="MX98" s="43" t="str">
        <f t="shared" si="318"/>
        <v/>
      </c>
      <c r="MY98" s="43" t="str">
        <f t="shared" ca="1" si="451"/>
        <v/>
      </c>
      <c r="MZ98" s="43" t="str">
        <f t="shared" si="319"/>
        <v/>
      </c>
      <c r="NA98" s="43">
        <f t="shared" si="320"/>
        <v>0</v>
      </c>
      <c r="NB98" s="43" t="str">
        <f t="shared" si="321"/>
        <v/>
      </c>
      <c r="NC98" s="43" t="str">
        <f t="shared" si="322"/>
        <v/>
      </c>
      <c r="ND98" s="43">
        <f t="shared" ca="1" si="323"/>
        <v>0</v>
      </c>
      <c r="NE98" s="43">
        <f>IF(OR(O98&gt;0,R98&gt;0),SUM(COUNTIF(Tabla1[[#This Row],[AÑOS AL INICIO5 CPN]],"&gt;=40"),COUNTIF(AS98,"0"),COUNTIF(AR98,"SI"),COUNTIF(CC98,"SI"),COUNTIF(BQ98,"&gt;119"),COUNTIF(CI98,"&gt;=35")),"")</f>
        <v>0</v>
      </c>
      <c r="NF98" s="43" t="str">
        <f t="shared" si="324"/>
        <v/>
      </c>
      <c r="NG98" s="43">
        <f t="shared" si="325"/>
        <v>0</v>
      </c>
      <c r="NH98" s="43">
        <f t="shared" si="326"/>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7"/>
        <v>X</v>
      </c>
      <c r="NM98" s="43" t="str">
        <f t="shared" si="456"/>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8"/>
        <v>II TRIM</v>
      </c>
      <c r="NQ98" s="21" t="str">
        <f t="shared" si="437"/>
        <v/>
      </c>
      <c r="NR98" s="21">
        <f t="shared" si="452"/>
        <v>2</v>
      </c>
      <c r="NS98" s="205">
        <f t="shared" ca="1" si="329"/>
        <v>0</v>
      </c>
      <c r="NT98" s="21">
        <f t="shared" ca="1" si="330"/>
        <v>0</v>
      </c>
      <c r="NU98" s="21" t="str">
        <f t="shared" ca="1" si="331"/>
        <v>INCOMPLETO</v>
      </c>
      <c r="NV98" s="21" t="str">
        <f t="shared" ca="1" si="332"/>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3"/>
        <v>SIN VACUNAR</v>
      </c>
      <c r="NY98" s="43">
        <f>ROW(Tabla1[[#This Row],['# DE TAMIZAJES SIFILIS TOMADOS ]])</f>
        <v>98</v>
      </c>
      <c r="NZ98" s="43">
        <f t="shared" si="334"/>
        <v>20</v>
      </c>
      <c r="OA98" s="43" t="str">
        <f t="shared" si="335"/>
        <v/>
      </c>
      <c r="OB98" s="43" t="str">
        <f t="shared" si="336"/>
        <v/>
      </c>
      <c r="OC98" s="43" t="str">
        <f t="shared" si="337"/>
        <v/>
      </c>
      <c r="OD98" s="43" t="str">
        <f t="shared" si="338"/>
        <v/>
      </c>
      <c r="OE98" s="43" t="str">
        <f t="shared" si="339"/>
        <v/>
      </c>
      <c r="OF98" s="43" t="str">
        <f t="shared" si="340"/>
        <v/>
      </c>
      <c r="OG98" s="43" t="str">
        <f t="shared" si="341"/>
        <v/>
      </c>
      <c r="OH98" s="43" t="str">
        <f t="shared" si="342"/>
        <v/>
      </c>
      <c r="OI98" s="43" t="str">
        <f t="shared" si="343"/>
        <v/>
      </c>
      <c r="OJ98" s="43" t="str">
        <f t="shared" si="344"/>
        <v/>
      </c>
      <c r="OK98" s="43" t="str">
        <f t="shared" si="345"/>
        <v/>
      </c>
      <c r="OL98" s="43" t="str">
        <f t="shared" si="346"/>
        <v>NORMAL</v>
      </c>
      <c r="OM98" s="43" t="str">
        <f t="shared" si="347"/>
        <v/>
      </c>
      <c r="ON98" s="43" t="str">
        <f t="shared" si="348"/>
        <v/>
      </c>
      <c r="OO98" s="43" t="str">
        <f t="shared" si="349"/>
        <v/>
      </c>
      <c r="OP98" s="43" t="str">
        <f t="shared" si="350"/>
        <v/>
      </c>
      <c r="OQ98" s="43" t="str">
        <f t="shared" si="351"/>
        <v/>
      </c>
      <c r="OR98" s="43" t="str">
        <f t="shared" si="352"/>
        <v/>
      </c>
      <c r="OS98" s="43" t="str">
        <f t="shared" si="353"/>
        <v/>
      </c>
      <c r="OT98" s="43" t="str">
        <f t="shared" si="354"/>
        <v/>
      </c>
      <c r="OU98" s="43" t="str">
        <f t="shared" si="355"/>
        <v/>
      </c>
      <c r="OV98" s="110" t="str">
        <f t="shared" si="356"/>
        <v/>
      </c>
      <c r="OW98" s="43" t="str">
        <f t="shared" si="357"/>
        <v/>
      </c>
      <c r="OX98" s="43" t="str">
        <f t="shared" si="358"/>
        <v/>
      </c>
      <c r="OY98" s="43" t="str">
        <f t="shared" si="359"/>
        <v/>
      </c>
      <c r="OZ98" s="43" t="str">
        <f t="shared" si="360"/>
        <v/>
      </c>
      <c r="PA98" s="43" t="str">
        <f t="shared" si="361"/>
        <v/>
      </c>
      <c r="PB98" s="43" t="str">
        <f t="shared" si="362"/>
        <v/>
      </c>
      <c r="PC98" s="43" t="str">
        <f t="shared" si="363"/>
        <v/>
      </c>
      <c r="PD98" s="43" t="str">
        <f t="shared" si="364"/>
        <v/>
      </c>
      <c r="PE98" s="43" t="str">
        <f t="shared" si="365"/>
        <v/>
      </c>
      <c r="PF98" s="43" t="str">
        <f t="shared" si="366"/>
        <v/>
      </c>
      <c r="PG98" s="43" t="str">
        <f t="shared" si="367"/>
        <v/>
      </c>
      <c r="PH98" s="43" t="str">
        <f t="shared" si="368"/>
        <v/>
      </c>
      <c r="PI98" s="43">
        <f t="shared" si="369"/>
        <v>27</v>
      </c>
      <c r="PJ98" s="43" t="str">
        <f t="shared" si="370"/>
        <v/>
      </c>
      <c r="PK98" s="43" t="str">
        <f t="shared" si="371"/>
        <v/>
      </c>
      <c r="PL98" s="43" t="str">
        <f t="shared" si="372"/>
        <v/>
      </c>
      <c r="PM98" s="43" t="str">
        <f t="shared" si="373"/>
        <v/>
      </c>
      <c r="PN98" s="43" t="str">
        <f t="shared" si="374"/>
        <v/>
      </c>
      <c r="PO98" s="43" t="str">
        <f t="shared" si="375"/>
        <v/>
      </c>
      <c r="PP98" s="43" t="str">
        <f t="shared" si="376"/>
        <v/>
      </c>
      <c r="PQ98" s="43" t="str">
        <f t="shared" si="377"/>
        <v/>
      </c>
      <c r="PR98" s="43" t="str">
        <f t="shared" si="378"/>
        <v/>
      </c>
      <c r="PS98" s="43" t="str">
        <f t="shared" si="379"/>
        <v/>
      </c>
      <c r="PT98" s="43" t="str">
        <f t="shared" si="380"/>
        <v/>
      </c>
      <c r="PU98" s="43" t="str">
        <f t="shared" si="381"/>
        <v/>
      </c>
      <c r="PV98" s="43" t="str">
        <f t="shared" si="382"/>
        <v/>
      </c>
      <c r="PW98" s="43" t="str">
        <f t="shared" si="383"/>
        <v/>
      </c>
      <c r="PX98" s="43" t="str">
        <f t="shared" si="384"/>
        <v/>
      </c>
      <c r="PY98" s="43" t="str">
        <f t="shared" si="385"/>
        <v/>
      </c>
      <c r="PZ98" s="43" t="str">
        <f t="shared" si="386"/>
        <v/>
      </c>
      <c r="QA98" s="43" t="str">
        <f t="shared" si="387"/>
        <v/>
      </c>
      <c r="QB98" s="43" t="str">
        <f t="shared" si="388"/>
        <v/>
      </c>
      <c r="QC98" s="43" t="str">
        <f t="shared" si="389"/>
        <v/>
      </c>
      <c r="QD98" s="43" t="str">
        <f t="shared" si="390"/>
        <v/>
      </c>
      <c r="QE98" s="43" t="str">
        <f t="shared" si="391"/>
        <v/>
      </c>
      <c r="QF98" s="43" t="str">
        <f t="shared" si="392"/>
        <v/>
      </c>
      <c r="QG98" s="43" t="str">
        <f t="shared" si="393"/>
        <v/>
      </c>
      <c r="QH98" s="43" t="str">
        <f t="shared" si="394"/>
        <v/>
      </c>
      <c r="QI98" s="43" t="str">
        <f t="shared" si="395"/>
        <v/>
      </c>
      <c r="QJ98" s="43" t="str">
        <f t="shared" si="396"/>
        <v/>
      </c>
      <c r="QK98" s="43" t="str">
        <f t="shared" si="397"/>
        <v/>
      </c>
      <c r="QL98" s="43" t="str">
        <f t="shared" si="398"/>
        <v/>
      </c>
      <c r="QM98" s="43" t="str">
        <f t="shared" si="399"/>
        <v/>
      </c>
      <c r="QN98" s="43" t="str">
        <f t="shared" si="400"/>
        <v/>
      </c>
      <c r="QO98" s="43" t="str">
        <f t="shared" si="401"/>
        <v/>
      </c>
      <c r="QP98" s="43" t="str">
        <f t="shared" si="402"/>
        <v/>
      </c>
      <c r="QQ98" s="43" t="str">
        <f t="shared" si="403"/>
        <v/>
      </c>
      <c r="QR98" s="43">
        <f t="shared" si="433"/>
        <v>27</v>
      </c>
      <c r="QS98" s="43"/>
      <c r="QT98" s="21" t="str">
        <f t="shared" si="404"/>
        <v/>
      </c>
      <c r="QU98" s="21" t="str">
        <f t="shared" si="405"/>
        <v/>
      </c>
      <c r="QV98" s="21" t="str">
        <f t="shared" si="406"/>
        <v/>
      </c>
      <c r="QW98" s="21" t="str">
        <f t="shared" si="407"/>
        <v/>
      </c>
      <c r="QX98" s="21" t="str">
        <f t="shared" si="408"/>
        <v/>
      </c>
      <c r="QY98" s="21" t="str">
        <f t="shared" si="409"/>
        <v/>
      </c>
      <c r="QZ98" s="21" t="str">
        <f t="shared" si="410"/>
        <v/>
      </c>
      <c r="RA98" s="21" t="str">
        <f t="shared" si="411"/>
        <v/>
      </c>
      <c r="RB98" s="21" t="str">
        <f t="shared" si="412"/>
        <v/>
      </c>
      <c r="RC98" s="21" t="str">
        <f t="shared" si="413"/>
        <v/>
      </c>
      <c r="RD98" s="21" t="str">
        <f t="shared" si="414"/>
        <v/>
      </c>
      <c r="RE98" s="21" t="str">
        <f t="shared" si="415"/>
        <v/>
      </c>
      <c r="RF98" s="21" t="str">
        <f t="shared" si="416"/>
        <v/>
      </c>
      <c r="RG98" s="21" t="str">
        <f t="shared" si="417"/>
        <v/>
      </c>
      <c r="RH98" s="21" t="str">
        <f t="shared" si="418"/>
        <v/>
      </c>
      <c r="RI98" s="21" t="str">
        <f t="shared" si="419"/>
        <v/>
      </c>
      <c r="RJ98" s="21" t="str">
        <f t="shared" si="420"/>
        <v/>
      </c>
      <c r="RK98" s="21" t="str">
        <f t="shared" si="421"/>
        <v/>
      </c>
      <c r="RL98" s="21" t="str">
        <f t="shared" si="422"/>
        <v/>
      </c>
      <c r="RM98" s="21" t="str">
        <f t="shared" si="423"/>
        <v/>
      </c>
      <c r="RN98" s="21" t="str">
        <f t="shared" si="424"/>
        <v/>
      </c>
      <c r="RO98" s="21" t="str">
        <f t="shared" si="425"/>
        <v/>
      </c>
      <c r="RP98" s="21" t="str">
        <f t="shared" si="426"/>
        <v/>
      </c>
      <c r="RQ98" s="21" t="str">
        <f t="shared" si="427"/>
        <v/>
      </c>
      <c r="RR98" s="21" t="str">
        <f t="shared" si="428"/>
        <v/>
      </c>
      <c r="RS98" s="21" t="str">
        <f t="shared" si="429"/>
        <v/>
      </c>
      <c r="RT98" s="21" t="str">
        <f t="shared" si="430"/>
        <v/>
      </c>
      <c r="RU98" s="21" t="str">
        <f t="shared" si="431"/>
        <v/>
      </c>
      <c r="RV98" s="21">
        <f t="shared" si="432"/>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4"/>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19.284931506849315</v>
      </c>
      <c r="O99" s="305">
        <v>44971</v>
      </c>
      <c r="P99" s="307" t="str">
        <f t="shared" si="438"/>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7">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9"/>
        <v>CONCERTAR PLAN DE PARTO INMEDIATO</v>
      </c>
      <c r="DV99" s="324" t="str">
        <f t="shared" si="440"/>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1"/>
        <v>TOMA DE HEMOGLOBINA TARDÍA</v>
      </c>
      <c r="EU99" s="319" t="str">
        <f t="shared" si="275"/>
        <v/>
      </c>
      <c r="EV99" s="310" t="s">
        <v>1510</v>
      </c>
      <c r="EW99" s="305">
        <v>45003</v>
      </c>
      <c r="EX99" s="305"/>
      <c r="EY99" s="326">
        <f t="shared" si="454"/>
        <v>11.742857142856726</v>
      </c>
      <c r="EZ99" s="319" t="str">
        <f t="shared" si="455"/>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2"/>
        <v>PIERDE TOMA DE TAMIZAJE</v>
      </c>
      <c r="FP99" s="305"/>
      <c r="FQ99" s="328"/>
      <c r="FR99" s="326" t="str">
        <f t="shared" ca="1" si="443"/>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3"/>
        <v>11.742857142856726</v>
      </c>
      <c r="GB99" s="305"/>
      <c r="GC99" s="305"/>
      <c r="GD99" s="326" t="str">
        <f t="shared" ca="1" si="444"/>
        <v>PIERDE TOMA DE TAMIZAJE</v>
      </c>
      <c r="GE99" s="305"/>
      <c r="GF99" s="305"/>
      <c r="GG99" s="326" t="str">
        <f t="shared" ca="1" si="445"/>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8">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t="str">
        <f t="shared" ca="1" si="289"/>
        <v>**********************MULTIPARIDAD*****************</v>
      </c>
      <c r="HK99" s="309" t="str">
        <f t="shared" si="290"/>
        <v>SIN ANTECEDENTES DE RIESGO</v>
      </c>
      <c r="HL99" s="310" t="str">
        <f t="shared" si="291"/>
        <v>APARENTEMENTE NORMAL</v>
      </c>
      <c r="HM99" s="309" t="e">
        <f t="shared" ca="1" si="292"/>
        <v>#REF!</v>
      </c>
      <c r="HN99" s="329" t="str">
        <f t="shared" si="446"/>
        <v>ACTIVA INGRESO A CPN</v>
      </c>
      <c r="HO99" s="309"/>
      <c r="HP99" s="309"/>
      <c r="HQ99" s="350">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3"/>
        <v>7.171428571428156</v>
      </c>
      <c r="IA99" s="308"/>
      <c r="IB99" s="308"/>
      <c r="IC99" s="330"/>
      <c r="ID99" s="305"/>
      <c r="IE99" s="305" t="str">
        <f t="shared" ca="1" si="294"/>
        <v/>
      </c>
      <c r="IF99" s="305"/>
      <c r="IG99" s="305">
        <f t="shared" si="295"/>
        <v>45200.800000000003</v>
      </c>
      <c r="IH99" s="326">
        <f t="shared" ca="1" si="296"/>
        <v>-31.19999999999709</v>
      </c>
      <c r="II99" s="305" t="str">
        <f t="shared" ca="1" si="297"/>
        <v>POSIBLEMENTE NACIO</v>
      </c>
      <c r="IJ99" s="305"/>
      <c r="IK99" s="309"/>
      <c r="IL99" s="309"/>
      <c r="IM99" s="331"/>
      <c r="IN99" s="305"/>
      <c r="IO99" s="309"/>
      <c r="IP99" s="326" t="str">
        <f t="shared" si="436"/>
        <v/>
      </c>
      <c r="IQ99" s="303"/>
      <c r="IR99" s="309"/>
      <c r="IS99" s="309"/>
      <c r="IT99" s="309"/>
      <c r="IU99" s="309"/>
      <c r="IV99" s="309"/>
      <c r="IW99" s="309"/>
      <c r="IX99" s="309"/>
      <c r="IY99" s="309"/>
      <c r="IZ99" s="309"/>
      <c r="JA99" s="309"/>
      <c r="JB99" s="329"/>
      <c r="JC99" s="309"/>
      <c r="JD99" s="333"/>
      <c r="JE99" s="309" t="str">
        <f t="shared" si="447"/>
        <v/>
      </c>
      <c r="JF99" s="329"/>
      <c r="JG99" s="309"/>
      <c r="JH99" s="309"/>
      <c r="JI99" s="309"/>
      <c r="JJ99" s="329"/>
      <c r="JK99" s="305"/>
      <c r="JL99" s="305"/>
      <c r="JM99" s="309"/>
      <c r="JN99" s="333"/>
      <c r="JO99" s="309" t="str">
        <f t="shared" si="448"/>
        <v/>
      </c>
      <c r="JP99" s="305"/>
      <c r="JQ99" s="309"/>
      <c r="JR99" s="309"/>
      <c r="JS99" s="309"/>
      <c r="JT99" s="329"/>
      <c r="JU99" s="305"/>
      <c r="JV99" s="305"/>
      <c r="JW99" s="334"/>
      <c r="JX99" s="320" t="str">
        <f t="shared" si="449"/>
        <v/>
      </c>
      <c r="JY99" s="334"/>
      <c r="JZ99" s="320" t="str">
        <f t="shared" si="450"/>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9">SUM(COUNTIF(KU99,"PARTERO (A)"),COUNTIF(KY99,"PARTERO (A)"),COUNTIF(LC99,"PARTERO (A)"),COUNTIF(LG99,"PARTERO (A)"),COUNTIF(LK99,"PARTERO (A)"),COUNTIF(LO99,"PARTERO (A)"),COUNTIF(ME99,"PARTERO (A)"))</f>
        <v>0</v>
      </c>
      <c r="MI99" s="43" t="str">
        <f t="shared" ref="MI99:MI130" si="460">IF(AND(R99="",O99=""),"",IF(AND(OR(O99&gt;0,R99&gt;0),KT99&gt;0),SUM(KT99-RW99)/7,""))</f>
        <v/>
      </c>
      <c r="MJ99" s="43" t="str">
        <f t="shared" ref="MJ99:MJ130" si="461">IF(AND(MI99="",BT99=""),"",IF(AND(MI99&lt;&gt;"",BT99="SIN DATO"),"SIN DATO",IF(AND(MI99="",BT99&lt;&gt;""),"",IF(AND(MI99&lt;0,BT99&gt;0),"ERROR FUM O INGRESO",IF(MI99&lt;=13,"I TRIM",IF(MI99&lt;28,"II TRIM",IF(AND(MI99&gt;27,MI99&lt;45),"III TRIM","POR DEFINIR")))))))</f>
        <v/>
      </c>
      <c r="MK99" s="43">
        <f t="shared" ref="MK99:MK130" si="462">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3">IF(AND(O99&gt;0,RW99&gt;0),SUM(O99-RW99)/7,"")</f>
        <v>7.171428571428156</v>
      </c>
      <c r="MN99" s="43">
        <f t="shared" ref="MN99:MN130" si="464">IF(R99&gt;0,MONTH(R99),"")</f>
        <v>2</v>
      </c>
      <c r="MO99" s="43">
        <f t="shared" ref="MO99:MO130" si="465">IF(R99&gt;0,YEAR(R99),"")</f>
        <v>2023</v>
      </c>
      <c r="MP99" s="43" t="str">
        <f t="shared" ref="MP99:MP130" si="466">IF(AND(MN99&gt;=1,MN99&lt;=3),"I TRIMESTRE AÑO",IF(AND(MN99&gt;=4,MN99&lt;=6),"II TRIMESTRE AÑO",IF(AND(MN99&gt;=7,MN99&lt;=9),"III TRIMESTRE AÑO",IF(AND(MN99&gt;=10,MN99&lt;=12),"IV TRIMESTRE AÑO",""))))</f>
        <v>I TRIMESTRE AÑO</v>
      </c>
      <c r="MQ99" s="43">
        <f t="shared" ref="MQ99:MQ130" si="467">IF(AND(M99&gt;0,R99&gt;0),DAYS360(M99,R99)/30.44/12,IF(AND(M99&gt;0,O99&gt;0,R99=""),DAYS360(M99,O99)/30.44/12,""))</f>
        <v>18.284603591765222</v>
      </c>
      <c r="MR99" s="43">
        <f t="shared" ref="MR99:MR130" si="468">IF(AND(MQ99&gt;7,MQ99&lt;14),2,IF(MQ99&lt;16,1,IF(MQ99&lt;=35,0,IF(AND(MQ99&gt;35,MQ99&lt;50),2,""))))</f>
        <v>0</v>
      </c>
      <c r="MS99" s="43" t="str">
        <f t="shared" ref="MS99:MS130" si="469">+IF(MQ99="","",IF(MQ99&lt;14,"MENOR 14 AÑOS",IF(MQ99&lt;20,"DE 14 A 19AÑOS",IF(MQ99&lt;25," DE 20 A 24 AÑOS",IF(MQ99&lt;30," DE 25 A 29 AÑOS",IF(MQ99&lt;35," DE 30 A 34 AÑOS",IF(MQ99&lt;40," DE 35 A 39 AÑOS"," DE 40 Y MAS")))))))</f>
        <v>DE 14 A 19AÑOS</v>
      </c>
      <c r="MT99" s="43">
        <f t="shared" ref="MT99:MT130" si="470">IF(OR(AX99="SI",BA99="SI"),1,IF(AND(AX99="NO",BA99="NO"),0,""))</f>
        <v>0</v>
      </c>
      <c r="MU99" s="43">
        <f t="shared" ref="MU99:MU130" si="471">IF(AT99="","",IF(AT99=0,1,IF(AND(AT99&gt;=1,AT99&lt;=4),0,IF(AT99&gt;=5,2,"X"))))</f>
        <v>1</v>
      </c>
      <c r="MV99" s="43">
        <f t="shared" ref="MV99:MV130" si="472">IF(AW99="","",IF(AW99=0,0,IF(AW99=1,1,IF(OR(AW99=2,AW99="3 o MAS"),2,"X"))))</f>
        <v>0</v>
      </c>
      <c r="MW99" s="43">
        <f t="shared" ref="MW99:MW130" si="473">IF(AY99="SI",1,IF(AY99="NO",0,""))</f>
        <v>0</v>
      </c>
      <c r="MX99" s="43" t="str">
        <f t="shared" ref="MX99:MX130" si="474">IF(OR(AND(EM99&gt;0,EM99&lt;11),AND(ER99&gt;0,ER99&lt;10.5)),1,"")</f>
        <v/>
      </c>
      <c r="MY99" s="43" t="str">
        <f t="shared" ca="1" si="451"/>
        <v/>
      </c>
      <c r="MZ99" s="43" t="str">
        <f t="shared" ref="MZ99:MZ130" si="475">IF(AND(GJ99="",GL99="",BB99=""),"",IF(OR(OR(GJ99="P.R REACTIVA",GJ99="ELISA REACTIVA"),OR(BB99="SI",GL99="POSITIVA",GL99="NO CONCLUYENTE")),3,""))</f>
        <v/>
      </c>
      <c r="NA99" s="43" t="str">
        <f t="shared" ref="NA99:NA130" si="476">IF(CD99="","",IF(OR(CD99="CEFÁLICA",CD99="SD"),0,IF(OR(CD99="PODÁLICA",CD99="TRANSVERSA O DE FRENTE",CD99="OBLICUA"),3,"")))</f>
        <v/>
      </c>
      <c r="NB99" s="43" t="str">
        <f t="shared" ref="NB99:NB130" si="477">IF(GZ99="","",IF(GZ99="POSITIVO",2,"0"))</f>
        <v/>
      </c>
      <c r="NC99" s="43" t="str">
        <f t="shared" ref="NC99:NC130" si="478">IF(AND(HB99="",HD99=""),"",IF(OR(HB99="POSITIVO",HD99="POSITIVO"),3,0))</f>
        <v/>
      </c>
      <c r="ND99" s="43">
        <f t="shared" ref="ND99:ND130" ca="1" si="479">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80">IF(AND(R99="",O99=""),"",IF(AND(OR(O99&gt;0,R99&gt;0),RW99=""),"SD",IF(AND(OR(O99&gt;0,R99&gt;0),ID99&gt;0),SUM(ID99-RW99)/7,"")))</f>
        <v/>
      </c>
      <c r="NG99" s="43">
        <f t="shared" ref="NG99:NG130" si="481">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2">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3">IF(AND(O99&gt;0,R99=""),"NO CPN",IF(AND(O99="",R99=""),"",IF(AND(R99&gt;0,EJ99&gt;0,EI99&gt;0),_xlfn.DAYS(EJ99,EI99),IF(AND(R99&gt;0,EJ99&gt;0,EI99=""),"NO CITA","X"))))</f>
        <v>X</v>
      </c>
      <c r="NM99" s="43" t="str">
        <f t="shared" si="456"/>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4">IF(AND(BS99="",IG99=""),"",IF(AND(BS99="",IG99="DEFINIR FPP POR ECO"),"SIN DATO",IF(BS99&lt;0,"ERROR FUM O INGRESO",IF(BP99="NO","DEFINIR CON ECO",IF(BS99&lt;12,"I TRIM",IF(BS99&lt;27,"II TRIM",IF(AND(BS99&gt;26,BS99&lt;45),"III TRIM","ERROR FUM O INGRESO")))))))</f>
        <v>I TRIM</v>
      </c>
      <c r="NQ99" s="21" t="str">
        <f t="shared" si="437"/>
        <v/>
      </c>
      <c r="NR99" s="21" t="str">
        <f t="shared" ca="1" si="452"/>
        <v>REVISAR FUM O FECHA SALIDA PROGRAMA</v>
      </c>
      <c r="NS99" s="205">
        <f t="shared" ref="NS99:NS130" ca="1" si="485">COUNT(FL99,FO99,FR99,FT99)</f>
        <v>1</v>
      </c>
      <c r="NT99" s="21">
        <f t="shared" ref="NT99:NT130" ca="1" si="486">COUNT(GA99,GD99,GG99,GI99)</f>
        <v>1</v>
      </c>
      <c r="NU99" s="21" t="str">
        <f t="shared" ref="NU99:NU130" ca="1" si="487">IF(NR99="","",IF(NR99="REVISAR FUM O FECHA SALIDA PROGRAMA","POR DEFINIR",IF(OR(NR99=NS99,NS99&gt;NR99),"COMPLETO",IF(NS99&lt;NR99,"INCOMPLETO",""))))</f>
        <v>POR DEFINIR</v>
      </c>
      <c r="NV99" s="21" t="str">
        <f t="shared" ref="NV99:NV130" ca="1" si="488">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9">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4"/>
        <v>Menor</v>
      </c>
      <c r="OA99" s="43" t="str">
        <f t="shared" si="335"/>
        <v/>
      </c>
      <c r="OB99" s="43" t="str">
        <f t="shared" si="336"/>
        <v/>
      </c>
      <c r="OC99" s="43" t="str">
        <f t="shared" si="337"/>
        <v/>
      </c>
      <c r="OD99" s="43" t="str">
        <f t="shared" si="338"/>
        <v/>
      </c>
      <c r="OE99" s="43" t="str">
        <f t="shared" si="339"/>
        <v/>
      </c>
      <c r="OF99" s="43" t="str">
        <f t="shared" si="340"/>
        <v/>
      </c>
      <c r="OG99" s="43" t="str">
        <f t="shared" si="341"/>
        <v/>
      </c>
      <c r="OH99" s="43" t="str">
        <f t="shared" si="342"/>
        <v/>
      </c>
      <c r="OI99" s="43" t="str">
        <f t="shared" si="343"/>
        <v/>
      </c>
      <c r="OJ99" s="43" t="str">
        <f t="shared" si="344"/>
        <v/>
      </c>
      <c r="OK99" s="43" t="str">
        <f t="shared" si="345"/>
        <v/>
      </c>
      <c r="OL99" s="43" t="str">
        <f t="shared" si="346"/>
        <v/>
      </c>
      <c r="OM99" s="43" t="str">
        <f t="shared" si="347"/>
        <v/>
      </c>
      <c r="ON99" s="43" t="str">
        <f t="shared" si="348"/>
        <v/>
      </c>
      <c r="OO99" s="43" t="str">
        <f t="shared" si="349"/>
        <v/>
      </c>
      <c r="OP99" s="43" t="str">
        <f t="shared" si="350"/>
        <v/>
      </c>
      <c r="OQ99" s="43" t="str">
        <f t="shared" si="351"/>
        <v/>
      </c>
      <c r="OR99" s="43" t="str">
        <f t="shared" si="352"/>
        <v/>
      </c>
      <c r="OS99" s="43" t="str">
        <f t="shared" si="353"/>
        <v/>
      </c>
      <c r="OT99" s="43" t="str">
        <f t="shared" si="354"/>
        <v/>
      </c>
      <c r="OU99" s="43" t="str">
        <f t="shared" si="355"/>
        <v/>
      </c>
      <c r="OV99" s="110" t="str">
        <f t="shared" si="356"/>
        <v/>
      </c>
      <c r="OW99" s="43" t="str">
        <f t="shared" si="357"/>
        <v/>
      </c>
      <c r="OX99" s="43" t="str">
        <f t="shared" si="358"/>
        <v/>
      </c>
      <c r="OY99" s="43" t="str">
        <f t="shared" si="359"/>
        <v/>
      </c>
      <c r="OZ99" s="43" t="str">
        <f t="shared" si="360"/>
        <v/>
      </c>
      <c r="PA99" s="43" t="str">
        <f t="shared" si="361"/>
        <v/>
      </c>
      <c r="PB99" s="43" t="str">
        <f t="shared" si="362"/>
        <v/>
      </c>
      <c r="PC99" s="43" t="str">
        <f t="shared" si="363"/>
        <v/>
      </c>
      <c r="PD99" s="43" t="str">
        <f t="shared" si="364"/>
        <v/>
      </c>
      <c r="PE99" s="43" t="str">
        <f t="shared" si="365"/>
        <v/>
      </c>
      <c r="PF99" s="43" t="str">
        <f t="shared" si="366"/>
        <v/>
      </c>
      <c r="PG99" s="43" t="str">
        <f t="shared" si="367"/>
        <v/>
      </c>
      <c r="PH99" s="43" t="str">
        <f t="shared" si="368"/>
        <v/>
      </c>
      <c r="PI99" s="43">
        <f t="shared" si="369"/>
        <v>35</v>
      </c>
      <c r="PJ99" s="43" t="str">
        <f t="shared" si="370"/>
        <v/>
      </c>
      <c r="PK99" s="43" t="str">
        <f t="shared" si="371"/>
        <v/>
      </c>
      <c r="PL99" s="43" t="str">
        <f t="shared" si="372"/>
        <v/>
      </c>
      <c r="PM99" s="43" t="str">
        <f t="shared" si="373"/>
        <v/>
      </c>
      <c r="PN99" s="43" t="str">
        <f t="shared" si="374"/>
        <v/>
      </c>
      <c r="PO99" s="43" t="str">
        <f t="shared" si="375"/>
        <v/>
      </c>
      <c r="PP99" s="43" t="str">
        <f t="shared" si="376"/>
        <v/>
      </c>
      <c r="PQ99" s="43" t="str">
        <f t="shared" si="377"/>
        <v/>
      </c>
      <c r="PR99" s="43" t="str">
        <f t="shared" si="378"/>
        <v/>
      </c>
      <c r="PS99" s="43" t="str">
        <f t="shared" si="379"/>
        <v/>
      </c>
      <c r="PT99" s="43" t="str">
        <f t="shared" si="380"/>
        <v/>
      </c>
      <c r="PU99" s="43" t="str">
        <f t="shared" si="381"/>
        <v/>
      </c>
      <c r="PV99" s="43" t="str">
        <f t="shared" si="382"/>
        <v/>
      </c>
      <c r="PW99" s="43" t="str">
        <f t="shared" si="383"/>
        <v/>
      </c>
      <c r="PX99" s="43" t="str">
        <f t="shared" si="384"/>
        <v/>
      </c>
      <c r="PY99" s="43" t="str">
        <f t="shared" si="385"/>
        <v/>
      </c>
      <c r="PZ99" s="43" t="str">
        <f t="shared" si="386"/>
        <v/>
      </c>
      <c r="QA99" s="43" t="str">
        <f t="shared" si="387"/>
        <v/>
      </c>
      <c r="QB99" s="43" t="str">
        <f t="shared" si="388"/>
        <v/>
      </c>
      <c r="QC99" s="43" t="str">
        <f t="shared" si="389"/>
        <v/>
      </c>
      <c r="QD99" s="43" t="str">
        <f t="shared" si="390"/>
        <v/>
      </c>
      <c r="QE99" s="43" t="str">
        <f t="shared" si="391"/>
        <v/>
      </c>
      <c r="QF99" s="43" t="str">
        <f t="shared" si="392"/>
        <v/>
      </c>
      <c r="QG99" s="43" t="str">
        <f t="shared" si="393"/>
        <v/>
      </c>
      <c r="QH99" s="43" t="str">
        <f t="shared" si="394"/>
        <v/>
      </c>
      <c r="QI99" s="43" t="str">
        <f t="shared" si="395"/>
        <v/>
      </c>
      <c r="QJ99" s="43" t="str">
        <f t="shared" si="396"/>
        <v>BAJO PESO</v>
      </c>
      <c r="QK99" s="43" t="str">
        <f t="shared" si="397"/>
        <v/>
      </c>
      <c r="QL99" s="43" t="str">
        <f t="shared" si="398"/>
        <v/>
      </c>
      <c r="QM99" s="43" t="str">
        <f t="shared" si="399"/>
        <v/>
      </c>
      <c r="QN99" s="43" t="str">
        <f t="shared" si="400"/>
        <v/>
      </c>
      <c r="QO99" s="43" t="str">
        <f t="shared" si="401"/>
        <v/>
      </c>
      <c r="QP99" s="43" t="str">
        <f t="shared" si="402"/>
        <v/>
      </c>
      <c r="QQ99" s="43" t="str">
        <f t="shared" si="403"/>
        <v/>
      </c>
      <c r="QR99" s="43">
        <f t="shared" si="433"/>
        <v>35</v>
      </c>
      <c r="QS99" s="43"/>
      <c r="QT99" s="21" t="str">
        <f t="shared" si="404"/>
        <v/>
      </c>
      <c r="QU99" s="21" t="str">
        <f t="shared" si="405"/>
        <v/>
      </c>
      <c r="QV99" s="21" t="str">
        <f t="shared" si="406"/>
        <v/>
      </c>
      <c r="QW99" s="21" t="str">
        <f t="shared" si="407"/>
        <v/>
      </c>
      <c r="QX99" s="21" t="str">
        <f t="shared" si="408"/>
        <v/>
      </c>
      <c r="QY99" s="21" t="str">
        <f t="shared" si="409"/>
        <v/>
      </c>
      <c r="QZ99" s="21" t="str">
        <f t="shared" si="410"/>
        <v/>
      </c>
      <c r="RA99" s="21" t="str">
        <f t="shared" si="411"/>
        <v/>
      </c>
      <c r="RB99" s="21" t="str">
        <f t="shared" si="412"/>
        <v/>
      </c>
      <c r="RC99" s="21" t="str">
        <f t="shared" si="413"/>
        <v/>
      </c>
      <c r="RD99" s="21" t="str">
        <f t="shared" si="414"/>
        <v/>
      </c>
      <c r="RE99" s="21" t="str">
        <f t="shared" si="415"/>
        <v/>
      </c>
      <c r="RF99" s="21" t="str">
        <f t="shared" si="416"/>
        <v/>
      </c>
      <c r="RG99" s="21" t="str">
        <f t="shared" si="417"/>
        <v/>
      </c>
      <c r="RH99" s="21" t="str">
        <f t="shared" si="418"/>
        <v/>
      </c>
      <c r="RI99" s="21" t="str">
        <f t="shared" si="419"/>
        <v/>
      </c>
      <c r="RJ99" s="21" t="str">
        <f t="shared" si="420"/>
        <v/>
      </c>
      <c r="RK99" s="21" t="str">
        <f t="shared" si="421"/>
        <v/>
      </c>
      <c r="RL99" s="21" t="str">
        <f t="shared" si="422"/>
        <v/>
      </c>
      <c r="RM99" s="21" t="str">
        <f t="shared" si="423"/>
        <v/>
      </c>
      <c r="RN99" s="21" t="str">
        <f t="shared" si="424"/>
        <v/>
      </c>
      <c r="RO99" s="21" t="str">
        <f t="shared" si="425"/>
        <v/>
      </c>
      <c r="RP99" s="21" t="str">
        <f t="shared" si="426"/>
        <v>ADECUADO PARA EDAD GESTACIONAL</v>
      </c>
      <c r="RQ99" s="21" t="str">
        <f t="shared" si="427"/>
        <v/>
      </c>
      <c r="RR99" s="21" t="str">
        <f t="shared" si="428"/>
        <v/>
      </c>
      <c r="RS99" s="21" t="str">
        <f t="shared" si="429"/>
        <v/>
      </c>
      <c r="RT99" s="21" t="str">
        <f t="shared" si="430"/>
        <v/>
      </c>
      <c r="RU99" s="21" t="str">
        <f t="shared" si="431"/>
        <v/>
      </c>
      <c r="RV99" s="21">
        <f t="shared" si="432"/>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4"/>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19.076712328767123</v>
      </c>
      <c r="O100" s="22">
        <v>44971</v>
      </c>
      <c r="P100" s="214" t="str">
        <f t="shared" si="438"/>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7"/>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9"/>
        <v>CONCERTAR PLAN DE PARTO INMEDIATO</v>
      </c>
      <c r="DV100" s="226" t="str">
        <f t="shared" si="440"/>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1"/>
        <v>28.428571428571427</v>
      </c>
      <c r="EU100" s="25" t="str">
        <f t="shared" si="275"/>
        <v>NORMAL- SUMINISTRAR SULFATO FERROSO</v>
      </c>
      <c r="EV100" s="24" t="s">
        <v>866</v>
      </c>
      <c r="EW100" s="24">
        <v>44981</v>
      </c>
      <c r="EX100" s="22"/>
      <c r="EY100" s="29">
        <f t="shared" si="454"/>
        <v>8.7142857142857135</v>
      </c>
      <c r="EZ100" s="25" t="str">
        <f t="shared" ca="1" si="455"/>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2"/>
        <v>PIERDE TOMA DE TAMIZAJE</v>
      </c>
      <c r="FP100" s="22" t="s">
        <v>867</v>
      </c>
      <c r="FQ100" s="32">
        <v>45119</v>
      </c>
      <c r="FR100" s="29">
        <f t="shared" ca="1" si="443"/>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3"/>
        <v>8.7142857142857135</v>
      </c>
      <c r="GB100" s="22"/>
      <c r="GC100" s="22"/>
      <c r="GD100" s="29" t="str">
        <f t="shared" ca="1" si="444"/>
        <v>PIERDE TOMA DE TAMIZAJE</v>
      </c>
      <c r="GE100" s="22"/>
      <c r="GF100" s="22"/>
      <c r="GG100" s="29" t="str">
        <f t="shared" ca="1" si="445"/>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8"/>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t="str">
        <f t="shared" ca="1" si="289"/>
        <v>**********************MULTIPARIDAD*****************</v>
      </c>
      <c r="HK100" s="21" t="str">
        <f t="shared" si="290"/>
        <v>SIN ANTECEDENTES DE RIESGO</v>
      </c>
      <c r="HL100" s="24" t="str">
        <f t="shared" si="291"/>
        <v>APARENTEMENTE NORMAL</v>
      </c>
      <c r="HM100" s="21" t="e">
        <f t="shared" ca="1" si="292"/>
        <v>#REF!</v>
      </c>
      <c r="HN100" s="30" t="str">
        <f t="shared" si="446"/>
        <v>ACTIVA INGRESO A CPN</v>
      </c>
      <c r="HO100" s="21"/>
      <c r="HP100" s="21"/>
      <c r="HQ100" s="349"/>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3"/>
        <v>7.2857142857142856</v>
      </c>
      <c r="IA100" s="26"/>
      <c r="IB100" s="26"/>
      <c r="IC100" s="111"/>
      <c r="ID100" s="22"/>
      <c r="IE100" s="22" t="str">
        <f t="shared" ca="1" si="294"/>
        <v/>
      </c>
      <c r="IF100" s="22"/>
      <c r="IG100" s="22">
        <f t="shared" si="295"/>
        <v>45200</v>
      </c>
      <c r="IH100" s="29">
        <f t="shared" ca="1" si="296"/>
        <v>-32</v>
      </c>
      <c r="II100" s="22" t="str">
        <f t="shared" ca="1" si="297"/>
        <v>POSIBLEMENTE NACIO</v>
      </c>
      <c r="IJ100" s="22"/>
      <c r="IK100" s="21"/>
      <c r="IL100" s="21"/>
      <c r="IM100" s="34"/>
      <c r="IN100" s="22"/>
      <c r="IO100" s="21"/>
      <c r="IP100" s="29" t="str">
        <f t="shared" si="436"/>
        <v/>
      </c>
      <c r="IQ100" s="110"/>
      <c r="IR100" s="21"/>
      <c r="IS100" s="21"/>
      <c r="IT100" s="21"/>
      <c r="IU100" s="21"/>
      <c r="IV100" s="21"/>
      <c r="IW100" s="21"/>
      <c r="IX100" s="21"/>
      <c r="IY100" s="21"/>
      <c r="IZ100" s="21"/>
      <c r="JA100" s="21"/>
      <c r="JB100" s="30"/>
      <c r="JC100" s="21"/>
      <c r="JD100" s="36"/>
      <c r="JE100" s="21" t="str">
        <f t="shared" si="447"/>
        <v/>
      </c>
      <c r="JF100" s="30"/>
      <c r="JG100" s="21"/>
      <c r="JH100" s="21"/>
      <c r="JI100" s="21"/>
      <c r="JJ100" s="30"/>
      <c r="JK100" s="22"/>
      <c r="JL100" s="22"/>
      <c r="JM100" s="21"/>
      <c r="JN100" s="36"/>
      <c r="JO100" s="21" t="str">
        <f t="shared" si="448"/>
        <v/>
      </c>
      <c r="JP100" s="22"/>
      <c r="JQ100" s="21"/>
      <c r="JR100" s="21"/>
      <c r="JS100" s="21"/>
      <c r="JT100" s="30"/>
      <c r="JU100" s="22"/>
      <c r="JV100" s="22"/>
      <c r="JW100" s="33"/>
      <c r="JX100" s="28" t="str">
        <f t="shared" si="449"/>
        <v/>
      </c>
      <c r="JY100" s="33"/>
      <c r="JZ100" s="28" t="str">
        <f t="shared" si="450"/>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9"/>
        <v>0</v>
      </c>
      <c r="MI100" s="43" t="str">
        <f t="shared" si="460"/>
        <v/>
      </c>
      <c r="MJ100" s="43" t="str">
        <f t="shared" si="461"/>
        <v/>
      </c>
      <c r="MK100" s="43">
        <f t="shared" si="462"/>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3"/>
        <v>7.2857142857142856</v>
      </c>
      <c r="MN100" s="43">
        <f t="shared" si="464"/>
        <v>2</v>
      </c>
      <c r="MO100" s="43">
        <f t="shared" si="465"/>
        <v>2023</v>
      </c>
      <c r="MP100" s="43" t="str">
        <f t="shared" si="466"/>
        <v>I TRIMESTRE AÑO</v>
      </c>
      <c r="MQ100" s="43">
        <f t="shared" si="467"/>
        <v>18.082019272886551</v>
      </c>
      <c r="MR100" s="43">
        <f t="shared" si="468"/>
        <v>0</v>
      </c>
      <c r="MS100" s="43" t="str">
        <f t="shared" si="469"/>
        <v>DE 14 A 19AÑOS</v>
      </c>
      <c r="MT100" s="43">
        <f t="shared" si="470"/>
        <v>0</v>
      </c>
      <c r="MU100" s="43">
        <f t="shared" si="471"/>
        <v>1</v>
      </c>
      <c r="MV100" s="43">
        <f t="shared" si="472"/>
        <v>0</v>
      </c>
      <c r="MW100" s="43">
        <f t="shared" si="473"/>
        <v>0</v>
      </c>
      <c r="MX100" s="43" t="str">
        <f t="shared" si="474"/>
        <v/>
      </c>
      <c r="MY100" s="43" t="str">
        <f t="shared" ca="1" si="451"/>
        <v/>
      </c>
      <c r="MZ100" s="43" t="str">
        <f t="shared" si="475"/>
        <v/>
      </c>
      <c r="NA100" s="43" t="str">
        <f t="shared" si="476"/>
        <v/>
      </c>
      <c r="NB100" s="43" t="str">
        <f t="shared" si="477"/>
        <v/>
      </c>
      <c r="NC100" s="43" t="str">
        <f t="shared" si="478"/>
        <v/>
      </c>
      <c r="ND100" s="43">
        <f t="shared" ca="1" si="479"/>
        <v>1</v>
      </c>
      <c r="NE100" s="43">
        <f>IF(OR(O100&gt;0,R100&gt;0),SUM(COUNTIF(Tabla1[[#This Row],[AÑOS AL INICIO5 CPN]],"&gt;=40"),COUNTIF(AS100,"0"),COUNTIF(AR100,"SI"),COUNTIF(CC100,"SI"),COUNTIF(BQ100,"&gt;119"),COUNTIF(CI100,"&gt;=35")),"")</f>
        <v>1</v>
      </c>
      <c r="NF100" s="43" t="str">
        <f t="shared" si="480"/>
        <v/>
      </c>
      <c r="NG100" s="43">
        <f t="shared" si="481"/>
        <v>0</v>
      </c>
      <c r="NH100" s="43">
        <f t="shared" si="482"/>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3"/>
        <v>X</v>
      </c>
      <c r="NM100" s="43" t="str">
        <f t="shared" si="456"/>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4"/>
        <v>I TRIM</v>
      </c>
      <c r="NQ100" s="21" t="str">
        <f t="shared" si="437"/>
        <v/>
      </c>
      <c r="NR100" s="21" t="str">
        <f t="shared" ca="1" si="452"/>
        <v>REVISAR FUM O FECHA SALIDA PROGRAMA</v>
      </c>
      <c r="NS100" s="205">
        <f t="shared" ca="1" si="485"/>
        <v>2</v>
      </c>
      <c r="NT100" s="21">
        <f t="shared" ca="1" si="486"/>
        <v>1</v>
      </c>
      <c r="NU100" s="21" t="str">
        <f t="shared" ca="1" si="487"/>
        <v>POR DEFINIR</v>
      </c>
      <c r="NV100" s="21" t="str">
        <f t="shared" ca="1" si="488"/>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9"/>
        <v>SIN VACUNAR</v>
      </c>
      <c r="NY100" s="43">
        <f>ROW(Tabla1[[#This Row],['# DE TAMIZAJES SIFILIS TOMADOS ]])</f>
        <v>100</v>
      </c>
      <c r="NZ100" s="43" t="str">
        <f t="shared" si="334"/>
        <v>Menor</v>
      </c>
      <c r="OA100" s="43" t="str">
        <f t="shared" si="335"/>
        <v>NORMAL</v>
      </c>
      <c r="OB100" s="43" t="str">
        <f t="shared" si="336"/>
        <v/>
      </c>
      <c r="OC100" s="43" t="str">
        <f t="shared" si="337"/>
        <v/>
      </c>
      <c r="OD100" s="43" t="str">
        <f t="shared" si="338"/>
        <v/>
      </c>
      <c r="OE100" s="43" t="str">
        <f t="shared" si="339"/>
        <v/>
      </c>
      <c r="OF100" s="43" t="str">
        <f t="shared" si="340"/>
        <v/>
      </c>
      <c r="OG100" s="43" t="str">
        <f t="shared" si="341"/>
        <v/>
      </c>
      <c r="OH100" s="43" t="str">
        <f t="shared" si="342"/>
        <v/>
      </c>
      <c r="OI100" s="43" t="str">
        <f t="shared" si="343"/>
        <v/>
      </c>
      <c r="OJ100" s="43" t="str">
        <f t="shared" si="344"/>
        <v/>
      </c>
      <c r="OK100" s="43" t="str">
        <f t="shared" si="345"/>
        <v/>
      </c>
      <c r="OL100" s="43" t="str">
        <f t="shared" si="346"/>
        <v/>
      </c>
      <c r="OM100" s="43" t="str">
        <f t="shared" si="347"/>
        <v/>
      </c>
      <c r="ON100" s="43" t="str">
        <f t="shared" si="348"/>
        <v/>
      </c>
      <c r="OO100" s="43" t="str">
        <f t="shared" si="349"/>
        <v/>
      </c>
      <c r="OP100" s="43" t="str">
        <f t="shared" si="350"/>
        <v/>
      </c>
      <c r="OQ100" s="43" t="str">
        <f t="shared" si="351"/>
        <v/>
      </c>
      <c r="OR100" s="43" t="str">
        <f t="shared" si="352"/>
        <v/>
      </c>
      <c r="OS100" s="43" t="str">
        <f t="shared" si="353"/>
        <v/>
      </c>
      <c r="OT100" s="43" t="str">
        <f t="shared" si="354"/>
        <v/>
      </c>
      <c r="OU100" s="43" t="str">
        <f t="shared" si="355"/>
        <v/>
      </c>
      <c r="OV100" s="110" t="str">
        <f t="shared" si="356"/>
        <v/>
      </c>
      <c r="OW100" s="43" t="str">
        <f t="shared" si="357"/>
        <v/>
      </c>
      <c r="OX100" s="43" t="str">
        <f t="shared" si="358"/>
        <v/>
      </c>
      <c r="OY100" s="43" t="str">
        <f t="shared" si="359"/>
        <v/>
      </c>
      <c r="OZ100" s="43" t="str">
        <f t="shared" si="360"/>
        <v/>
      </c>
      <c r="PA100" s="43" t="str">
        <f t="shared" si="361"/>
        <v/>
      </c>
      <c r="PB100" s="43" t="str">
        <f t="shared" si="362"/>
        <v/>
      </c>
      <c r="PC100" s="43" t="str">
        <f t="shared" si="363"/>
        <v/>
      </c>
      <c r="PD100" s="43" t="str">
        <f t="shared" si="364"/>
        <v/>
      </c>
      <c r="PE100" s="43" t="str">
        <f t="shared" si="365"/>
        <v/>
      </c>
      <c r="PF100" s="43" t="str">
        <f t="shared" si="366"/>
        <v/>
      </c>
      <c r="PG100" s="43" t="str">
        <f t="shared" si="367"/>
        <v/>
      </c>
      <c r="PH100" s="43" t="str">
        <f t="shared" si="368"/>
        <v/>
      </c>
      <c r="PI100" s="43">
        <f t="shared" si="369"/>
        <v>29</v>
      </c>
      <c r="PJ100" s="43" t="str">
        <f t="shared" si="370"/>
        <v/>
      </c>
      <c r="PK100" s="43" t="str">
        <f t="shared" si="371"/>
        <v/>
      </c>
      <c r="PL100" s="43" t="str">
        <f t="shared" si="372"/>
        <v/>
      </c>
      <c r="PM100" s="43" t="str">
        <f t="shared" si="373"/>
        <v/>
      </c>
      <c r="PN100" s="43" t="str">
        <f t="shared" si="374"/>
        <v/>
      </c>
      <c r="PO100" s="43" t="str">
        <f t="shared" si="375"/>
        <v/>
      </c>
      <c r="PP100" s="43" t="str">
        <f t="shared" si="376"/>
        <v/>
      </c>
      <c r="PQ100" s="43" t="str">
        <f t="shared" si="377"/>
        <v/>
      </c>
      <c r="PR100" s="43" t="str">
        <f t="shared" si="378"/>
        <v/>
      </c>
      <c r="PS100" s="43" t="str">
        <f t="shared" si="379"/>
        <v/>
      </c>
      <c r="PT100" s="43" t="str">
        <f t="shared" si="380"/>
        <v/>
      </c>
      <c r="PU100" s="43" t="str">
        <f t="shared" si="381"/>
        <v/>
      </c>
      <c r="PV100" s="43" t="str">
        <f t="shared" si="382"/>
        <v/>
      </c>
      <c r="PW100" s="43" t="str">
        <f t="shared" si="383"/>
        <v/>
      </c>
      <c r="PX100" s="43" t="str">
        <f t="shared" si="384"/>
        <v/>
      </c>
      <c r="PY100" s="43" t="str">
        <f t="shared" si="385"/>
        <v/>
      </c>
      <c r="PZ100" s="43" t="str">
        <f t="shared" si="386"/>
        <v/>
      </c>
      <c r="QA100" s="43" t="str">
        <f t="shared" si="387"/>
        <v/>
      </c>
      <c r="QB100" s="43" t="str">
        <f t="shared" si="388"/>
        <v/>
      </c>
      <c r="QC100" s="43" t="str">
        <f t="shared" si="389"/>
        <v/>
      </c>
      <c r="QD100" s="43" t="str">
        <f t="shared" si="390"/>
        <v>SOBREPESO</v>
      </c>
      <c r="QE100" s="43" t="str">
        <f t="shared" si="391"/>
        <v/>
      </c>
      <c r="QF100" s="43" t="str">
        <f t="shared" si="392"/>
        <v/>
      </c>
      <c r="QG100" s="43" t="str">
        <f t="shared" si="393"/>
        <v/>
      </c>
      <c r="QH100" s="43" t="str">
        <f t="shared" si="394"/>
        <v/>
      </c>
      <c r="QI100" s="43" t="str">
        <f t="shared" si="395"/>
        <v/>
      </c>
      <c r="QJ100" s="43" t="str">
        <f t="shared" si="396"/>
        <v/>
      </c>
      <c r="QK100" s="43" t="str">
        <f t="shared" si="397"/>
        <v/>
      </c>
      <c r="QL100" s="43" t="str">
        <f t="shared" si="398"/>
        <v/>
      </c>
      <c r="QM100" s="43" t="str">
        <f t="shared" si="399"/>
        <v/>
      </c>
      <c r="QN100" s="43" t="str">
        <f t="shared" si="400"/>
        <v/>
      </c>
      <c r="QO100" s="43" t="str">
        <f t="shared" si="401"/>
        <v/>
      </c>
      <c r="QP100" s="43" t="str">
        <f t="shared" si="402"/>
        <v/>
      </c>
      <c r="QQ100" s="43" t="str">
        <f t="shared" si="403"/>
        <v/>
      </c>
      <c r="QR100" s="43">
        <f t="shared" si="433"/>
        <v>29</v>
      </c>
      <c r="QS100" s="43"/>
      <c r="QT100" s="21" t="str">
        <f t="shared" si="404"/>
        <v/>
      </c>
      <c r="QU100" s="21" t="str">
        <f t="shared" si="405"/>
        <v/>
      </c>
      <c r="QV100" s="21" t="str">
        <f t="shared" si="406"/>
        <v/>
      </c>
      <c r="QW100" s="21" t="str">
        <f t="shared" si="407"/>
        <v/>
      </c>
      <c r="QX100" s="21" t="str">
        <f t="shared" si="408"/>
        <v/>
      </c>
      <c r="QY100" s="21" t="str">
        <f t="shared" si="409"/>
        <v/>
      </c>
      <c r="QZ100" s="21" t="str">
        <f t="shared" si="410"/>
        <v/>
      </c>
      <c r="RA100" s="21" t="str">
        <f t="shared" si="411"/>
        <v/>
      </c>
      <c r="RB100" s="21" t="str">
        <f t="shared" si="412"/>
        <v/>
      </c>
      <c r="RC100" s="21" t="str">
        <f t="shared" si="413"/>
        <v/>
      </c>
      <c r="RD100" s="21" t="str">
        <f t="shared" si="414"/>
        <v/>
      </c>
      <c r="RE100" s="21" t="str">
        <f t="shared" si="415"/>
        <v/>
      </c>
      <c r="RF100" s="21" t="str">
        <f t="shared" si="416"/>
        <v/>
      </c>
      <c r="RG100" s="21" t="str">
        <f t="shared" si="417"/>
        <v/>
      </c>
      <c r="RH100" s="21" t="str">
        <f t="shared" si="418"/>
        <v/>
      </c>
      <c r="RI100" s="21" t="str">
        <f t="shared" si="419"/>
        <v/>
      </c>
      <c r="RJ100" s="21" t="str">
        <f t="shared" si="420"/>
        <v>ADECUADO PARA EDAD GESTACIONAL</v>
      </c>
      <c r="RK100" s="21" t="str">
        <f t="shared" si="421"/>
        <v/>
      </c>
      <c r="RL100" s="21" t="str">
        <f t="shared" si="422"/>
        <v/>
      </c>
      <c r="RM100" s="21" t="str">
        <f t="shared" si="423"/>
        <v/>
      </c>
      <c r="RN100" s="21" t="str">
        <f t="shared" si="424"/>
        <v/>
      </c>
      <c r="RO100" s="21" t="str">
        <f t="shared" si="425"/>
        <v/>
      </c>
      <c r="RP100" s="21" t="str">
        <f t="shared" si="426"/>
        <v/>
      </c>
      <c r="RQ100" s="21" t="str">
        <f t="shared" si="427"/>
        <v/>
      </c>
      <c r="RR100" s="21" t="str">
        <f t="shared" si="428"/>
        <v/>
      </c>
      <c r="RS100" s="21" t="str">
        <f t="shared" si="429"/>
        <v/>
      </c>
      <c r="RT100" s="21" t="str">
        <f t="shared" si="430"/>
        <v/>
      </c>
      <c r="RU100" s="21" t="str">
        <f t="shared" si="431"/>
        <v/>
      </c>
      <c r="RV100" s="21">
        <f t="shared" si="432"/>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4"/>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39.463013698630135</v>
      </c>
      <c r="O101" s="22">
        <v>44982</v>
      </c>
      <c r="P101" s="214" t="str">
        <f t="shared" si="438"/>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7"/>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9"/>
      <c r="DK101" s="22">
        <v>45154</v>
      </c>
      <c r="DL101" s="22"/>
      <c r="DM101" s="22"/>
      <c r="DN101" s="22"/>
      <c r="DO101" s="22"/>
      <c r="DP101" s="22"/>
      <c r="DQ101" s="22"/>
      <c r="DR101" s="28">
        <v>0</v>
      </c>
      <c r="DS101" s="22"/>
      <c r="DT101" s="22"/>
      <c r="DU101" s="216" t="str">
        <f t="shared" ca="1" si="439"/>
        <v>CONCERTAR PLAN DE PARTO INMEDIATO</v>
      </c>
      <c r="DV101" s="226" t="str">
        <f t="shared" si="440"/>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4">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1"/>
        <v>31.571428571428573</v>
      </c>
      <c r="EU101" s="25" t="str">
        <f t="shared" si="275"/>
        <v>NORMAL- SUMINISTRAR SULFATO FERROSO</v>
      </c>
      <c r="EV101" s="24" t="s">
        <v>1510</v>
      </c>
      <c r="EW101" s="24">
        <v>44989</v>
      </c>
      <c r="EX101" s="22"/>
      <c r="EY101" s="29">
        <f t="shared" si="454"/>
        <v>12.285714285714286</v>
      </c>
      <c r="EZ101" s="25" t="str">
        <f t="shared" si="455"/>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2"/>
        <v>PIERDE TOMA DE TAMIZAJE</v>
      </c>
      <c r="FP101" s="22" t="s">
        <v>867</v>
      </c>
      <c r="FQ101" s="32">
        <v>45097</v>
      </c>
      <c r="FR101" s="29">
        <f t="shared" ca="1" si="443"/>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3"/>
        <v>12.285714285714286</v>
      </c>
      <c r="GB101" s="22" t="s">
        <v>868</v>
      </c>
      <c r="GC101" s="22">
        <v>45097</v>
      </c>
      <c r="GD101" s="29" t="str">
        <f t="shared" ca="1" si="444"/>
        <v>REGISTRAR EN III TRIMESTRE</v>
      </c>
      <c r="GE101" s="22" t="s">
        <v>868</v>
      </c>
      <c r="GF101" s="22">
        <v>45097</v>
      </c>
      <c r="GG101" s="29">
        <f t="shared" ca="1" si="445"/>
        <v>27.714285714285715</v>
      </c>
      <c r="GH101" s="22"/>
      <c r="GI101" s="29"/>
      <c r="GJ101" s="22"/>
      <c r="GK101" s="22"/>
      <c r="GL101" s="22"/>
      <c r="GM101" s="22"/>
      <c r="GN101" s="28" t="s">
        <v>869</v>
      </c>
      <c r="GO101" s="22">
        <v>44989</v>
      </c>
      <c r="GP101" s="29">
        <f t="shared" si="283"/>
        <v>12.285714285714286</v>
      </c>
      <c r="GQ101" s="28" t="s">
        <v>869</v>
      </c>
      <c r="GR101" s="28" t="s">
        <v>869</v>
      </c>
      <c r="GS101" s="22" t="str">
        <f t="shared" si="458"/>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t="str">
        <f t="shared" ca="1" si="289"/>
        <v>************************RIESGO POR EDAD***************</v>
      </c>
      <c r="HK101" s="21" t="str">
        <f t="shared" si="290"/>
        <v>SIN ANTECEDENTES DE RIESGO</v>
      </c>
      <c r="HL101" s="24" t="str">
        <f t="shared" si="291"/>
        <v>VIGILAR CIFRAS PRESION ARTERIAL</v>
      </c>
      <c r="HM101" s="21" t="e">
        <f t="shared" ca="1" si="292"/>
        <v>#REF!</v>
      </c>
      <c r="HN101" s="30" t="str">
        <f t="shared" si="446"/>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3"/>
        <v>PENDIENTE CONSULTA</v>
      </c>
      <c r="IA101" s="26"/>
      <c r="IB101" s="26"/>
      <c r="IC101" s="111"/>
      <c r="ID101" s="22"/>
      <c r="IE101" s="22" t="str">
        <f t="shared" ca="1" si="294"/>
        <v/>
      </c>
      <c r="IF101" s="22"/>
      <c r="IG101" s="22">
        <f t="shared" si="295"/>
        <v>45183</v>
      </c>
      <c r="IH101" s="29">
        <f t="shared" ca="1" si="296"/>
        <v>-49</v>
      </c>
      <c r="II101" s="22" t="str">
        <f t="shared" ca="1" si="297"/>
        <v>POSIBLEMENTE NACIO</v>
      </c>
      <c r="IJ101" s="22"/>
      <c r="IK101" s="21"/>
      <c r="IL101" s="21"/>
      <c r="IM101" s="34"/>
      <c r="IN101" s="349"/>
      <c r="IO101" s="21"/>
      <c r="IP101" s="29" t="str">
        <f t="shared" si="436"/>
        <v/>
      </c>
      <c r="IQ101" s="110"/>
      <c r="IR101" s="21"/>
      <c r="IS101" s="21"/>
      <c r="IT101" s="21"/>
      <c r="IU101" s="21"/>
      <c r="IV101" s="21"/>
      <c r="IW101" s="21"/>
      <c r="IX101" s="21"/>
      <c r="IY101" s="21"/>
      <c r="IZ101" s="21"/>
      <c r="JA101" s="21"/>
      <c r="JB101" s="30"/>
      <c r="JC101" s="21"/>
      <c r="JD101" s="36"/>
      <c r="JE101" s="21" t="str">
        <f t="shared" si="447"/>
        <v/>
      </c>
      <c r="JF101" s="30"/>
      <c r="JG101" s="21"/>
      <c r="JH101" s="21"/>
      <c r="JI101" s="21"/>
      <c r="JJ101" s="30"/>
      <c r="JK101" s="22"/>
      <c r="JL101" s="22"/>
      <c r="JM101" s="21"/>
      <c r="JN101" s="36"/>
      <c r="JO101" s="21" t="str">
        <f t="shared" si="448"/>
        <v/>
      </c>
      <c r="JP101" s="22"/>
      <c r="JQ101" s="21"/>
      <c r="JR101" s="21"/>
      <c r="JS101" s="21"/>
      <c r="JT101" s="30"/>
      <c r="JU101" s="22"/>
      <c r="JV101" s="22"/>
      <c r="JW101" s="33"/>
      <c r="JX101" s="28" t="str">
        <f t="shared" si="449"/>
        <v/>
      </c>
      <c r="JY101" s="33"/>
      <c r="JZ101" s="28" t="str">
        <f t="shared" si="450"/>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9"/>
        <v>0</v>
      </c>
      <c r="MI101" s="43" t="str">
        <f t="shared" si="460"/>
        <v/>
      </c>
      <c r="MJ101" s="43" t="str">
        <f t="shared" si="461"/>
        <v/>
      </c>
      <c r="MK101" s="43">
        <f t="shared" si="462"/>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3"/>
        <v>11.285714285714286</v>
      </c>
      <c r="MN101" s="43">
        <f t="shared" si="464"/>
        <v>2</v>
      </c>
      <c r="MO101" s="43">
        <f t="shared" si="465"/>
        <v>2023</v>
      </c>
      <c r="MP101" s="43" t="str">
        <f t="shared" si="466"/>
        <v>I TRIMESTRE AÑO</v>
      </c>
      <c r="MQ101" s="43">
        <f t="shared" si="467"/>
        <v>38.187144108628992</v>
      </c>
      <c r="MR101" s="43">
        <f t="shared" si="468"/>
        <v>2</v>
      </c>
      <c r="MS101" s="43" t="str">
        <f t="shared" si="469"/>
        <v xml:space="preserve"> DE 35 A 39 AÑOS</v>
      </c>
      <c r="MT101" s="43">
        <f t="shared" si="470"/>
        <v>0</v>
      </c>
      <c r="MU101" s="43">
        <f t="shared" si="471"/>
        <v>0</v>
      </c>
      <c r="MV101" s="43">
        <f t="shared" si="472"/>
        <v>0</v>
      </c>
      <c r="MW101" s="43">
        <f t="shared" si="473"/>
        <v>0</v>
      </c>
      <c r="MX101" s="43" t="str">
        <f t="shared" si="474"/>
        <v/>
      </c>
      <c r="MY101" s="43" t="str">
        <f t="shared" ca="1" si="451"/>
        <v/>
      </c>
      <c r="MZ101" s="43" t="str">
        <f t="shared" si="475"/>
        <v/>
      </c>
      <c r="NA101" s="43" t="str">
        <f t="shared" si="476"/>
        <v/>
      </c>
      <c r="NB101" s="43" t="str">
        <f t="shared" si="477"/>
        <v/>
      </c>
      <c r="NC101" s="43" t="str">
        <f t="shared" si="478"/>
        <v/>
      </c>
      <c r="ND101" s="43">
        <f t="shared" ca="1" si="479"/>
        <v>2</v>
      </c>
      <c r="NE101" s="43">
        <f>IF(OR(O101&gt;0,R101&gt;0),SUM(COUNTIF(Tabla1[[#This Row],[AÑOS AL INICIO5 CPN]],"&gt;=40"),COUNTIF(AS101,"0"),COUNTIF(AR101,"SI"),COUNTIF(CC101,"SI"),COUNTIF(BQ101,"&gt;119"),COUNTIF(CI101,"&gt;=35")),"")</f>
        <v>0</v>
      </c>
      <c r="NF101" s="43" t="str">
        <f t="shared" si="480"/>
        <v/>
      </c>
      <c r="NG101" s="43">
        <f t="shared" si="481"/>
        <v>0</v>
      </c>
      <c r="NH101" s="43">
        <f t="shared" si="482"/>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3"/>
        <v>16</v>
      </c>
      <c r="NM101" s="43" t="str">
        <f t="shared" si="456"/>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4"/>
        <v>I TRIM</v>
      </c>
      <c r="NQ101" s="21">
        <f t="shared" si="437"/>
        <v>10</v>
      </c>
      <c r="NR101" s="21" t="str">
        <f t="shared" ca="1" si="452"/>
        <v>REVISAR FUM O FECHA SALIDA PROGRAMA</v>
      </c>
      <c r="NS101" s="205">
        <f t="shared" ca="1" si="485"/>
        <v>2</v>
      </c>
      <c r="NT101" s="21">
        <f t="shared" ca="1" si="486"/>
        <v>2</v>
      </c>
      <c r="NU101" s="21" t="str">
        <f t="shared" ca="1" si="487"/>
        <v>POR DEFINIR</v>
      </c>
      <c r="NV101" s="21" t="str">
        <f t="shared" ca="1" si="488"/>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9"/>
        <v>SIN VACUNAR</v>
      </c>
      <c r="NY101" s="43">
        <f>ROW(Tabla1[[#This Row],['# DE TAMIZAJES SIFILIS TOMADOS ]])</f>
        <v>101</v>
      </c>
      <c r="NZ101" s="43">
        <f t="shared" si="334"/>
        <v>11</v>
      </c>
      <c r="OA101" s="43" t="str">
        <f t="shared" si="335"/>
        <v/>
      </c>
      <c r="OB101" s="43" t="str">
        <f t="shared" si="336"/>
        <v/>
      </c>
      <c r="OC101" s="43" t="str">
        <f t="shared" si="337"/>
        <v>SOBREPESO</v>
      </c>
      <c r="OD101" s="43" t="str">
        <f t="shared" si="338"/>
        <v/>
      </c>
      <c r="OE101" s="43" t="str">
        <f t="shared" si="339"/>
        <v/>
      </c>
      <c r="OF101" s="43" t="str">
        <f t="shared" si="340"/>
        <v/>
      </c>
      <c r="OG101" s="43" t="str">
        <f t="shared" si="341"/>
        <v/>
      </c>
      <c r="OH101" s="43" t="str">
        <f t="shared" si="342"/>
        <v/>
      </c>
      <c r="OI101" s="43" t="str">
        <f t="shared" si="343"/>
        <v/>
      </c>
      <c r="OJ101" s="43" t="str">
        <f t="shared" si="344"/>
        <v/>
      </c>
      <c r="OK101" s="43" t="str">
        <f t="shared" si="345"/>
        <v/>
      </c>
      <c r="OL101" s="43" t="str">
        <f t="shared" si="346"/>
        <v/>
      </c>
      <c r="OM101" s="43" t="str">
        <f t="shared" si="347"/>
        <v/>
      </c>
      <c r="ON101" s="43" t="str">
        <f t="shared" si="348"/>
        <v/>
      </c>
      <c r="OO101" s="43" t="str">
        <f t="shared" si="349"/>
        <v/>
      </c>
      <c r="OP101" s="43" t="str">
        <f t="shared" si="350"/>
        <v/>
      </c>
      <c r="OQ101" s="43" t="str">
        <f t="shared" si="351"/>
        <v/>
      </c>
      <c r="OR101" s="43" t="str">
        <f t="shared" si="352"/>
        <v/>
      </c>
      <c r="OS101" s="43" t="str">
        <f t="shared" si="353"/>
        <v/>
      </c>
      <c r="OT101" s="43" t="str">
        <f t="shared" si="354"/>
        <v/>
      </c>
      <c r="OU101" s="43" t="str">
        <f t="shared" si="355"/>
        <v/>
      </c>
      <c r="OV101" s="110" t="str">
        <f t="shared" si="356"/>
        <v/>
      </c>
      <c r="OW101" s="43" t="str">
        <f t="shared" si="357"/>
        <v/>
      </c>
      <c r="OX101" s="43" t="str">
        <f t="shared" si="358"/>
        <v/>
      </c>
      <c r="OY101" s="43" t="str">
        <f t="shared" si="359"/>
        <v/>
      </c>
      <c r="OZ101" s="43" t="str">
        <f t="shared" si="360"/>
        <v/>
      </c>
      <c r="PA101" s="43" t="str">
        <f t="shared" si="361"/>
        <v/>
      </c>
      <c r="PB101" s="43" t="str">
        <f t="shared" si="362"/>
        <v/>
      </c>
      <c r="PC101" s="43" t="str">
        <f t="shared" si="363"/>
        <v/>
      </c>
      <c r="PD101" s="43" t="str">
        <f t="shared" si="364"/>
        <v/>
      </c>
      <c r="PE101" s="43" t="str">
        <f t="shared" si="365"/>
        <v/>
      </c>
      <c r="PF101" s="43" t="str">
        <f t="shared" si="366"/>
        <v/>
      </c>
      <c r="PG101" s="43" t="str">
        <f t="shared" si="367"/>
        <v/>
      </c>
      <c r="PH101" s="43" t="str">
        <f t="shared" si="368"/>
        <v/>
      </c>
      <c r="PI101" s="43">
        <f t="shared" si="369"/>
        <v>35</v>
      </c>
      <c r="PJ101" s="43" t="str">
        <f t="shared" si="370"/>
        <v/>
      </c>
      <c r="PK101" s="43" t="str">
        <f t="shared" si="371"/>
        <v/>
      </c>
      <c r="PL101" s="43" t="str">
        <f t="shared" si="372"/>
        <v/>
      </c>
      <c r="PM101" s="43" t="str">
        <f t="shared" si="373"/>
        <v/>
      </c>
      <c r="PN101" s="43" t="str">
        <f t="shared" si="374"/>
        <v/>
      </c>
      <c r="PO101" s="43" t="str">
        <f t="shared" si="375"/>
        <v/>
      </c>
      <c r="PP101" s="43" t="str">
        <f t="shared" si="376"/>
        <v/>
      </c>
      <c r="PQ101" s="43" t="str">
        <f t="shared" si="377"/>
        <v/>
      </c>
      <c r="PR101" s="43" t="str">
        <f t="shared" si="378"/>
        <v/>
      </c>
      <c r="PS101" s="43" t="str">
        <f t="shared" si="379"/>
        <v/>
      </c>
      <c r="PT101" s="43" t="str">
        <f t="shared" si="380"/>
        <v/>
      </c>
      <c r="PU101" s="43" t="str">
        <f t="shared" si="381"/>
        <v/>
      </c>
      <c r="PV101" s="43" t="str">
        <f t="shared" si="382"/>
        <v/>
      </c>
      <c r="PW101" s="43" t="str">
        <f t="shared" si="383"/>
        <v/>
      </c>
      <c r="PX101" s="43" t="str">
        <f t="shared" si="384"/>
        <v/>
      </c>
      <c r="PY101" s="43" t="str">
        <f t="shared" si="385"/>
        <v/>
      </c>
      <c r="PZ101" s="43" t="str">
        <f t="shared" si="386"/>
        <v/>
      </c>
      <c r="QA101" s="43" t="str">
        <f t="shared" si="387"/>
        <v/>
      </c>
      <c r="QB101" s="43" t="str">
        <f t="shared" si="388"/>
        <v/>
      </c>
      <c r="QC101" s="43" t="str">
        <f t="shared" si="389"/>
        <v/>
      </c>
      <c r="QD101" s="43" t="str">
        <f t="shared" si="390"/>
        <v/>
      </c>
      <c r="QE101" s="43" t="str">
        <f t="shared" si="391"/>
        <v/>
      </c>
      <c r="QF101" s="43" t="str">
        <f t="shared" si="392"/>
        <v/>
      </c>
      <c r="QG101" s="43" t="str">
        <f t="shared" si="393"/>
        <v/>
      </c>
      <c r="QH101" s="43" t="str">
        <f t="shared" si="394"/>
        <v/>
      </c>
      <c r="QI101" s="43" t="str">
        <f t="shared" si="395"/>
        <v/>
      </c>
      <c r="QJ101" s="43" t="str">
        <f t="shared" si="396"/>
        <v>NORMAL</v>
      </c>
      <c r="QK101" s="43" t="str">
        <f t="shared" si="397"/>
        <v/>
      </c>
      <c r="QL101" s="43" t="str">
        <f t="shared" si="398"/>
        <v/>
      </c>
      <c r="QM101" s="43" t="str">
        <f t="shared" si="399"/>
        <v/>
      </c>
      <c r="QN101" s="43" t="str">
        <f t="shared" si="400"/>
        <v/>
      </c>
      <c r="QO101" s="43" t="str">
        <f t="shared" si="401"/>
        <v/>
      </c>
      <c r="QP101" s="43" t="str">
        <f t="shared" si="402"/>
        <v/>
      </c>
      <c r="QQ101" s="43" t="str">
        <f t="shared" si="403"/>
        <v/>
      </c>
      <c r="QR101" s="43">
        <f t="shared" si="433"/>
        <v>35</v>
      </c>
      <c r="QS101" s="43"/>
      <c r="QT101" s="21" t="str">
        <f t="shared" si="404"/>
        <v/>
      </c>
      <c r="QU101" s="21" t="str">
        <f t="shared" si="405"/>
        <v/>
      </c>
      <c r="QV101" s="21" t="str">
        <f t="shared" si="406"/>
        <v/>
      </c>
      <c r="QW101" s="21" t="str">
        <f t="shared" si="407"/>
        <v/>
      </c>
      <c r="QX101" s="21" t="str">
        <f t="shared" si="408"/>
        <v/>
      </c>
      <c r="QY101" s="21" t="str">
        <f t="shared" si="409"/>
        <v/>
      </c>
      <c r="QZ101" s="21" t="str">
        <f t="shared" si="410"/>
        <v/>
      </c>
      <c r="RA101" s="21" t="str">
        <f t="shared" si="411"/>
        <v/>
      </c>
      <c r="RB101" s="21" t="str">
        <f t="shared" si="412"/>
        <v/>
      </c>
      <c r="RC101" s="21" t="str">
        <f t="shared" si="413"/>
        <v/>
      </c>
      <c r="RD101" s="21" t="str">
        <f t="shared" si="414"/>
        <v/>
      </c>
      <c r="RE101" s="21" t="str">
        <f t="shared" si="415"/>
        <v/>
      </c>
      <c r="RF101" s="21" t="str">
        <f t="shared" si="416"/>
        <v/>
      </c>
      <c r="RG101" s="21" t="str">
        <f t="shared" si="417"/>
        <v/>
      </c>
      <c r="RH101" s="21" t="str">
        <f t="shared" si="418"/>
        <v/>
      </c>
      <c r="RI101" s="21" t="str">
        <f t="shared" si="419"/>
        <v/>
      </c>
      <c r="RJ101" s="21" t="str">
        <f t="shared" si="420"/>
        <v/>
      </c>
      <c r="RK101" s="21" t="str">
        <f t="shared" si="421"/>
        <v/>
      </c>
      <c r="RL101" s="21" t="str">
        <f t="shared" si="422"/>
        <v/>
      </c>
      <c r="RM101" s="21" t="str">
        <f t="shared" si="423"/>
        <v/>
      </c>
      <c r="RN101" s="21" t="str">
        <f t="shared" si="424"/>
        <v/>
      </c>
      <c r="RO101" s="21" t="str">
        <f t="shared" si="425"/>
        <v/>
      </c>
      <c r="RP101" s="21" t="str">
        <f t="shared" si="426"/>
        <v>ADECUADO PARA EDAD GESTACIONAL</v>
      </c>
      <c r="RQ101" s="21" t="str">
        <f t="shared" si="427"/>
        <v/>
      </c>
      <c r="RR101" s="21" t="str">
        <f t="shared" si="428"/>
        <v/>
      </c>
      <c r="RS101" s="21" t="str">
        <f t="shared" si="429"/>
        <v/>
      </c>
      <c r="RT101" s="21" t="str">
        <f t="shared" si="430"/>
        <v/>
      </c>
      <c r="RU101" s="21" t="str">
        <f t="shared" si="431"/>
        <v/>
      </c>
      <c r="RV101" s="21">
        <f t="shared" si="432"/>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4"/>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23.876712328767123</v>
      </c>
      <c r="O102" s="22">
        <v>44973</v>
      </c>
      <c r="P102" s="214" t="str">
        <f t="shared" si="438"/>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7"/>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9"/>
        <v>SALE PROGRAMA ANTES SEMANA 35</v>
      </c>
      <c r="DV102" s="226" t="str">
        <f t="shared" si="440"/>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1"/>
        <v>SALE SIN TAMIZAJE HEMOGLOBINA SEM 28</v>
      </c>
      <c r="EU102" s="25" t="str">
        <f t="shared" si="275"/>
        <v/>
      </c>
      <c r="EV102" s="24" t="s">
        <v>866</v>
      </c>
      <c r="EW102" s="24">
        <v>44970</v>
      </c>
      <c r="EX102" s="22"/>
      <c r="EY102" s="29">
        <f t="shared" si="454"/>
        <v>9.8571428571428577</v>
      </c>
      <c r="EZ102" s="25" t="str">
        <f t="shared" ca="1" si="455"/>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2"/>
        <v>21.428571428571427</v>
      </c>
      <c r="FP102" s="22"/>
      <c r="FQ102" s="32"/>
      <c r="FR102" s="29" t="str">
        <f t="shared" ca="1" si="443"/>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3"/>
        <v>PIERDE TOMA DE TAMIZAJE</v>
      </c>
      <c r="GB102" s="22" t="s">
        <v>868</v>
      </c>
      <c r="GC102" s="22">
        <v>45051</v>
      </c>
      <c r="GD102" s="29">
        <f t="shared" ca="1" si="444"/>
        <v>21.428571428571427</v>
      </c>
      <c r="GE102" s="22"/>
      <c r="GF102" s="22"/>
      <c r="GG102" s="29" t="str">
        <f t="shared" ca="1" si="445"/>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8"/>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t="str">
        <f t="shared" ca="1" si="289"/>
        <v>*****************DIABETES GESTACIONAL**********************</v>
      </c>
      <c r="HK102" s="21" t="str">
        <f t="shared" si="290"/>
        <v>SIN ANTECEDENTES DE RIESGO</v>
      </c>
      <c r="HL102" s="24" t="str">
        <f t="shared" si="291"/>
        <v>APARENTEMENTE NORMAL</v>
      </c>
      <c r="HM102" s="21" t="str">
        <f t="shared" ca="1" si="292"/>
        <v/>
      </c>
      <c r="HN102" s="30" t="str">
        <f t="shared" si="446"/>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3"/>
        <v>10.285714285714286</v>
      </c>
      <c r="IA102" s="26"/>
      <c r="IB102" s="26"/>
      <c r="IC102" s="111"/>
      <c r="ID102" s="22">
        <v>45016</v>
      </c>
      <c r="IE102" s="22" t="str">
        <f t="shared" ca="1" si="294"/>
        <v>VACUNA APLICADA ANTES SEMANA 20</v>
      </c>
      <c r="IF102" s="22"/>
      <c r="IG102" s="22">
        <f t="shared" si="295"/>
        <v>45181</v>
      </c>
      <c r="IH102" s="29">
        <f t="shared" ca="1" si="296"/>
        <v>-51</v>
      </c>
      <c r="II102" s="22" t="str">
        <f t="shared" ca="1" si="297"/>
        <v>POSIBLEMENTE NACIO</v>
      </c>
      <c r="IJ102" s="22"/>
      <c r="IK102" s="21" t="s">
        <v>898</v>
      </c>
      <c r="IL102" s="21"/>
      <c r="IM102" s="34"/>
      <c r="IN102" s="349">
        <v>45126</v>
      </c>
      <c r="IO102" s="21" t="s">
        <v>1640</v>
      </c>
      <c r="IP102" s="29">
        <f t="shared" si="436"/>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7"/>
        <v>ERROR VERIFICAR DATO EDAD GESTACIONAL VS PESO</v>
      </c>
      <c r="JF102" s="30"/>
      <c r="JG102" s="21"/>
      <c r="JH102" s="21"/>
      <c r="JI102" s="21"/>
      <c r="JJ102" s="30"/>
      <c r="JK102" s="22"/>
      <c r="JL102" s="22"/>
      <c r="JM102" s="21"/>
      <c r="JN102" s="36"/>
      <c r="JO102" s="21" t="str">
        <f t="shared" si="448"/>
        <v/>
      </c>
      <c r="JP102" s="22"/>
      <c r="JQ102" s="21"/>
      <c r="JR102" s="21"/>
      <c r="JS102" s="21"/>
      <c r="JT102" s="30"/>
      <c r="JU102" s="22"/>
      <c r="JV102" s="22"/>
      <c r="JW102" s="33"/>
      <c r="JX102" s="28" t="str">
        <f t="shared" si="449"/>
        <v>INASISTENTE</v>
      </c>
      <c r="JY102" s="33"/>
      <c r="JZ102" s="28" t="str">
        <f t="shared" si="450"/>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9"/>
        <v>0</v>
      </c>
      <c r="MI102" s="43" t="str">
        <f t="shared" si="460"/>
        <v/>
      </c>
      <c r="MJ102" s="43" t="str">
        <f t="shared" si="461"/>
        <v/>
      </c>
      <c r="MK102" s="43">
        <f t="shared" si="462"/>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3"/>
        <v>10.285714285714286</v>
      </c>
      <c r="MN102" s="43">
        <f t="shared" si="464"/>
        <v>2</v>
      </c>
      <c r="MO102" s="43">
        <f t="shared" si="465"/>
        <v>2023</v>
      </c>
      <c r="MP102" s="43" t="str">
        <f t="shared" si="466"/>
        <v>I TRIMESTRE AÑO</v>
      </c>
      <c r="MQ102" s="43">
        <f t="shared" si="467"/>
        <v>22.812636881296541</v>
      </c>
      <c r="MR102" s="43">
        <f t="shared" si="468"/>
        <v>0</v>
      </c>
      <c r="MS102" s="43" t="str">
        <f t="shared" si="469"/>
        <v xml:space="preserve"> DE 20 A 24 AÑOS</v>
      </c>
      <c r="MT102" s="43">
        <f t="shared" si="470"/>
        <v>0</v>
      </c>
      <c r="MU102" s="43">
        <f t="shared" si="471"/>
        <v>0</v>
      </c>
      <c r="MV102" s="43">
        <f t="shared" si="472"/>
        <v>0</v>
      </c>
      <c r="MW102" s="43">
        <f t="shared" si="473"/>
        <v>0</v>
      </c>
      <c r="MX102" s="43" t="str">
        <f t="shared" si="474"/>
        <v/>
      </c>
      <c r="MY102" s="43" t="str">
        <f t="shared" ca="1" si="451"/>
        <v/>
      </c>
      <c r="MZ102" s="43" t="str">
        <f t="shared" si="475"/>
        <v/>
      </c>
      <c r="NA102" s="43">
        <f t="shared" si="476"/>
        <v>0</v>
      </c>
      <c r="NB102" s="43" t="str">
        <f t="shared" si="477"/>
        <v/>
      </c>
      <c r="NC102" s="43" t="str">
        <f t="shared" si="478"/>
        <v/>
      </c>
      <c r="ND102" s="43">
        <f t="shared" ca="1" si="479"/>
        <v>2</v>
      </c>
      <c r="NE102" s="43">
        <f>IF(OR(O102&gt;0,R102&gt;0),SUM(COUNTIF(Tabla1[[#This Row],[AÑOS AL INICIO5 CPN]],"&gt;=40"),COUNTIF(AS102,"0"),COUNTIF(AR102,"SI"),COUNTIF(CC102,"SI"),COUNTIF(BQ102,"&gt;119"),COUNTIF(CI102,"&gt;=35")),"")</f>
        <v>0</v>
      </c>
      <c r="NF102" s="43">
        <f t="shared" si="480"/>
        <v>16.428571428571427</v>
      </c>
      <c r="NG102" s="43">
        <f t="shared" si="481"/>
        <v>0</v>
      </c>
      <c r="NH102" s="43">
        <f t="shared" si="482"/>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3"/>
        <v>20</v>
      </c>
      <c r="NM102" s="43" t="str">
        <f t="shared" si="456"/>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4"/>
        <v>I TRIM</v>
      </c>
      <c r="NQ102" s="21" t="str">
        <f t="shared" si="437"/>
        <v/>
      </c>
      <c r="NR102" s="21">
        <f t="shared" si="452"/>
        <v>3</v>
      </c>
      <c r="NS102" s="205">
        <f t="shared" ca="1" si="485"/>
        <v>2</v>
      </c>
      <c r="NT102" s="21">
        <f t="shared" ca="1" si="486"/>
        <v>1</v>
      </c>
      <c r="NU102" s="21" t="str">
        <f t="shared" ca="1" si="487"/>
        <v>INCOMPLETO</v>
      </c>
      <c r="NV102" s="21" t="str">
        <f t="shared" ca="1" si="488"/>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9"/>
        <v>VACUNADA</v>
      </c>
      <c r="NY102" s="43">
        <f>ROW(Tabla1[[#This Row],['# DE TAMIZAJES SIFILIS TOMADOS ]])</f>
        <v>102</v>
      </c>
      <c r="NZ102" s="43">
        <f t="shared" si="334"/>
        <v>10</v>
      </c>
      <c r="OA102" s="43" t="str">
        <f t="shared" si="335"/>
        <v/>
      </c>
      <c r="OB102" s="43" t="str">
        <f t="shared" si="336"/>
        <v>NORMAL</v>
      </c>
      <c r="OC102" s="43" t="str">
        <f t="shared" si="337"/>
        <v/>
      </c>
      <c r="OD102" s="43" t="str">
        <f t="shared" si="338"/>
        <v/>
      </c>
      <c r="OE102" s="43" t="str">
        <f t="shared" si="339"/>
        <v/>
      </c>
      <c r="OF102" s="43" t="str">
        <f t="shared" si="340"/>
        <v/>
      </c>
      <c r="OG102" s="43" t="str">
        <f t="shared" si="341"/>
        <v/>
      </c>
      <c r="OH102" s="43" t="str">
        <f t="shared" si="342"/>
        <v/>
      </c>
      <c r="OI102" s="43" t="str">
        <f t="shared" si="343"/>
        <v/>
      </c>
      <c r="OJ102" s="43" t="str">
        <f t="shared" si="344"/>
        <v/>
      </c>
      <c r="OK102" s="43" t="str">
        <f t="shared" si="345"/>
        <v/>
      </c>
      <c r="OL102" s="43" t="str">
        <f t="shared" si="346"/>
        <v/>
      </c>
      <c r="OM102" s="43" t="str">
        <f t="shared" si="347"/>
        <v/>
      </c>
      <c r="ON102" s="43" t="str">
        <f t="shared" si="348"/>
        <v/>
      </c>
      <c r="OO102" s="43" t="str">
        <f t="shared" si="349"/>
        <v/>
      </c>
      <c r="OP102" s="43" t="str">
        <f t="shared" si="350"/>
        <v/>
      </c>
      <c r="OQ102" s="43" t="str">
        <f t="shared" si="351"/>
        <v/>
      </c>
      <c r="OR102" s="43" t="str">
        <f t="shared" si="352"/>
        <v/>
      </c>
      <c r="OS102" s="43" t="str">
        <f t="shared" si="353"/>
        <v/>
      </c>
      <c r="OT102" s="43" t="str">
        <f t="shared" si="354"/>
        <v/>
      </c>
      <c r="OU102" s="43" t="str">
        <f t="shared" si="355"/>
        <v/>
      </c>
      <c r="OV102" s="110" t="str">
        <f t="shared" si="356"/>
        <v/>
      </c>
      <c r="OW102" s="43" t="str">
        <f t="shared" si="357"/>
        <v/>
      </c>
      <c r="OX102" s="43" t="str">
        <f t="shared" si="358"/>
        <v/>
      </c>
      <c r="OY102" s="43" t="str">
        <f t="shared" si="359"/>
        <v/>
      </c>
      <c r="OZ102" s="43" t="str">
        <f t="shared" si="360"/>
        <v/>
      </c>
      <c r="PA102" s="43" t="str">
        <f t="shared" si="361"/>
        <v/>
      </c>
      <c r="PB102" s="43" t="str">
        <f t="shared" si="362"/>
        <v/>
      </c>
      <c r="PC102" s="43" t="str">
        <f t="shared" si="363"/>
        <v/>
      </c>
      <c r="PD102" s="43" t="str">
        <f t="shared" si="364"/>
        <v/>
      </c>
      <c r="PE102" s="43" t="str">
        <f t="shared" si="365"/>
        <v/>
      </c>
      <c r="PF102" s="43" t="str">
        <f t="shared" si="366"/>
        <v/>
      </c>
      <c r="PG102" s="43" t="str">
        <f t="shared" si="367"/>
        <v/>
      </c>
      <c r="PH102" s="43" t="str">
        <f t="shared" si="368"/>
        <v/>
      </c>
      <c r="PI102" s="43">
        <f t="shared" si="369"/>
        <v>30</v>
      </c>
      <c r="PJ102" s="43" t="str">
        <f t="shared" si="370"/>
        <v/>
      </c>
      <c r="PK102" s="43" t="str">
        <f t="shared" si="371"/>
        <v/>
      </c>
      <c r="PL102" s="43" t="str">
        <f t="shared" si="372"/>
        <v/>
      </c>
      <c r="PM102" s="43" t="str">
        <f t="shared" si="373"/>
        <v/>
      </c>
      <c r="PN102" s="43" t="str">
        <f t="shared" si="374"/>
        <v/>
      </c>
      <c r="PO102" s="43" t="str">
        <f t="shared" si="375"/>
        <v/>
      </c>
      <c r="PP102" s="43" t="str">
        <f t="shared" si="376"/>
        <v/>
      </c>
      <c r="PQ102" s="43" t="str">
        <f t="shared" si="377"/>
        <v/>
      </c>
      <c r="PR102" s="43" t="str">
        <f t="shared" si="378"/>
        <v/>
      </c>
      <c r="PS102" s="43" t="str">
        <f t="shared" si="379"/>
        <v/>
      </c>
      <c r="PT102" s="43" t="str">
        <f t="shared" si="380"/>
        <v/>
      </c>
      <c r="PU102" s="43" t="str">
        <f t="shared" si="381"/>
        <v/>
      </c>
      <c r="PV102" s="43" t="str">
        <f t="shared" si="382"/>
        <v/>
      </c>
      <c r="PW102" s="43" t="str">
        <f t="shared" si="383"/>
        <v/>
      </c>
      <c r="PX102" s="43" t="str">
        <f t="shared" si="384"/>
        <v/>
      </c>
      <c r="PY102" s="43" t="str">
        <f t="shared" si="385"/>
        <v/>
      </c>
      <c r="PZ102" s="43" t="str">
        <f t="shared" si="386"/>
        <v/>
      </c>
      <c r="QA102" s="43" t="str">
        <f t="shared" si="387"/>
        <v/>
      </c>
      <c r="QB102" s="43" t="str">
        <f t="shared" si="388"/>
        <v/>
      </c>
      <c r="QC102" s="43" t="str">
        <f t="shared" si="389"/>
        <v/>
      </c>
      <c r="QD102" s="43" t="str">
        <f t="shared" si="390"/>
        <v/>
      </c>
      <c r="QE102" s="43" t="str">
        <f t="shared" si="391"/>
        <v>SOBREPESO</v>
      </c>
      <c r="QF102" s="43" t="str">
        <f t="shared" si="392"/>
        <v/>
      </c>
      <c r="QG102" s="43" t="str">
        <f t="shared" si="393"/>
        <v/>
      </c>
      <c r="QH102" s="43" t="str">
        <f t="shared" si="394"/>
        <v/>
      </c>
      <c r="QI102" s="43" t="str">
        <f t="shared" si="395"/>
        <v/>
      </c>
      <c r="QJ102" s="43" t="str">
        <f t="shared" si="396"/>
        <v/>
      </c>
      <c r="QK102" s="43" t="str">
        <f t="shared" si="397"/>
        <v/>
      </c>
      <c r="QL102" s="43" t="str">
        <f t="shared" si="398"/>
        <v/>
      </c>
      <c r="QM102" s="43" t="str">
        <f t="shared" si="399"/>
        <v/>
      </c>
      <c r="QN102" s="43" t="str">
        <f t="shared" si="400"/>
        <v/>
      </c>
      <c r="QO102" s="43" t="str">
        <f t="shared" si="401"/>
        <v/>
      </c>
      <c r="QP102" s="43" t="str">
        <f t="shared" si="402"/>
        <v/>
      </c>
      <c r="QQ102" s="43" t="str">
        <f t="shared" si="403"/>
        <v/>
      </c>
      <c r="QR102" s="43">
        <f t="shared" si="433"/>
        <v>30</v>
      </c>
      <c r="QS102" s="43"/>
      <c r="QT102" s="21" t="str">
        <f t="shared" si="404"/>
        <v/>
      </c>
      <c r="QU102" s="21" t="str">
        <f t="shared" si="405"/>
        <v/>
      </c>
      <c r="QV102" s="21" t="str">
        <f t="shared" si="406"/>
        <v/>
      </c>
      <c r="QW102" s="21" t="str">
        <f t="shared" si="407"/>
        <v/>
      </c>
      <c r="QX102" s="21" t="str">
        <f t="shared" si="408"/>
        <v/>
      </c>
      <c r="QY102" s="21" t="str">
        <f t="shared" si="409"/>
        <v/>
      </c>
      <c r="QZ102" s="21" t="str">
        <f t="shared" si="410"/>
        <v/>
      </c>
      <c r="RA102" s="21" t="str">
        <f t="shared" si="411"/>
        <v/>
      </c>
      <c r="RB102" s="21" t="str">
        <f t="shared" si="412"/>
        <v/>
      </c>
      <c r="RC102" s="21" t="str">
        <f t="shared" si="413"/>
        <v/>
      </c>
      <c r="RD102" s="21" t="str">
        <f t="shared" si="414"/>
        <v/>
      </c>
      <c r="RE102" s="21" t="str">
        <f t="shared" si="415"/>
        <v/>
      </c>
      <c r="RF102" s="21" t="str">
        <f t="shared" si="416"/>
        <v/>
      </c>
      <c r="RG102" s="21" t="str">
        <f t="shared" si="417"/>
        <v/>
      </c>
      <c r="RH102" s="21" t="str">
        <f t="shared" si="418"/>
        <v/>
      </c>
      <c r="RI102" s="21" t="str">
        <f t="shared" si="419"/>
        <v/>
      </c>
      <c r="RJ102" s="21" t="str">
        <f t="shared" si="420"/>
        <v/>
      </c>
      <c r="RK102" s="21" t="str">
        <f t="shared" si="421"/>
        <v>ALTO PARA EDAD GESTACIONAL</v>
      </c>
      <c r="RL102" s="21" t="str">
        <f t="shared" si="422"/>
        <v/>
      </c>
      <c r="RM102" s="21" t="str">
        <f t="shared" si="423"/>
        <v/>
      </c>
      <c r="RN102" s="21" t="str">
        <f t="shared" si="424"/>
        <v/>
      </c>
      <c r="RO102" s="21" t="str">
        <f t="shared" si="425"/>
        <v/>
      </c>
      <c r="RP102" s="21" t="str">
        <f t="shared" si="426"/>
        <v/>
      </c>
      <c r="RQ102" s="21" t="str">
        <f t="shared" si="427"/>
        <v/>
      </c>
      <c r="RR102" s="21" t="str">
        <f t="shared" si="428"/>
        <v/>
      </c>
      <c r="RS102" s="21" t="str">
        <f t="shared" si="429"/>
        <v/>
      </c>
      <c r="RT102" s="21" t="str">
        <f t="shared" si="430"/>
        <v/>
      </c>
      <c r="RU102" s="21" t="str">
        <f t="shared" si="431"/>
        <v/>
      </c>
      <c r="RV102" s="21">
        <f t="shared" si="432"/>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4"/>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26.950684931506849</v>
      </c>
      <c r="O103" s="22">
        <v>44973</v>
      </c>
      <c r="P103" s="214" t="str">
        <f t="shared" si="438"/>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7"/>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9"/>
        <v>CONCERTAR PLAN DE PARTO INMEDIATO</v>
      </c>
      <c r="DV103" s="226" t="str">
        <f t="shared" si="440"/>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1"/>
        <v>26</v>
      </c>
      <c r="EU103" s="25" t="str">
        <f t="shared" si="275"/>
        <v>NORMAL- SUMINISTRAR SULFATO FERROSO</v>
      </c>
      <c r="EV103" s="24" t="s">
        <v>1510</v>
      </c>
      <c r="EW103" s="32">
        <v>44973</v>
      </c>
      <c r="EX103" s="22"/>
      <c r="EY103" s="29">
        <f t="shared" si="454"/>
        <v>8</v>
      </c>
      <c r="EZ103" s="25" t="str">
        <f t="shared" si="455"/>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2"/>
        <v>PIERDE TOMA DE TAMIZAJE</v>
      </c>
      <c r="FP103" s="22"/>
      <c r="FQ103" s="32"/>
      <c r="FR103" s="29" t="str">
        <f t="shared" ca="1" si="443"/>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3"/>
        <v>PIERDE TOMA DE TAMIZAJE</v>
      </c>
      <c r="GB103" s="22"/>
      <c r="GC103" s="22"/>
      <c r="GD103" s="29" t="str">
        <f t="shared" ca="1" si="444"/>
        <v>PIERDE TOMA DE TAMIZAJE</v>
      </c>
      <c r="GE103" s="22"/>
      <c r="GF103" s="22"/>
      <c r="GG103" s="29" t="str">
        <f t="shared" ca="1" si="445"/>
        <v>TOMA INMEDIATA DE TAMIZAJE</v>
      </c>
      <c r="GH103" s="22"/>
      <c r="GI103" s="29"/>
      <c r="GJ103" s="22"/>
      <c r="GK103" s="22"/>
      <c r="GL103" s="22"/>
      <c r="GM103" s="22"/>
      <c r="GN103" s="28" t="s">
        <v>869</v>
      </c>
      <c r="GO103" s="22">
        <v>44973</v>
      </c>
      <c r="GP103" s="29">
        <f t="shared" si="283"/>
        <v>8</v>
      </c>
      <c r="GQ103" s="28" t="s">
        <v>869</v>
      </c>
      <c r="GR103" s="28" t="s">
        <v>869</v>
      </c>
      <c r="GS103" s="22" t="str">
        <f t="shared" si="458"/>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t="str">
        <f t="shared" ca="1" si="289"/>
        <v>*************************CESAREAS PREVIAS**************</v>
      </c>
      <c r="HK103" s="21" t="str">
        <f t="shared" si="290"/>
        <v>SIN ANTECEDENTES DE RIESGO</v>
      </c>
      <c r="HL103" s="24" t="str">
        <f t="shared" si="291"/>
        <v>APARENTEMENTE NORMAL</v>
      </c>
      <c r="HM103" s="21" t="e">
        <f t="shared" ca="1" si="292"/>
        <v>#REF!</v>
      </c>
      <c r="HN103" s="30" t="str">
        <f t="shared" si="446"/>
        <v>ACTIVA INGRESO A CPN</v>
      </c>
      <c r="HO103" s="21"/>
      <c r="HP103" s="21"/>
      <c r="HQ103" s="349">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3"/>
        <v>PENDIENTE CONSULTA</v>
      </c>
      <c r="IA103" s="26"/>
      <c r="IB103" s="26"/>
      <c r="IC103" s="111"/>
      <c r="ID103" s="22"/>
      <c r="IE103" s="22" t="str">
        <f t="shared" ca="1" si="294"/>
        <v/>
      </c>
      <c r="IF103" s="22"/>
      <c r="IG103" s="22">
        <f t="shared" si="295"/>
        <v>45197</v>
      </c>
      <c r="IH103" s="29">
        <f t="shared" ca="1" si="296"/>
        <v>-35</v>
      </c>
      <c r="II103" s="22" t="str">
        <f t="shared" ca="1" si="297"/>
        <v>POSIBLEMENTE NACIO</v>
      </c>
      <c r="IJ103" s="22"/>
      <c r="IK103" s="21"/>
      <c r="IL103" s="21"/>
      <c r="IM103" s="34"/>
      <c r="IN103" s="22"/>
      <c r="IO103" s="21"/>
      <c r="IP103" s="29" t="str">
        <f t="shared" si="436"/>
        <v/>
      </c>
      <c r="IQ103" s="110"/>
      <c r="IR103" s="21"/>
      <c r="IS103" s="21"/>
      <c r="IT103" s="21"/>
      <c r="IU103" s="21"/>
      <c r="IV103" s="21"/>
      <c r="IW103" s="21"/>
      <c r="IX103" s="21"/>
      <c r="IY103" s="21"/>
      <c r="IZ103" s="21"/>
      <c r="JA103" s="21"/>
      <c r="JB103" s="30"/>
      <c r="JC103" s="21"/>
      <c r="JD103" s="36"/>
      <c r="JE103" s="21" t="str">
        <f t="shared" si="447"/>
        <v/>
      </c>
      <c r="JF103" s="30"/>
      <c r="JG103" s="21"/>
      <c r="JH103" s="21"/>
      <c r="JI103" s="21"/>
      <c r="JJ103" s="30"/>
      <c r="JK103" s="22"/>
      <c r="JL103" s="22"/>
      <c r="JM103" s="21"/>
      <c r="JN103" s="36"/>
      <c r="JO103" s="21" t="str">
        <f t="shared" si="448"/>
        <v/>
      </c>
      <c r="JP103" s="22"/>
      <c r="JQ103" s="21"/>
      <c r="JR103" s="21"/>
      <c r="JS103" s="21"/>
      <c r="JT103" s="30"/>
      <c r="JU103" s="22"/>
      <c r="JV103" s="22"/>
      <c r="JW103" s="33"/>
      <c r="JX103" s="28" t="str">
        <f t="shared" si="449"/>
        <v/>
      </c>
      <c r="JY103" s="33"/>
      <c r="JZ103" s="28" t="str">
        <f t="shared" si="450"/>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9"/>
        <v>0</v>
      </c>
      <c r="MI103" s="43" t="str">
        <f t="shared" si="460"/>
        <v/>
      </c>
      <c r="MJ103" s="43" t="str">
        <f t="shared" si="461"/>
        <v/>
      </c>
      <c r="MK103" s="43">
        <f t="shared" si="462"/>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3"/>
        <v>8</v>
      </c>
      <c r="MN103" s="43">
        <f t="shared" si="464"/>
        <v>2</v>
      </c>
      <c r="MO103" s="43">
        <f t="shared" si="465"/>
        <v>2023</v>
      </c>
      <c r="MP103" s="43" t="str">
        <f t="shared" si="466"/>
        <v>I TRIMESTRE AÑO</v>
      </c>
      <c r="MQ103" s="43">
        <f t="shared" si="467"/>
        <v>25.843188786684184</v>
      </c>
      <c r="MR103" s="43">
        <f t="shared" si="468"/>
        <v>0</v>
      </c>
      <c r="MS103" s="43" t="str">
        <f t="shared" si="469"/>
        <v xml:space="preserve"> DE 25 A 29 AÑOS</v>
      </c>
      <c r="MT103" s="43">
        <f t="shared" si="470"/>
        <v>0</v>
      </c>
      <c r="MU103" s="43">
        <f t="shared" si="471"/>
        <v>0</v>
      </c>
      <c r="MV103" s="43">
        <f t="shared" si="472"/>
        <v>1</v>
      </c>
      <c r="MW103" s="43">
        <f t="shared" si="473"/>
        <v>0</v>
      </c>
      <c r="MX103" s="43" t="str">
        <f t="shared" si="474"/>
        <v/>
      </c>
      <c r="MY103" s="43" t="str">
        <f t="shared" ca="1" si="451"/>
        <v/>
      </c>
      <c r="MZ103" s="43" t="str">
        <f t="shared" si="475"/>
        <v/>
      </c>
      <c r="NA103" s="43" t="str">
        <f t="shared" si="476"/>
        <v/>
      </c>
      <c r="NB103" s="43" t="str">
        <f t="shared" si="477"/>
        <v/>
      </c>
      <c r="NC103" s="43" t="str">
        <f t="shared" si="478"/>
        <v/>
      </c>
      <c r="ND103" s="43">
        <f t="shared" ca="1" si="479"/>
        <v>1</v>
      </c>
      <c r="NE103" s="43">
        <f>IF(OR(O103&gt;0,R103&gt;0),SUM(COUNTIF(Tabla1[[#This Row],[AÑOS AL INICIO5 CPN]],"&gt;=40"),COUNTIF(AS103,"0"),COUNTIF(AR103,"SI"),COUNTIF(CC103,"SI"),COUNTIF(BQ103,"&gt;119"),COUNTIF(CI103,"&gt;=35")),"")</f>
        <v>0</v>
      </c>
      <c r="NF103" s="43" t="str">
        <f t="shared" si="480"/>
        <v/>
      </c>
      <c r="NG103" s="43">
        <f t="shared" si="481"/>
        <v>0</v>
      </c>
      <c r="NH103" s="43">
        <f t="shared" si="482"/>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3"/>
        <v>27</v>
      </c>
      <c r="NM103" s="43" t="str">
        <f t="shared" si="456"/>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4"/>
        <v>I TRIM</v>
      </c>
      <c r="NQ103" s="21">
        <f t="shared" si="437"/>
        <v>10</v>
      </c>
      <c r="NR103" s="21" t="str">
        <f t="shared" ca="1" si="452"/>
        <v>REVISAR FUM O FECHA SALIDA PROGRAMA</v>
      </c>
      <c r="NS103" s="205">
        <f t="shared" ca="1" si="485"/>
        <v>1</v>
      </c>
      <c r="NT103" s="21">
        <f t="shared" ca="1" si="486"/>
        <v>0</v>
      </c>
      <c r="NU103" s="21" t="str">
        <f t="shared" ca="1" si="487"/>
        <v>POR DEFINIR</v>
      </c>
      <c r="NV103" s="21" t="str">
        <f t="shared" ca="1" si="488"/>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9"/>
        <v>SIN VACUNAR</v>
      </c>
      <c r="NY103" s="43">
        <f>ROW(Tabla1[[#This Row],['# DE TAMIZAJES SIFILIS TOMADOS ]])</f>
        <v>103</v>
      </c>
      <c r="NZ103" s="43" t="str">
        <f t="shared" si="334"/>
        <v>Menor</v>
      </c>
      <c r="OA103" s="43" t="str">
        <f t="shared" si="335"/>
        <v>SOBREPESO</v>
      </c>
      <c r="OB103" s="43" t="str">
        <f t="shared" si="336"/>
        <v/>
      </c>
      <c r="OC103" s="43" t="str">
        <f t="shared" si="337"/>
        <v/>
      </c>
      <c r="OD103" s="43" t="str">
        <f t="shared" si="338"/>
        <v/>
      </c>
      <c r="OE103" s="43" t="str">
        <f t="shared" si="339"/>
        <v/>
      </c>
      <c r="OF103" s="43" t="str">
        <f t="shared" si="340"/>
        <v/>
      </c>
      <c r="OG103" s="43" t="str">
        <f t="shared" si="341"/>
        <v/>
      </c>
      <c r="OH103" s="43" t="str">
        <f t="shared" si="342"/>
        <v/>
      </c>
      <c r="OI103" s="43" t="str">
        <f t="shared" si="343"/>
        <v/>
      </c>
      <c r="OJ103" s="43" t="str">
        <f t="shared" si="344"/>
        <v/>
      </c>
      <c r="OK103" s="43" t="str">
        <f t="shared" si="345"/>
        <v/>
      </c>
      <c r="OL103" s="43" t="str">
        <f t="shared" si="346"/>
        <v/>
      </c>
      <c r="OM103" s="43" t="str">
        <f t="shared" si="347"/>
        <v/>
      </c>
      <c r="ON103" s="43" t="str">
        <f t="shared" si="348"/>
        <v/>
      </c>
      <c r="OO103" s="43" t="str">
        <f t="shared" si="349"/>
        <v/>
      </c>
      <c r="OP103" s="43" t="str">
        <f t="shared" si="350"/>
        <v/>
      </c>
      <c r="OQ103" s="43" t="str">
        <f t="shared" si="351"/>
        <v/>
      </c>
      <c r="OR103" s="43" t="str">
        <f t="shared" si="352"/>
        <v/>
      </c>
      <c r="OS103" s="43" t="str">
        <f t="shared" si="353"/>
        <v/>
      </c>
      <c r="OT103" s="43" t="str">
        <f t="shared" si="354"/>
        <v/>
      </c>
      <c r="OU103" s="43" t="str">
        <f t="shared" si="355"/>
        <v/>
      </c>
      <c r="OV103" s="110" t="str">
        <f t="shared" si="356"/>
        <v/>
      </c>
      <c r="OW103" s="43" t="str">
        <f t="shared" si="357"/>
        <v/>
      </c>
      <c r="OX103" s="43" t="str">
        <f t="shared" si="358"/>
        <v/>
      </c>
      <c r="OY103" s="43" t="str">
        <f t="shared" si="359"/>
        <v/>
      </c>
      <c r="OZ103" s="43" t="str">
        <f t="shared" si="360"/>
        <v/>
      </c>
      <c r="PA103" s="43" t="str">
        <f t="shared" si="361"/>
        <v/>
      </c>
      <c r="PB103" s="43" t="str">
        <f t="shared" si="362"/>
        <v/>
      </c>
      <c r="PC103" s="43" t="str">
        <f t="shared" si="363"/>
        <v/>
      </c>
      <c r="PD103" s="43" t="str">
        <f t="shared" si="364"/>
        <v/>
      </c>
      <c r="PE103" s="43" t="str">
        <f t="shared" si="365"/>
        <v/>
      </c>
      <c r="PF103" s="43" t="str">
        <f t="shared" si="366"/>
        <v/>
      </c>
      <c r="PG103" s="43" t="str">
        <f t="shared" si="367"/>
        <v/>
      </c>
      <c r="PH103" s="43" t="str">
        <f t="shared" si="368"/>
        <v/>
      </c>
      <c r="PI103" s="43">
        <f t="shared" si="369"/>
        <v>31</v>
      </c>
      <c r="PJ103" s="43" t="str">
        <f t="shared" si="370"/>
        <v/>
      </c>
      <c r="PK103" s="43" t="str">
        <f t="shared" si="371"/>
        <v/>
      </c>
      <c r="PL103" s="43" t="str">
        <f t="shared" si="372"/>
        <v/>
      </c>
      <c r="PM103" s="43" t="str">
        <f t="shared" si="373"/>
        <v/>
      </c>
      <c r="PN103" s="43" t="str">
        <f t="shared" si="374"/>
        <v/>
      </c>
      <c r="PO103" s="43" t="str">
        <f t="shared" si="375"/>
        <v/>
      </c>
      <c r="PP103" s="43" t="str">
        <f t="shared" si="376"/>
        <v/>
      </c>
      <c r="PQ103" s="43" t="str">
        <f t="shared" si="377"/>
        <v/>
      </c>
      <c r="PR103" s="43" t="str">
        <f t="shared" si="378"/>
        <v/>
      </c>
      <c r="PS103" s="43" t="str">
        <f t="shared" si="379"/>
        <v/>
      </c>
      <c r="PT103" s="43" t="str">
        <f t="shared" si="380"/>
        <v/>
      </c>
      <c r="PU103" s="43" t="str">
        <f t="shared" si="381"/>
        <v/>
      </c>
      <c r="PV103" s="43" t="str">
        <f t="shared" si="382"/>
        <v/>
      </c>
      <c r="PW103" s="43" t="str">
        <f t="shared" si="383"/>
        <v/>
      </c>
      <c r="PX103" s="43" t="str">
        <f t="shared" si="384"/>
        <v/>
      </c>
      <c r="PY103" s="43" t="str">
        <f t="shared" si="385"/>
        <v/>
      </c>
      <c r="PZ103" s="43" t="str">
        <f t="shared" si="386"/>
        <v/>
      </c>
      <c r="QA103" s="43" t="str">
        <f t="shared" si="387"/>
        <v/>
      </c>
      <c r="QB103" s="43" t="str">
        <f t="shared" si="388"/>
        <v/>
      </c>
      <c r="QC103" s="43" t="str">
        <f t="shared" si="389"/>
        <v/>
      </c>
      <c r="QD103" s="43" t="str">
        <f t="shared" si="390"/>
        <v/>
      </c>
      <c r="QE103" s="43" t="str">
        <f t="shared" si="391"/>
        <v/>
      </c>
      <c r="QF103" s="43" t="str">
        <f t="shared" si="392"/>
        <v>SOBREPESO</v>
      </c>
      <c r="QG103" s="43" t="str">
        <f t="shared" si="393"/>
        <v/>
      </c>
      <c r="QH103" s="43" t="str">
        <f t="shared" si="394"/>
        <v/>
      </c>
      <c r="QI103" s="43" t="str">
        <f t="shared" si="395"/>
        <v/>
      </c>
      <c r="QJ103" s="43" t="str">
        <f t="shared" si="396"/>
        <v/>
      </c>
      <c r="QK103" s="43" t="str">
        <f t="shared" si="397"/>
        <v/>
      </c>
      <c r="QL103" s="43" t="str">
        <f t="shared" si="398"/>
        <v/>
      </c>
      <c r="QM103" s="43" t="str">
        <f t="shared" si="399"/>
        <v/>
      </c>
      <c r="QN103" s="43" t="str">
        <f t="shared" si="400"/>
        <v/>
      </c>
      <c r="QO103" s="43" t="str">
        <f t="shared" si="401"/>
        <v/>
      </c>
      <c r="QP103" s="43" t="str">
        <f t="shared" si="402"/>
        <v/>
      </c>
      <c r="QQ103" s="43" t="str">
        <f t="shared" si="403"/>
        <v/>
      </c>
      <c r="QR103" s="43">
        <f t="shared" si="433"/>
        <v>31</v>
      </c>
      <c r="QS103" s="43"/>
      <c r="QT103" s="21" t="str">
        <f t="shared" si="404"/>
        <v/>
      </c>
      <c r="QU103" s="21" t="str">
        <f t="shared" si="405"/>
        <v/>
      </c>
      <c r="QV103" s="21" t="str">
        <f t="shared" si="406"/>
        <v/>
      </c>
      <c r="QW103" s="21" t="str">
        <f t="shared" si="407"/>
        <v/>
      </c>
      <c r="QX103" s="21" t="str">
        <f t="shared" si="408"/>
        <v/>
      </c>
      <c r="QY103" s="21" t="str">
        <f t="shared" si="409"/>
        <v/>
      </c>
      <c r="QZ103" s="21" t="str">
        <f t="shared" si="410"/>
        <v/>
      </c>
      <c r="RA103" s="21" t="str">
        <f t="shared" si="411"/>
        <v/>
      </c>
      <c r="RB103" s="21" t="str">
        <f t="shared" si="412"/>
        <v/>
      </c>
      <c r="RC103" s="21" t="str">
        <f t="shared" si="413"/>
        <v/>
      </c>
      <c r="RD103" s="21" t="str">
        <f t="shared" si="414"/>
        <v/>
      </c>
      <c r="RE103" s="21" t="str">
        <f t="shared" si="415"/>
        <v/>
      </c>
      <c r="RF103" s="21" t="str">
        <f t="shared" si="416"/>
        <v/>
      </c>
      <c r="RG103" s="21" t="str">
        <f t="shared" si="417"/>
        <v/>
      </c>
      <c r="RH103" s="21" t="str">
        <f t="shared" si="418"/>
        <v/>
      </c>
      <c r="RI103" s="21" t="str">
        <f t="shared" si="419"/>
        <v/>
      </c>
      <c r="RJ103" s="21" t="str">
        <f t="shared" si="420"/>
        <v/>
      </c>
      <c r="RK103" s="21" t="str">
        <f t="shared" si="421"/>
        <v/>
      </c>
      <c r="RL103" s="21" t="str">
        <f t="shared" si="422"/>
        <v>ADECUADO PARA EDAD GESTACIONAL</v>
      </c>
      <c r="RM103" s="21" t="str">
        <f t="shared" si="423"/>
        <v/>
      </c>
      <c r="RN103" s="21" t="str">
        <f t="shared" si="424"/>
        <v/>
      </c>
      <c r="RO103" s="21" t="str">
        <f t="shared" si="425"/>
        <v/>
      </c>
      <c r="RP103" s="21" t="str">
        <f t="shared" si="426"/>
        <v/>
      </c>
      <c r="RQ103" s="21" t="str">
        <f t="shared" si="427"/>
        <v/>
      </c>
      <c r="RR103" s="21" t="str">
        <f t="shared" si="428"/>
        <v/>
      </c>
      <c r="RS103" s="21" t="str">
        <f t="shared" si="429"/>
        <v/>
      </c>
      <c r="RT103" s="21" t="str">
        <f t="shared" si="430"/>
        <v/>
      </c>
      <c r="RU103" s="21" t="str">
        <f t="shared" si="431"/>
        <v/>
      </c>
      <c r="RV103" s="21">
        <f t="shared" si="432"/>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4"/>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27.142465753424659</v>
      </c>
      <c r="O104" s="22">
        <v>44975</v>
      </c>
      <c r="P104" s="214" t="str">
        <f t="shared" si="438"/>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7"/>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9"/>
        <v>SALE PROGRAMA ANTES SEMANA 35</v>
      </c>
      <c r="DV104" s="226" t="str">
        <f t="shared" si="440"/>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4">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1"/>
        <v>SALE SIN TAMIZAJE HEMOGLOBINA SEM 28</v>
      </c>
      <c r="EU104" s="25" t="str">
        <f t="shared" si="275"/>
        <v/>
      </c>
      <c r="EV104" s="24" t="s">
        <v>1510</v>
      </c>
      <c r="EW104" s="24">
        <v>44975</v>
      </c>
      <c r="EX104" s="22"/>
      <c r="EY104" s="29">
        <f t="shared" si="454"/>
        <v>20.428571428571427</v>
      </c>
      <c r="EZ104" s="25" t="str">
        <f t="shared" si="455"/>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2"/>
        <v>20.428571428571427</v>
      </c>
      <c r="FP104" s="22" t="s">
        <v>867</v>
      </c>
      <c r="FQ104" s="32">
        <v>45066</v>
      </c>
      <c r="FR104" s="29">
        <f t="shared" ca="1" si="443"/>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3"/>
        <v>#VALUE!</v>
      </c>
      <c r="GB104" s="22" t="s">
        <v>868</v>
      </c>
      <c r="GC104" s="22">
        <v>44975</v>
      </c>
      <c r="GD104" s="29">
        <f t="shared" ca="1" si="444"/>
        <v>20.428571428571427</v>
      </c>
      <c r="GE104" s="22" t="s">
        <v>868</v>
      </c>
      <c r="GF104" s="32">
        <v>45066</v>
      </c>
      <c r="GG104" s="29">
        <f t="shared" ca="1" si="445"/>
        <v>33.428571428571431</v>
      </c>
      <c r="GH104" s="22"/>
      <c r="GI104" s="29"/>
      <c r="GJ104" s="22"/>
      <c r="GK104" s="22"/>
      <c r="GL104" s="22"/>
      <c r="GM104" s="22"/>
      <c r="GN104" s="28" t="s">
        <v>869</v>
      </c>
      <c r="GO104" s="22">
        <v>44975</v>
      </c>
      <c r="GP104" s="29">
        <f t="shared" si="283"/>
        <v>20.428571428571427</v>
      </c>
      <c r="GQ104" s="28">
        <v>44975</v>
      </c>
      <c r="GR104" s="28" t="s">
        <v>869</v>
      </c>
      <c r="GS104" s="22" t="str">
        <f t="shared" si="458"/>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t="str">
        <f t="shared" ca="1" si="289"/>
        <v>***************************************</v>
      </c>
      <c r="HK104" s="21" t="str">
        <f t="shared" si="290"/>
        <v>SIN ANTECEDENTES DE RIESGO</v>
      </c>
      <c r="HL104" s="24" t="str">
        <f t="shared" si="291"/>
        <v>APARENTEMENTE NORMAL</v>
      </c>
      <c r="HM104" s="21" t="str">
        <f t="shared" ca="1" si="292"/>
        <v/>
      </c>
      <c r="HN104" s="30" t="str">
        <f t="shared" si="446"/>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3"/>
        <v>PENDIENTE CONSULTA</v>
      </c>
      <c r="IA104" s="26"/>
      <c r="IB104" s="26"/>
      <c r="IC104" s="111"/>
      <c r="ID104" s="22"/>
      <c r="IE104" s="22" t="str">
        <f t="shared" ca="1" si="294"/>
        <v>SALE SIN VACUNA</v>
      </c>
      <c r="IF104" s="22"/>
      <c r="IG104" s="22">
        <f t="shared" si="295"/>
        <v>45112</v>
      </c>
      <c r="IH104" s="29">
        <f t="shared" ca="1" si="296"/>
        <v>-120</v>
      </c>
      <c r="II104" s="22" t="str">
        <f t="shared" ca="1" si="297"/>
        <v>POSIBLEMENTE NACIO</v>
      </c>
      <c r="IJ104" s="22"/>
      <c r="IK104" s="21" t="s">
        <v>898</v>
      </c>
      <c r="IL104" s="21"/>
      <c r="IM104" s="34"/>
      <c r="IN104" s="349">
        <v>45069</v>
      </c>
      <c r="IO104" s="21" t="s">
        <v>1640</v>
      </c>
      <c r="IP104" s="29">
        <f t="shared" si="436"/>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7"/>
        <v>ERROR VERIFICAR DATO EDAD GESTACIONAL VS PESO</v>
      </c>
      <c r="JF104" s="30"/>
      <c r="JG104" s="21"/>
      <c r="JH104" s="21"/>
      <c r="JI104" s="21"/>
      <c r="JJ104" s="30"/>
      <c r="JK104" s="22"/>
      <c r="JL104" s="22"/>
      <c r="JM104" s="21"/>
      <c r="JN104" s="36"/>
      <c r="JO104" s="21" t="str">
        <f t="shared" si="448"/>
        <v/>
      </c>
      <c r="JP104" s="22"/>
      <c r="JQ104" s="21"/>
      <c r="JR104" s="21"/>
      <c r="JS104" s="21"/>
      <c r="JT104" s="30"/>
      <c r="JU104" s="22"/>
      <c r="JV104" s="22"/>
      <c r="JW104" s="33"/>
      <c r="JX104" s="28" t="str">
        <f t="shared" si="449"/>
        <v>INASISTENTE</v>
      </c>
      <c r="JY104" s="33"/>
      <c r="JZ104" s="28" t="str">
        <f t="shared" si="450"/>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9"/>
        <v>0</v>
      </c>
      <c r="MI104" s="43" t="str">
        <f t="shared" si="460"/>
        <v/>
      </c>
      <c r="MJ104" s="43" t="str">
        <f t="shared" si="461"/>
        <v/>
      </c>
      <c r="MK104" s="43">
        <f t="shared" si="462"/>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3"/>
        <v>20.428571428571427</v>
      </c>
      <c r="MN104" s="43">
        <f t="shared" si="464"/>
        <v>2</v>
      </c>
      <c r="MO104" s="43">
        <f t="shared" si="465"/>
        <v>2023</v>
      </c>
      <c r="MP104" s="43" t="str">
        <f t="shared" si="466"/>
        <v>I TRIMESTRE AÑO</v>
      </c>
      <c r="MQ104" s="43">
        <f t="shared" si="467"/>
        <v>26.037560227770474</v>
      </c>
      <c r="MR104" s="43">
        <f t="shared" si="468"/>
        <v>0</v>
      </c>
      <c r="MS104" s="43" t="str">
        <f t="shared" si="469"/>
        <v xml:space="preserve"> DE 25 A 29 AÑOS</v>
      </c>
      <c r="MT104" s="43">
        <f t="shared" si="470"/>
        <v>0</v>
      </c>
      <c r="MU104" s="43">
        <f t="shared" si="471"/>
        <v>0</v>
      </c>
      <c r="MV104" s="43">
        <f t="shared" si="472"/>
        <v>0</v>
      </c>
      <c r="MW104" s="43">
        <f t="shared" si="473"/>
        <v>0</v>
      </c>
      <c r="MX104" s="43" t="str">
        <f t="shared" si="474"/>
        <v/>
      </c>
      <c r="MY104" s="43" t="str">
        <f t="shared" ca="1" si="451"/>
        <v/>
      </c>
      <c r="MZ104" s="43" t="str">
        <f t="shared" si="475"/>
        <v/>
      </c>
      <c r="NA104" s="43" t="str">
        <f t="shared" si="476"/>
        <v/>
      </c>
      <c r="NB104" s="43" t="str">
        <f t="shared" si="477"/>
        <v/>
      </c>
      <c r="NC104" s="43" t="str">
        <f t="shared" si="478"/>
        <v/>
      </c>
      <c r="ND104" s="43">
        <f t="shared" ca="1" si="479"/>
        <v>0</v>
      </c>
      <c r="NE104" s="43">
        <f>IF(OR(O104&gt;0,R104&gt;0),SUM(COUNTIF(Tabla1[[#This Row],[AÑOS AL INICIO5 CPN]],"&gt;=40"),COUNTIF(AS104,"0"),COUNTIF(AR104,"SI"),COUNTIF(CC104,"SI"),COUNTIF(BQ104,"&gt;119"),COUNTIF(CI104,"&gt;=35")),"")</f>
        <v>0</v>
      </c>
      <c r="NF104" s="43" t="str">
        <f t="shared" si="480"/>
        <v/>
      </c>
      <c r="NG104" s="43">
        <f t="shared" si="481"/>
        <v>0</v>
      </c>
      <c r="NH104" s="43" t="str">
        <f t="shared" si="482"/>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3"/>
        <v>12</v>
      </c>
      <c r="NM104" s="43" t="str">
        <f t="shared" si="456"/>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4"/>
        <v>II TRIM</v>
      </c>
      <c r="NQ104" s="21" t="str">
        <f t="shared" si="437"/>
        <v/>
      </c>
      <c r="NR104" s="21">
        <f t="shared" si="452"/>
        <v>2</v>
      </c>
      <c r="NS104" s="205">
        <f t="shared" ca="1" si="485"/>
        <v>2</v>
      </c>
      <c r="NT104" s="21">
        <f t="shared" ca="1" si="486"/>
        <v>2</v>
      </c>
      <c r="NU104" s="21" t="str">
        <f t="shared" ca="1" si="487"/>
        <v>COMPLETO</v>
      </c>
      <c r="NV104" s="21" t="str">
        <f t="shared" ca="1" si="488"/>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9"/>
        <v>SIN VACUNAR</v>
      </c>
      <c r="NY104" s="43">
        <f>ROW(Tabla1[[#This Row],['# DE TAMIZAJES SIFILIS TOMADOS ]])</f>
        <v>104</v>
      </c>
      <c r="NZ104" s="43">
        <f t="shared" si="334"/>
        <v>20</v>
      </c>
      <c r="OA104" s="43" t="str">
        <f t="shared" si="335"/>
        <v/>
      </c>
      <c r="OB104" s="43" t="str">
        <f t="shared" si="336"/>
        <v/>
      </c>
      <c r="OC104" s="43" t="str">
        <f t="shared" si="337"/>
        <v/>
      </c>
      <c r="OD104" s="43" t="str">
        <f t="shared" si="338"/>
        <v/>
      </c>
      <c r="OE104" s="43" t="str">
        <f t="shared" si="339"/>
        <v/>
      </c>
      <c r="OF104" s="43" t="str">
        <f t="shared" si="340"/>
        <v/>
      </c>
      <c r="OG104" s="43" t="str">
        <f t="shared" si="341"/>
        <v/>
      </c>
      <c r="OH104" s="43" t="str">
        <f t="shared" si="342"/>
        <v/>
      </c>
      <c r="OI104" s="43" t="str">
        <f t="shared" si="343"/>
        <v/>
      </c>
      <c r="OJ104" s="43" t="str">
        <f t="shared" si="344"/>
        <v/>
      </c>
      <c r="OK104" s="43" t="str">
        <f t="shared" si="345"/>
        <v/>
      </c>
      <c r="OL104" s="43" t="str">
        <f t="shared" si="346"/>
        <v>NORMAL</v>
      </c>
      <c r="OM104" s="43" t="str">
        <f t="shared" si="347"/>
        <v/>
      </c>
      <c r="ON104" s="43" t="str">
        <f t="shared" si="348"/>
        <v/>
      </c>
      <c r="OO104" s="43" t="str">
        <f t="shared" si="349"/>
        <v/>
      </c>
      <c r="OP104" s="43" t="str">
        <f t="shared" si="350"/>
        <v/>
      </c>
      <c r="OQ104" s="43" t="str">
        <f t="shared" si="351"/>
        <v/>
      </c>
      <c r="OR104" s="43" t="str">
        <f t="shared" si="352"/>
        <v/>
      </c>
      <c r="OS104" s="43" t="str">
        <f t="shared" si="353"/>
        <v/>
      </c>
      <c r="OT104" s="43" t="str">
        <f t="shared" si="354"/>
        <v/>
      </c>
      <c r="OU104" s="43" t="str">
        <f t="shared" si="355"/>
        <v/>
      </c>
      <c r="OV104" s="110" t="str">
        <f t="shared" si="356"/>
        <v/>
      </c>
      <c r="OW104" s="43" t="str">
        <f t="shared" si="357"/>
        <v/>
      </c>
      <c r="OX104" s="43" t="str">
        <f t="shared" si="358"/>
        <v/>
      </c>
      <c r="OY104" s="43" t="str">
        <f t="shared" si="359"/>
        <v/>
      </c>
      <c r="OZ104" s="43" t="str">
        <f t="shared" si="360"/>
        <v/>
      </c>
      <c r="PA104" s="43" t="str">
        <f t="shared" si="361"/>
        <v/>
      </c>
      <c r="PB104" s="43" t="str">
        <f t="shared" si="362"/>
        <v/>
      </c>
      <c r="PC104" s="43" t="str">
        <f t="shared" si="363"/>
        <v/>
      </c>
      <c r="PD104" s="43" t="str">
        <f t="shared" si="364"/>
        <v/>
      </c>
      <c r="PE104" s="43" t="str">
        <f t="shared" si="365"/>
        <v/>
      </c>
      <c r="PF104" s="43" t="str">
        <f t="shared" si="366"/>
        <v/>
      </c>
      <c r="PG104" s="43" t="str">
        <f t="shared" si="367"/>
        <v/>
      </c>
      <c r="PH104" s="43" t="str">
        <f t="shared" si="368"/>
        <v/>
      </c>
      <c r="PI104" s="43">
        <f t="shared" si="369"/>
        <v>33</v>
      </c>
      <c r="PJ104" s="43" t="str">
        <f t="shared" si="370"/>
        <v/>
      </c>
      <c r="PK104" s="43" t="str">
        <f t="shared" si="371"/>
        <v/>
      </c>
      <c r="PL104" s="43" t="str">
        <f t="shared" si="372"/>
        <v/>
      </c>
      <c r="PM104" s="43" t="str">
        <f t="shared" si="373"/>
        <v/>
      </c>
      <c r="PN104" s="43" t="str">
        <f t="shared" si="374"/>
        <v/>
      </c>
      <c r="PO104" s="43" t="str">
        <f t="shared" si="375"/>
        <v/>
      </c>
      <c r="PP104" s="43" t="str">
        <f t="shared" si="376"/>
        <v/>
      </c>
      <c r="PQ104" s="43" t="str">
        <f t="shared" si="377"/>
        <v/>
      </c>
      <c r="PR104" s="43" t="str">
        <f t="shared" si="378"/>
        <v/>
      </c>
      <c r="PS104" s="43" t="str">
        <f t="shared" si="379"/>
        <v/>
      </c>
      <c r="PT104" s="43" t="str">
        <f t="shared" si="380"/>
        <v/>
      </c>
      <c r="PU104" s="43" t="str">
        <f t="shared" si="381"/>
        <v/>
      </c>
      <c r="PV104" s="43" t="str">
        <f t="shared" si="382"/>
        <v/>
      </c>
      <c r="PW104" s="43" t="str">
        <f t="shared" si="383"/>
        <v/>
      </c>
      <c r="PX104" s="43" t="str">
        <f t="shared" si="384"/>
        <v/>
      </c>
      <c r="PY104" s="43" t="str">
        <f t="shared" si="385"/>
        <v/>
      </c>
      <c r="PZ104" s="43" t="str">
        <f t="shared" si="386"/>
        <v/>
      </c>
      <c r="QA104" s="43" t="str">
        <f t="shared" si="387"/>
        <v/>
      </c>
      <c r="QB104" s="43" t="str">
        <f t="shared" si="388"/>
        <v/>
      </c>
      <c r="QC104" s="43" t="str">
        <f t="shared" si="389"/>
        <v/>
      </c>
      <c r="QD104" s="43" t="str">
        <f t="shared" si="390"/>
        <v/>
      </c>
      <c r="QE104" s="43" t="str">
        <f t="shared" si="391"/>
        <v/>
      </c>
      <c r="QF104" s="43" t="str">
        <f t="shared" si="392"/>
        <v/>
      </c>
      <c r="QG104" s="43" t="str">
        <f t="shared" si="393"/>
        <v/>
      </c>
      <c r="QH104" s="43" t="str">
        <f t="shared" si="394"/>
        <v>BAJO PESO</v>
      </c>
      <c r="QI104" s="43" t="str">
        <f t="shared" si="395"/>
        <v/>
      </c>
      <c r="QJ104" s="43" t="str">
        <f t="shared" si="396"/>
        <v/>
      </c>
      <c r="QK104" s="43" t="str">
        <f t="shared" si="397"/>
        <v/>
      </c>
      <c r="QL104" s="43" t="str">
        <f t="shared" si="398"/>
        <v/>
      </c>
      <c r="QM104" s="43" t="str">
        <f t="shared" si="399"/>
        <v/>
      </c>
      <c r="QN104" s="43" t="str">
        <f t="shared" si="400"/>
        <v/>
      </c>
      <c r="QO104" s="43" t="str">
        <f t="shared" si="401"/>
        <v/>
      </c>
      <c r="QP104" s="43" t="str">
        <f t="shared" si="402"/>
        <v/>
      </c>
      <c r="QQ104" s="43" t="str">
        <f t="shared" si="403"/>
        <v/>
      </c>
      <c r="QR104" s="43">
        <f t="shared" si="433"/>
        <v>33</v>
      </c>
      <c r="QS104" s="43"/>
      <c r="QT104" s="21" t="str">
        <f t="shared" si="404"/>
        <v/>
      </c>
      <c r="QU104" s="21" t="str">
        <f t="shared" si="405"/>
        <v/>
      </c>
      <c r="QV104" s="21" t="str">
        <f t="shared" si="406"/>
        <v/>
      </c>
      <c r="QW104" s="21" t="str">
        <f t="shared" si="407"/>
        <v/>
      </c>
      <c r="QX104" s="21" t="str">
        <f t="shared" si="408"/>
        <v/>
      </c>
      <c r="QY104" s="21" t="str">
        <f t="shared" si="409"/>
        <v/>
      </c>
      <c r="QZ104" s="21" t="str">
        <f t="shared" si="410"/>
        <v/>
      </c>
      <c r="RA104" s="21" t="str">
        <f t="shared" si="411"/>
        <v/>
      </c>
      <c r="RB104" s="21" t="str">
        <f t="shared" si="412"/>
        <v/>
      </c>
      <c r="RC104" s="21" t="str">
        <f t="shared" si="413"/>
        <v/>
      </c>
      <c r="RD104" s="21" t="str">
        <f t="shared" si="414"/>
        <v/>
      </c>
      <c r="RE104" s="21" t="str">
        <f t="shared" si="415"/>
        <v/>
      </c>
      <c r="RF104" s="21" t="str">
        <f t="shared" si="416"/>
        <v/>
      </c>
      <c r="RG104" s="21" t="str">
        <f t="shared" si="417"/>
        <v/>
      </c>
      <c r="RH104" s="21" t="str">
        <f t="shared" si="418"/>
        <v/>
      </c>
      <c r="RI104" s="21" t="str">
        <f t="shared" si="419"/>
        <v/>
      </c>
      <c r="RJ104" s="21" t="str">
        <f t="shared" si="420"/>
        <v/>
      </c>
      <c r="RK104" s="21" t="str">
        <f t="shared" si="421"/>
        <v/>
      </c>
      <c r="RL104" s="21" t="str">
        <f t="shared" si="422"/>
        <v/>
      </c>
      <c r="RM104" s="21" t="str">
        <f t="shared" si="423"/>
        <v/>
      </c>
      <c r="RN104" s="21" t="str">
        <f t="shared" si="424"/>
        <v/>
      </c>
      <c r="RO104" s="21" t="str">
        <f t="shared" si="425"/>
        <v/>
      </c>
      <c r="RP104" s="21" t="str">
        <f t="shared" si="426"/>
        <v/>
      </c>
      <c r="RQ104" s="21" t="str">
        <f t="shared" si="427"/>
        <v/>
      </c>
      <c r="RR104" s="21" t="str">
        <f t="shared" si="428"/>
        <v/>
      </c>
      <c r="RS104" s="21" t="str">
        <f t="shared" si="429"/>
        <v/>
      </c>
      <c r="RT104" s="21" t="str">
        <f t="shared" si="430"/>
        <v/>
      </c>
      <c r="RU104" s="21" t="str">
        <f t="shared" si="431"/>
        <v/>
      </c>
      <c r="RV104" s="21">
        <f t="shared" si="432"/>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4"/>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20.358904109589041</v>
      </c>
      <c r="O105" s="22">
        <v>44963</v>
      </c>
      <c r="P105" s="214" t="str">
        <f t="shared" si="438"/>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7"/>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9"/>
        <v>SALE SIN PLAN DE PARTO</v>
      </c>
      <c r="DV105" s="226" t="str">
        <f t="shared" si="440"/>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1"/>
        <v>SALE SIN TAMIZAJE HEMOGLOBINA SEM 28</v>
      </c>
      <c r="EU105" s="25" t="str">
        <f t="shared" si="275"/>
        <v/>
      </c>
      <c r="EV105" s="24"/>
      <c r="EW105" s="24"/>
      <c r="EX105" s="22"/>
      <c r="EY105" s="29" t="str">
        <f t="shared" si="454"/>
        <v>TOMAR EXAMEN</v>
      </c>
      <c r="EZ105" s="25" t="str">
        <f t="shared" ca="1" si="455"/>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2"/>
        <v>PIERDE TOMA DE TAMIZAJE</v>
      </c>
      <c r="FP105" s="22"/>
      <c r="FQ105" s="32"/>
      <c r="FR105" s="29" t="str">
        <f t="shared" ca="1" si="443"/>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3"/>
        <v>#VALUE!</v>
      </c>
      <c r="GB105" s="22"/>
      <c r="GC105" s="22"/>
      <c r="GD105" s="29" t="str">
        <f t="shared" ca="1" si="444"/>
        <v>PIERDE TOMA DE TAMIZAJE</v>
      </c>
      <c r="GE105" s="22"/>
      <c r="GF105" s="22"/>
      <c r="GG105" s="29" t="str">
        <f t="shared" ca="1" si="445"/>
        <v>PIERDE TOMA DE TAMIZAJE</v>
      </c>
      <c r="GH105" s="22"/>
      <c r="GI105" s="29"/>
      <c r="GJ105" s="22"/>
      <c r="GK105" s="22"/>
      <c r="GL105" s="22"/>
      <c r="GM105" s="22"/>
      <c r="GN105" s="28"/>
      <c r="GO105" s="22"/>
      <c r="GP105" s="29" t="str">
        <f t="shared" si="283"/>
        <v>TOMAR EXAMEN</v>
      </c>
      <c r="GQ105" s="28"/>
      <c r="GR105" s="28"/>
      <c r="GS105" s="22" t="str">
        <f t="shared" si="458"/>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t="str">
        <f t="shared" ca="1" si="289"/>
        <v>****************POLIHIDRAMNIOS******MULTIPARIDAD*****************</v>
      </c>
      <c r="HK105" s="21" t="str">
        <f t="shared" si="290"/>
        <v>SIN ANTECEDENTES DE RIESGO</v>
      </c>
      <c r="HL105" s="24" t="str">
        <f t="shared" si="291"/>
        <v>REGISTRE DATO PRESIÓN ARTERIAL MENSUAL</v>
      </c>
      <c r="HM105" s="21" t="str">
        <f t="shared" ca="1" si="292"/>
        <v/>
      </c>
      <c r="HN105" s="30" t="str">
        <f t="shared" si="446"/>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3"/>
        <v>PENDIENTE CONSULTA</v>
      </c>
      <c r="IA105" s="26"/>
      <c r="IB105" s="26"/>
      <c r="IC105" s="111"/>
      <c r="ID105" s="22"/>
      <c r="IE105" s="22" t="str">
        <f t="shared" ca="1" si="294"/>
        <v>SALE SIN VACUNA</v>
      </c>
      <c r="IF105" s="22"/>
      <c r="IG105" s="22">
        <f t="shared" si="295"/>
        <v>45057</v>
      </c>
      <c r="IH105" s="29">
        <f t="shared" ca="1" si="296"/>
        <v>-175</v>
      </c>
      <c r="II105" s="22" t="str">
        <f t="shared" ca="1" si="297"/>
        <v>POSIBLEMENTE NACIO</v>
      </c>
      <c r="IJ105" s="22"/>
      <c r="IK105" s="21" t="s">
        <v>898</v>
      </c>
      <c r="IL105" s="21"/>
      <c r="IM105" s="34"/>
      <c r="IN105" s="349">
        <v>45071</v>
      </c>
      <c r="IO105" s="21" t="s">
        <v>1640</v>
      </c>
      <c r="IP105" s="29">
        <f t="shared" si="436"/>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7"/>
        <v>PESO ADECUADO EDAD GESTACIONAL</v>
      </c>
      <c r="JF105" s="30"/>
      <c r="JG105" s="21"/>
      <c r="JH105" s="21"/>
      <c r="JI105" s="21"/>
      <c r="JJ105" s="30"/>
      <c r="JK105" s="22"/>
      <c r="JL105" s="22"/>
      <c r="JM105" s="21"/>
      <c r="JN105" s="36"/>
      <c r="JO105" s="21" t="str">
        <f t="shared" si="448"/>
        <v/>
      </c>
      <c r="JP105" s="22"/>
      <c r="JQ105" s="21"/>
      <c r="JR105" s="21"/>
      <c r="JS105" s="21"/>
      <c r="JT105" s="30"/>
      <c r="JU105" s="22"/>
      <c r="JV105" s="22"/>
      <c r="JW105" s="33"/>
      <c r="JX105" s="28" t="str">
        <f t="shared" si="449"/>
        <v>INASISTENTE</v>
      </c>
      <c r="JY105" s="33"/>
      <c r="JZ105" s="28" t="str">
        <f t="shared" si="450"/>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9"/>
        <v>0</v>
      </c>
      <c r="MI105" s="43" t="str">
        <f t="shared" si="460"/>
        <v/>
      </c>
      <c r="MJ105" s="43" t="str">
        <f t="shared" si="461"/>
        <v/>
      </c>
      <c r="MK105" s="43">
        <f t="shared" si="462"/>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3"/>
        <v>26.571428571428573</v>
      </c>
      <c r="MN105" s="43">
        <f t="shared" si="464"/>
        <v>2</v>
      </c>
      <c r="MO105" s="43">
        <f t="shared" si="465"/>
        <v>2023</v>
      </c>
      <c r="MP105" s="43" t="str">
        <f t="shared" si="466"/>
        <v>I TRIMESTRE AÑO</v>
      </c>
      <c r="MQ105" s="43">
        <f t="shared" si="467"/>
        <v>19.319426193604905</v>
      </c>
      <c r="MR105" s="43">
        <f t="shared" si="468"/>
        <v>0</v>
      </c>
      <c r="MS105" s="43" t="str">
        <f t="shared" si="469"/>
        <v>DE 14 A 19AÑOS</v>
      </c>
      <c r="MT105" s="43">
        <f t="shared" si="470"/>
        <v>0</v>
      </c>
      <c r="MU105" s="43">
        <f t="shared" si="471"/>
        <v>1</v>
      </c>
      <c r="MV105" s="43">
        <f t="shared" si="472"/>
        <v>0</v>
      </c>
      <c r="MW105" s="43">
        <f t="shared" si="473"/>
        <v>0</v>
      </c>
      <c r="MX105" s="43" t="str">
        <f t="shared" si="474"/>
        <v/>
      </c>
      <c r="MY105" s="43" t="str">
        <f t="shared" ca="1" si="451"/>
        <v/>
      </c>
      <c r="MZ105" s="43" t="str">
        <f t="shared" si="475"/>
        <v/>
      </c>
      <c r="NA105" s="43" t="str">
        <f t="shared" si="476"/>
        <v/>
      </c>
      <c r="NB105" s="43" t="str">
        <f t="shared" si="477"/>
        <v/>
      </c>
      <c r="NC105" s="43" t="str">
        <f t="shared" si="478"/>
        <v/>
      </c>
      <c r="ND105" s="43">
        <f t="shared" ca="1" si="479"/>
        <v>3</v>
      </c>
      <c r="NE105" s="43">
        <f>IF(OR(O105&gt;0,R105&gt;0),SUM(COUNTIF(Tabla1[[#This Row],[AÑOS AL INICIO5 CPN]],"&gt;=40"),COUNTIF(AS105,"0"),COUNTIF(AR105,"SI"),COUNTIF(CC105,"SI"),COUNTIF(BQ105,"&gt;119"),COUNTIF(CI105,"&gt;=35")),"")</f>
        <v>0</v>
      </c>
      <c r="NF105" s="43" t="str">
        <f t="shared" si="480"/>
        <v/>
      </c>
      <c r="NG105" s="43">
        <f t="shared" si="481"/>
        <v>0</v>
      </c>
      <c r="NH105" s="43">
        <f t="shared" si="482"/>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3"/>
        <v>X</v>
      </c>
      <c r="NM105" s="43" t="str">
        <f t="shared" si="456"/>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4"/>
        <v>II TRIM</v>
      </c>
      <c r="NQ105" s="21" t="str">
        <f t="shared" si="437"/>
        <v/>
      </c>
      <c r="NR105" s="21">
        <f t="shared" si="452"/>
        <v>2</v>
      </c>
      <c r="NS105" s="205">
        <f t="shared" ca="1" si="485"/>
        <v>0</v>
      </c>
      <c r="NT105" s="21">
        <f t="shared" ca="1" si="486"/>
        <v>0</v>
      </c>
      <c r="NU105" s="21" t="str">
        <f t="shared" ca="1" si="487"/>
        <v>INCOMPLETO</v>
      </c>
      <c r="NV105" s="21" t="str">
        <f t="shared" ca="1" si="488"/>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9"/>
        <v>SIN VACUNAR</v>
      </c>
      <c r="NY105" s="43">
        <f>ROW(Tabla1[[#This Row],['# DE TAMIZAJES SIFILIS TOMADOS ]])</f>
        <v>105</v>
      </c>
      <c r="NZ105" s="43">
        <f t="shared" si="334"/>
        <v>26</v>
      </c>
      <c r="OA105" s="43" t="str">
        <f t="shared" si="335"/>
        <v/>
      </c>
      <c r="OB105" s="43" t="str">
        <f t="shared" si="336"/>
        <v/>
      </c>
      <c r="OC105" s="43" t="str">
        <f t="shared" si="337"/>
        <v/>
      </c>
      <c r="OD105" s="43" t="str">
        <f t="shared" si="338"/>
        <v/>
      </c>
      <c r="OE105" s="43" t="str">
        <f t="shared" si="339"/>
        <v/>
      </c>
      <c r="OF105" s="43" t="str">
        <f t="shared" si="340"/>
        <v/>
      </c>
      <c r="OG105" s="43" t="str">
        <f t="shared" si="341"/>
        <v/>
      </c>
      <c r="OH105" s="43" t="str">
        <f t="shared" si="342"/>
        <v/>
      </c>
      <c r="OI105" s="43" t="str">
        <f t="shared" si="343"/>
        <v/>
      </c>
      <c r="OJ105" s="43" t="str">
        <f t="shared" si="344"/>
        <v/>
      </c>
      <c r="OK105" s="43" t="str">
        <f t="shared" si="345"/>
        <v/>
      </c>
      <c r="OL105" s="43" t="str">
        <f t="shared" si="346"/>
        <v/>
      </c>
      <c r="OM105" s="43" t="str">
        <f t="shared" si="347"/>
        <v/>
      </c>
      <c r="ON105" s="43" t="str">
        <f t="shared" si="348"/>
        <v/>
      </c>
      <c r="OO105" s="43" t="str">
        <f t="shared" si="349"/>
        <v/>
      </c>
      <c r="OP105" s="43" t="str">
        <f t="shared" si="350"/>
        <v/>
      </c>
      <c r="OQ105" s="43" t="str">
        <f t="shared" si="351"/>
        <v/>
      </c>
      <c r="OR105" s="43" t="str">
        <f t="shared" si="352"/>
        <v/>
      </c>
      <c r="OS105" s="43" t="str">
        <f t="shared" si="353"/>
        <v/>
      </c>
      <c r="OT105" s="43" t="str">
        <f t="shared" si="354"/>
        <v/>
      </c>
      <c r="OU105" s="43" t="str">
        <f t="shared" si="355"/>
        <v/>
      </c>
      <c r="OV105" s="110" t="str">
        <f t="shared" si="356"/>
        <v/>
      </c>
      <c r="OW105" s="43" t="str">
        <f t="shared" si="357"/>
        <v/>
      </c>
      <c r="OX105" s="43" t="str">
        <f t="shared" si="358"/>
        <v/>
      </c>
      <c r="OY105" s="43" t="str">
        <f t="shared" si="359"/>
        <v/>
      </c>
      <c r="OZ105" s="43" t="str">
        <f t="shared" si="360"/>
        <v/>
      </c>
      <c r="PA105" s="43" t="str">
        <f t="shared" si="361"/>
        <v/>
      </c>
      <c r="PB105" s="43" t="str">
        <f t="shared" si="362"/>
        <v/>
      </c>
      <c r="PC105" s="43" t="str">
        <f t="shared" si="363"/>
        <v/>
      </c>
      <c r="PD105" s="43" t="str">
        <f t="shared" si="364"/>
        <v/>
      </c>
      <c r="PE105" s="43" t="str">
        <f t="shared" si="365"/>
        <v/>
      </c>
      <c r="PF105" s="43" t="str">
        <f t="shared" si="366"/>
        <v/>
      </c>
      <c r="PG105" s="43" t="str">
        <f t="shared" si="367"/>
        <v/>
      </c>
      <c r="PH105" s="43" t="str">
        <f t="shared" si="368"/>
        <v/>
      </c>
      <c r="PI105" s="43">
        <f t="shared" si="369"/>
        <v>30</v>
      </c>
      <c r="PJ105" s="43" t="str">
        <f t="shared" si="370"/>
        <v/>
      </c>
      <c r="PK105" s="43" t="str">
        <f t="shared" si="371"/>
        <v/>
      </c>
      <c r="PL105" s="43" t="str">
        <f t="shared" si="372"/>
        <v/>
      </c>
      <c r="PM105" s="43" t="str">
        <f t="shared" si="373"/>
        <v/>
      </c>
      <c r="PN105" s="43" t="str">
        <f t="shared" si="374"/>
        <v/>
      </c>
      <c r="PO105" s="43" t="str">
        <f t="shared" si="375"/>
        <v/>
      </c>
      <c r="PP105" s="43" t="str">
        <f t="shared" si="376"/>
        <v/>
      </c>
      <c r="PQ105" s="43" t="str">
        <f t="shared" si="377"/>
        <v/>
      </c>
      <c r="PR105" s="43" t="str">
        <f t="shared" si="378"/>
        <v/>
      </c>
      <c r="PS105" s="43" t="str">
        <f t="shared" si="379"/>
        <v/>
      </c>
      <c r="PT105" s="43" t="str">
        <f t="shared" si="380"/>
        <v/>
      </c>
      <c r="PU105" s="43" t="str">
        <f t="shared" si="381"/>
        <v/>
      </c>
      <c r="PV105" s="43" t="str">
        <f t="shared" si="382"/>
        <v/>
      </c>
      <c r="PW105" s="43" t="str">
        <f t="shared" si="383"/>
        <v/>
      </c>
      <c r="PX105" s="43" t="str">
        <f t="shared" si="384"/>
        <v/>
      </c>
      <c r="PY105" s="43" t="str">
        <f t="shared" si="385"/>
        <v/>
      </c>
      <c r="PZ105" s="43" t="str">
        <f t="shared" si="386"/>
        <v/>
      </c>
      <c r="QA105" s="43" t="str">
        <f t="shared" si="387"/>
        <v/>
      </c>
      <c r="QB105" s="43" t="str">
        <f t="shared" si="388"/>
        <v/>
      </c>
      <c r="QC105" s="43" t="str">
        <f t="shared" si="389"/>
        <v/>
      </c>
      <c r="QD105" s="43" t="str">
        <f t="shared" si="390"/>
        <v/>
      </c>
      <c r="QE105" s="43" t="str">
        <f t="shared" si="391"/>
        <v/>
      </c>
      <c r="QF105" s="43" t="str">
        <f t="shared" si="392"/>
        <v/>
      </c>
      <c r="QG105" s="43" t="str">
        <f t="shared" si="393"/>
        <v/>
      </c>
      <c r="QH105" s="43" t="str">
        <f t="shared" si="394"/>
        <v/>
      </c>
      <c r="QI105" s="43" t="str">
        <f t="shared" si="395"/>
        <v/>
      </c>
      <c r="QJ105" s="43" t="str">
        <f t="shared" si="396"/>
        <v/>
      </c>
      <c r="QK105" s="43" t="str">
        <f t="shared" si="397"/>
        <v/>
      </c>
      <c r="QL105" s="43" t="str">
        <f t="shared" si="398"/>
        <v/>
      </c>
      <c r="QM105" s="43" t="str">
        <f t="shared" si="399"/>
        <v/>
      </c>
      <c r="QN105" s="43" t="str">
        <f t="shared" si="400"/>
        <v/>
      </c>
      <c r="QO105" s="43" t="str">
        <f t="shared" si="401"/>
        <v/>
      </c>
      <c r="QP105" s="43" t="str">
        <f t="shared" si="402"/>
        <v/>
      </c>
      <c r="QQ105" s="43" t="str">
        <f t="shared" si="403"/>
        <v/>
      </c>
      <c r="QR105" s="43">
        <f t="shared" si="433"/>
        <v>30</v>
      </c>
      <c r="QS105" s="43"/>
      <c r="QT105" s="21" t="str">
        <f t="shared" si="404"/>
        <v/>
      </c>
      <c r="QU105" s="21" t="str">
        <f t="shared" si="405"/>
        <v/>
      </c>
      <c r="QV105" s="21" t="str">
        <f t="shared" si="406"/>
        <v/>
      </c>
      <c r="QW105" s="21" t="str">
        <f t="shared" si="407"/>
        <v/>
      </c>
      <c r="QX105" s="21" t="str">
        <f t="shared" si="408"/>
        <v/>
      </c>
      <c r="QY105" s="21" t="str">
        <f t="shared" si="409"/>
        <v/>
      </c>
      <c r="QZ105" s="21" t="str">
        <f t="shared" si="410"/>
        <v/>
      </c>
      <c r="RA105" s="21" t="str">
        <f t="shared" si="411"/>
        <v/>
      </c>
      <c r="RB105" s="21" t="str">
        <f t="shared" si="412"/>
        <v/>
      </c>
      <c r="RC105" s="21" t="str">
        <f t="shared" si="413"/>
        <v/>
      </c>
      <c r="RD105" s="21" t="str">
        <f t="shared" si="414"/>
        <v/>
      </c>
      <c r="RE105" s="21" t="str">
        <f t="shared" si="415"/>
        <v/>
      </c>
      <c r="RF105" s="21" t="str">
        <f t="shared" si="416"/>
        <v/>
      </c>
      <c r="RG105" s="21" t="str">
        <f t="shared" si="417"/>
        <v/>
      </c>
      <c r="RH105" s="21" t="str">
        <f t="shared" si="418"/>
        <v/>
      </c>
      <c r="RI105" s="21" t="str">
        <f t="shared" si="419"/>
        <v/>
      </c>
      <c r="RJ105" s="21" t="str">
        <f t="shared" si="420"/>
        <v/>
      </c>
      <c r="RK105" s="21" t="str">
        <f t="shared" si="421"/>
        <v/>
      </c>
      <c r="RL105" s="21" t="str">
        <f t="shared" si="422"/>
        <v/>
      </c>
      <c r="RM105" s="21" t="str">
        <f t="shared" si="423"/>
        <v/>
      </c>
      <c r="RN105" s="21" t="str">
        <f t="shared" si="424"/>
        <v/>
      </c>
      <c r="RO105" s="21" t="str">
        <f t="shared" si="425"/>
        <v/>
      </c>
      <c r="RP105" s="21" t="str">
        <f t="shared" si="426"/>
        <v/>
      </c>
      <c r="RQ105" s="21" t="str">
        <f t="shared" si="427"/>
        <v/>
      </c>
      <c r="RR105" s="21" t="str">
        <f t="shared" si="428"/>
        <v/>
      </c>
      <c r="RS105" s="21" t="str">
        <f t="shared" si="429"/>
        <v/>
      </c>
      <c r="RT105" s="21" t="str">
        <f t="shared" si="430"/>
        <v/>
      </c>
      <c r="RU105" s="21" t="str">
        <f t="shared" si="431"/>
        <v/>
      </c>
      <c r="RV105" s="21">
        <f t="shared" si="432"/>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4"/>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19.923287671232877</v>
      </c>
      <c r="O106" s="22">
        <v>44966</v>
      </c>
      <c r="P106" s="214" t="str">
        <f t="shared" si="438"/>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7"/>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9"/>
        <v>CONCERTAR PLAN DE PARTO INMEDIATO</v>
      </c>
      <c r="DV106" s="226" t="str">
        <f t="shared" si="440"/>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4">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1"/>
        <v>28.285714285714285</v>
      </c>
      <c r="EU106" s="25" t="str">
        <f t="shared" si="275"/>
        <v>NORMAL- SUMINISTRAR SULFATO FERROSO</v>
      </c>
      <c r="EV106" s="24" t="s">
        <v>1510</v>
      </c>
      <c r="EW106" s="32">
        <v>44967</v>
      </c>
      <c r="EX106" s="22"/>
      <c r="EY106" s="29">
        <f t="shared" si="454"/>
        <v>7.1428571428571432</v>
      </c>
      <c r="EZ106" s="25" t="str">
        <f t="shared" si="455"/>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2"/>
        <v>PIERDE TOMA DE TAMIZAJE</v>
      </c>
      <c r="FP106" s="22" t="s">
        <v>867</v>
      </c>
      <c r="FQ106" s="32">
        <v>45114</v>
      </c>
      <c r="FR106" s="29">
        <f t="shared" ca="1" si="443"/>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3"/>
        <v>PIERDE TOMA DE TAMIZAJE</v>
      </c>
      <c r="GB106" s="22"/>
      <c r="GC106" s="22"/>
      <c r="GD106" s="29" t="str">
        <f t="shared" ca="1" si="444"/>
        <v>PIERDE TOMA DE TAMIZAJE</v>
      </c>
      <c r="GE106" s="22"/>
      <c r="GF106" s="22"/>
      <c r="GG106" s="29" t="str">
        <f t="shared" ca="1" si="445"/>
        <v>TOMA INMEDIATA DE TAMIZAJE</v>
      </c>
      <c r="GH106" s="22"/>
      <c r="GI106" s="29"/>
      <c r="GJ106" s="22"/>
      <c r="GK106" s="22"/>
      <c r="GL106" s="22"/>
      <c r="GM106" s="22"/>
      <c r="GN106" s="28" t="s">
        <v>869</v>
      </c>
      <c r="GO106" s="22">
        <v>44967</v>
      </c>
      <c r="GP106" s="29">
        <f t="shared" si="283"/>
        <v>7.1428571428571432</v>
      </c>
      <c r="GQ106" s="28"/>
      <c r="GR106" s="28"/>
      <c r="GS106" s="22" t="str">
        <f t="shared" si="458"/>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t="str">
        <f t="shared" ca="1" si="289"/>
        <v>**********************MULTIPARIDAD*****************</v>
      </c>
      <c r="HK106" s="21" t="str">
        <f t="shared" si="290"/>
        <v>SIN ANTECEDENTES DE RIESGO</v>
      </c>
      <c r="HL106" s="24" t="str">
        <f t="shared" si="291"/>
        <v>APARENTEMENTE NORMAL</v>
      </c>
      <c r="HM106" s="21" t="e">
        <f t="shared" ca="1" si="292"/>
        <v>#REF!</v>
      </c>
      <c r="HN106" s="30" t="str">
        <f t="shared" si="446"/>
        <v>ACTIVA INGRESO A CPN</v>
      </c>
      <c r="HO106" s="21"/>
      <c r="HP106" s="21"/>
      <c r="HQ106" s="349">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3"/>
        <v>PENDIENTE CONSULTA</v>
      </c>
      <c r="IA106" s="26"/>
      <c r="IB106" s="26"/>
      <c r="IC106" s="111"/>
      <c r="ID106" s="22"/>
      <c r="IE106" s="22" t="str">
        <f t="shared" ca="1" si="294"/>
        <v/>
      </c>
      <c r="IF106" s="22"/>
      <c r="IG106" s="22">
        <f t="shared" si="295"/>
        <v>45197</v>
      </c>
      <c r="IH106" s="29">
        <f t="shared" ca="1" si="296"/>
        <v>-35</v>
      </c>
      <c r="II106" s="22" t="str">
        <f t="shared" ca="1" si="297"/>
        <v>POSIBLEMENTE NACIO</v>
      </c>
      <c r="IJ106" s="22"/>
      <c r="IK106" s="21"/>
      <c r="IL106" s="21" t="s">
        <v>1639</v>
      </c>
      <c r="IM106" s="34"/>
      <c r="IN106" s="22"/>
      <c r="IO106" s="21"/>
      <c r="IP106" s="29" t="str">
        <f t="shared" si="436"/>
        <v/>
      </c>
      <c r="IQ106" s="110"/>
      <c r="IR106" s="21"/>
      <c r="IS106" s="21"/>
      <c r="IT106" s="21"/>
      <c r="IU106" s="21"/>
      <c r="IV106" s="21"/>
      <c r="IW106" s="21"/>
      <c r="IX106" s="21"/>
      <c r="IY106" s="21"/>
      <c r="IZ106" s="21"/>
      <c r="JA106" s="21"/>
      <c r="JB106" s="30"/>
      <c r="JC106" s="21"/>
      <c r="JD106" s="36"/>
      <c r="JE106" s="21" t="str">
        <f t="shared" si="447"/>
        <v/>
      </c>
      <c r="JF106" s="30"/>
      <c r="JG106" s="21"/>
      <c r="JH106" s="21"/>
      <c r="JI106" s="21"/>
      <c r="JJ106" s="30"/>
      <c r="JK106" s="22"/>
      <c r="JL106" s="22"/>
      <c r="JM106" s="21"/>
      <c r="JN106" s="36"/>
      <c r="JO106" s="21" t="str">
        <f t="shared" si="448"/>
        <v/>
      </c>
      <c r="JP106" s="22"/>
      <c r="JQ106" s="21"/>
      <c r="JR106" s="21"/>
      <c r="JS106" s="21"/>
      <c r="JT106" s="30"/>
      <c r="JU106" s="22"/>
      <c r="JV106" s="22"/>
      <c r="JW106" s="33"/>
      <c r="JX106" s="28" t="str">
        <f t="shared" si="449"/>
        <v/>
      </c>
      <c r="JY106" s="33"/>
      <c r="JZ106" s="28" t="str">
        <f t="shared" si="450"/>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9"/>
        <v>0</v>
      </c>
      <c r="MI106" s="43" t="str">
        <f t="shared" si="460"/>
        <v/>
      </c>
      <c r="MJ106" s="43" t="str">
        <f t="shared" si="461"/>
        <v/>
      </c>
      <c r="MK106" s="43">
        <f t="shared" si="462"/>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3"/>
        <v>7</v>
      </c>
      <c r="MN106" s="43">
        <f t="shared" si="464"/>
        <v>2</v>
      </c>
      <c r="MO106" s="43">
        <f t="shared" si="465"/>
        <v>2023</v>
      </c>
      <c r="MP106" s="43" t="str">
        <f t="shared" si="466"/>
        <v>I TRIMESTRE AÑO</v>
      </c>
      <c r="MQ106" s="43">
        <f t="shared" si="467"/>
        <v>18.900569426193602</v>
      </c>
      <c r="MR106" s="43">
        <f t="shared" si="468"/>
        <v>0</v>
      </c>
      <c r="MS106" s="43" t="str">
        <f t="shared" si="469"/>
        <v>DE 14 A 19AÑOS</v>
      </c>
      <c r="MT106" s="43">
        <f t="shared" si="470"/>
        <v>0</v>
      </c>
      <c r="MU106" s="43">
        <f t="shared" si="471"/>
        <v>1</v>
      </c>
      <c r="MV106" s="43">
        <f t="shared" si="472"/>
        <v>0</v>
      </c>
      <c r="MW106" s="43">
        <f t="shared" si="473"/>
        <v>0</v>
      </c>
      <c r="MX106" s="43" t="str">
        <f t="shared" si="474"/>
        <v/>
      </c>
      <c r="MY106" s="43" t="str">
        <f t="shared" ca="1" si="451"/>
        <v/>
      </c>
      <c r="MZ106" s="43" t="str">
        <f t="shared" si="475"/>
        <v/>
      </c>
      <c r="NA106" s="43" t="str">
        <f t="shared" si="476"/>
        <v/>
      </c>
      <c r="NB106" s="43" t="str">
        <f t="shared" si="477"/>
        <v/>
      </c>
      <c r="NC106" s="43" t="str">
        <f t="shared" si="478"/>
        <v/>
      </c>
      <c r="ND106" s="43">
        <f t="shared" ca="1" si="479"/>
        <v>1</v>
      </c>
      <c r="NE106" s="43">
        <f>IF(OR(O106&gt;0,R106&gt;0),SUM(COUNTIF(Tabla1[[#This Row],[AÑOS AL INICIO5 CPN]],"&gt;=40"),COUNTIF(AS106,"0"),COUNTIF(AR106,"SI"),COUNTIF(CC106,"SI"),COUNTIF(BQ106,"&gt;119"),COUNTIF(CI106,"&gt;=35")),"")</f>
        <v>0</v>
      </c>
      <c r="NF106" s="43" t="str">
        <f t="shared" si="480"/>
        <v/>
      </c>
      <c r="NG106" s="43">
        <f t="shared" si="481"/>
        <v>0</v>
      </c>
      <c r="NH106" s="43">
        <f t="shared" si="482"/>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3"/>
        <v>8</v>
      </c>
      <c r="NM106" s="43" t="str">
        <f t="shared" si="456"/>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4"/>
        <v>I TRIM</v>
      </c>
      <c r="NQ106" s="21" t="str">
        <f t="shared" si="437"/>
        <v/>
      </c>
      <c r="NR106" s="21" t="str">
        <f t="shared" ca="1" si="452"/>
        <v>REVISAR FUM O FECHA SALIDA PROGRAMA</v>
      </c>
      <c r="NS106" s="205">
        <f t="shared" ca="1" si="485"/>
        <v>2</v>
      </c>
      <c r="NT106" s="21">
        <f t="shared" ca="1" si="486"/>
        <v>0</v>
      </c>
      <c r="NU106" s="21" t="str">
        <f t="shared" ca="1" si="487"/>
        <v>POR DEFINIR</v>
      </c>
      <c r="NV106" s="21" t="str">
        <f t="shared" ca="1" si="488"/>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9"/>
        <v>SIN VACUNAR</v>
      </c>
      <c r="NY106" s="43">
        <f>ROW(Tabla1[[#This Row],['# DE TAMIZAJES SIFILIS TOMADOS ]])</f>
        <v>106</v>
      </c>
      <c r="NZ106" s="43" t="str">
        <f t="shared" si="334"/>
        <v>Menor</v>
      </c>
      <c r="OA106" s="43" t="str">
        <f t="shared" si="335"/>
        <v>NORMAL</v>
      </c>
      <c r="OB106" s="43" t="str">
        <f t="shared" si="336"/>
        <v/>
      </c>
      <c r="OC106" s="43" t="str">
        <f t="shared" si="337"/>
        <v/>
      </c>
      <c r="OD106" s="43" t="str">
        <f t="shared" si="338"/>
        <v/>
      </c>
      <c r="OE106" s="43" t="str">
        <f t="shared" si="339"/>
        <v/>
      </c>
      <c r="OF106" s="43" t="str">
        <f t="shared" si="340"/>
        <v/>
      </c>
      <c r="OG106" s="43" t="str">
        <f t="shared" si="341"/>
        <v/>
      </c>
      <c r="OH106" s="43" t="str">
        <f t="shared" si="342"/>
        <v/>
      </c>
      <c r="OI106" s="43" t="str">
        <f t="shared" si="343"/>
        <v/>
      </c>
      <c r="OJ106" s="43" t="str">
        <f t="shared" si="344"/>
        <v/>
      </c>
      <c r="OK106" s="43" t="str">
        <f t="shared" si="345"/>
        <v/>
      </c>
      <c r="OL106" s="43" t="str">
        <f t="shared" si="346"/>
        <v/>
      </c>
      <c r="OM106" s="43" t="str">
        <f t="shared" si="347"/>
        <v/>
      </c>
      <c r="ON106" s="43" t="str">
        <f t="shared" si="348"/>
        <v/>
      </c>
      <c r="OO106" s="43" t="str">
        <f t="shared" si="349"/>
        <v/>
      </c>
      <c r="OP106" s="43" t="str">
        <f t="shared" si="350"/>
        <v/>
      </c>
      <c r="OQ106" s="43" t="str">
        <f t="shared" si="351"/>
        <v/>
      </c>
      <c r="OR106" s="43" t="str">
        <f t="shared" si="352"/>
        <v/>
      </c>
      <c r="OS106" s="43" t="str">
        <f t="shared" si="353"/>
        <v/>
      </c>
      <c r="OT106" s="43" t="str">
        <f t="shared" si="354"/>
        <v/>
      </c>
      <c r="OU106" s="43" t="str">
        <f t="shared" si="355"/>
        <v/>
      </c>
      <c r="OV106" s="110" t="str">
        <f t="shared" si="356"/>
        <v/>
      </c>
      <c r="OW106" s="43" t="str">
        <f t="shared" si="357"/>
        <v/>
      </c>
      <c r="OX106" s="43" t="str">
        <f t="shared" si="358"/>
        <v/>
      </c>
      <c r="OY106" s="43" t="str">
        <f t="shared" si="359"/>
        <v/>
      </c>
      <c r="OZ106" s="43" t="str">
        <f t="shared" si="360"/>
        <v/>
      </c>
      <c r="PA106" s="43" t="str">
        <f t="shared" si="361"/>
        <v/>
      </c>
      <c r="PB106" s="43" t="str">
        <f t="shared" si="362"/>
        <v/>
      </c>
      <c r="PC106" s="43" t="str">
        <f t="shared" si="363"/>
        <v/>
      </c>
      <c r="PD106" s="43" t="str">
        <f t="shared" si="364"/>
        <v/>
      </c>
      <c r="PE106" s="43" t="str">
        <f t="shared" si="365"/>
        <v/>
      </c>
      <c r="PF106" s="43" t="str">
        <f t="shared" si="366"/>
        <v/>
      </c>
      <c r="PG106" s="43" t="str">
        <f t="shared" si="367"/>
        <v/>
      </c>
      <c r="PH106" s="43" t="str">
        <f t="shared" si="368"/>
        <v/>
      </c>
      <c r="PI106" s="43">
        <f t="shared" si="369"/>
        <v>36</v>
      </c>
      <c r="PJ106" s="43" t="str">
        <f t="shared" si="370"/>
        <v/>
      </c>
      <c r="PK106" s="43" t="str">
        <f t="shared" si="371"/>
        <v/>
      </c>
      <c r="PL106" s="43" t="str">
        <f t="shared" si="372"/>
        <v/>
      </c>
      <c r="PM106" s="43" t="str">
        <f t="shared" si="373"/>
        <v/>
      </c>
      <c r="PN106" s="43" t="str">
        <f t="shared" si="374"/>
        <v/>
      </c>
      <c r="PO106" s="43" t="str">
        <f t="shared" si="375"/>
        <v/>
      </c>
      <c r="PP106" s="43" t="str">
        <f t="shared" si="376"/>
        <v/>
      </c>
      <c r="PQ106" s="43" t="str">
        <f t="shared" si="377"/>
        <v/>
      </c>
      <c r="PR106" s="43" t="str">
        <f t="shared" si="378"/>
        <v/>
      </c>
      <c r="PS106" s="43" t="str">
        <f t="shared" si="379"/>
        <v/>
      </c>
      <c r="PT106" s="43" t="str">
        <f t="shared" si="380"/>
        <v/>
      </c>
      <c r="PU106" s="43" t="str">
        <f t="shared" si="381"/>
        <v/>
      </c>
      <c r="PV106" s="43" t="str">
        <f t="shared" si="382"/>
        <v/>
      </c>
      <c r="PW106" s="43" t="str">
        <f t="shared" si="383"/>
        <v/>
      </c>
      <c r="PX106" s="43" t="str">
        <f t="shared" si="384"/>
        <v/>
      </c>
      <c r="PY106" s="43" t="str">
        <f t="shared" si="385"/>
        <v/>
      </c>
      <c r="PZ106" s="43" t="str">
        <f t="shared" si="386"/>
        <v/>
      </c>
      <c r="QA106" s="43" t="str">
        <f t="shared" si="387"/>
        <v/>
      </c>
      <c r="QB106" s="43" t="str">
        <f t="shared" si="388"/>
        <v/>
      </c>
      <c r="QC106" s="43" t="str">
        <f t="shared" si="389"/>
        <v/>
      </c>
      <c r="QD106" s="43" t="str">
        <f t="shared" si="390"/>
        <v/>
      </c>
      <c r="QE106" s="43" t="str">
        <f t="shared" si="391"/>
        <v/>
      </c>
      <c r="QF106" s="43" t="str">
        <f t="shared" si="392"/>
        <v/>
      </c>
      <c r="QG106" s="43" t="str">
        <f t="shared" si="393"/>
        <v/>
      </c>
      <c r="QH106" s="43" t="str">
        <f t="shared" si="394"/>
        <v/>
      </c>
      <c r="QI106" s="43" t="str">
        <f t="shared" si="395"/>
        <v/>
      </c>
      <c r="QJ106" s="43" t="str">
        <f t="shared" si="396"/>
        <v/>
      </c>
      <c r="QK106" s="43" t="str">
        <f t="shared" si="397"/>
        <v>NORMAL</v>
      </c>
      <c r="QL106" s="43" t="str">
        <f t="shared" si="398"/>
        <v/>
      </c>
      <c r="QM106" s="43" t="str">
        <f t="shared" si="399"/>
        <v/>
      </c>
      <c r="QN106" s="43" t="str">
        <f t="shared" si="400"/>
        <v/>
      </c>
      <c r="QO106" s="43" t="str">
        <f t="shared" si="401"/>
        <v/>
      </c>
      <c r="QP106" s="43" t="str">
        <f t="shared" si="402"/>
        <v/>
      </c>
      <c r="QQ106" s="43" t="str">
        <f t="shared" si="403"/>
        <v/>
      </c>
      <c r="QR106" s="43">
        <f t="shared" si="433"/>
        <v>36</v>
      </c>
      <c r="QS106" s="43"/>
      <c r="QT106" s="21" t="str">
        <f t="shared" si="404"/>
        <v/>
      </c>
      <c r="QU106" s="21" t="str">
        <f t="shared" si="405"/>
        <v/>
      </c>
      <c r="QV106" s="21" t="str">
        <f t="shared" si="406"/>
        <v/>
      </c>
      <c r="QW106" s="21" t="str">
        <f t="shared" si="407"/>
        <v/>
      </c>
      <c r="QX106" s="21" t="str">
        <f t="shared" si="408"/>
        <v/>
      </c>
      <c r="QY106" s="21" t="str">
        <f t="shared" si="409"/>
        <v/>
      </c>
      <c r="QZ106" s="21" t="str">
        <f t="shared" si="410"/>
        <v/>
      </c>
      <c r="RA106" s="21" t="str">
        <f t="shared" si="411"/>
        <v/>
      </c>
      <c r="RB106" s="21" t="str">
        <f t="shared" si="412"/>
        <v/>
      </c>
      <c r="RC106" s="21" t="str">
        <f t="shared" si="413"/>
        <v/>
      </c>
      <c r="RD106" s="21" t="str">
        <f t="shared" si="414"/>
        <v/>
      </c>
      <c r="RE106" s="21" t="str">
        <f t="shared" si="415"/>
        <v/>
      </c>
      <c r="RF106" s="21" t="str">
        <f t="shared" si="416"/>
        <v/>
      </c>
      <c r="RG106" s="21" t="str">
        <f t="shared" si="417"/>
        <v/>
      </c>
      <c r="RH106" s="21" t="str">
        <f t="shared" si="418"/>
        <v/>
      </c>
      <c r="RI106" s="21" t="str">
        <f t="shared" si="419"/>
        <v/>
      </c>
      <c r="RJ106" s="21" t="str">
        <f t="shared" si="420"/>
        <v/>
      </c>
      <c r="RK106" s="21" t="str">
        <f t="shared" si="421"/>
        <v/>
      </c>
      <c r="RL106" s="21" t="str">
        <f t="shared" si="422"/>
        <v/>
      </c>
      <c r="RM106" s="21" t="str">
        <f t="shared" si="423"/>
        <v/>
      </c>
      <c r="RN106" s="21" t="str">
        <f t="shared" si="424"/>
        <v/>
      </c>
      <c r="RO106" s="21" t="str">
        <f t="shared" si="425"/>
        <v/>
      </c>
      <c r="RP106" s="21" t="str">
        <f t="shared" si="426"/>
        <v/>
      </c>
      <c r="RQ106" s="21" t="str">
        <f t="shared" si="427"/>
        <v>ADECUADO PARA EDAD GESTACIONAL</v>
      </c>
      <c r="RR106" s="21" t="str">
        <f t="shared" si="428"/>
        <v/>
      </c>
      <c r="RS106" s="21" t="str">
        <f t="shared" si="429"/>
        <v/>
      </c>
      <c r="RT106" s="21" t="str">
        <f t="shared" si="430"/>
        <v/>
      </c>
      <c r="RU106" s="21" t="str">
        <f t="shared" si="431"/>
        <v/>
      </c>
      <c r="RV106" s="21">
        <f t="shared" si="432"/>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4"/>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25.5013698630137</v>
      </c>
      <c r="O107" s="22">
        <v>44966</v>
      </c>
      <c r="P107" s="214" t="str">
        <f t="shared" si="438"/>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7"/>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9"/>
        <v>CONCERTAR PLAN DE PARTO INMEDIATO</v>
      </c>
      <c r="DV107" s="226" t="str">
        <f t="shared" si="440"/>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1"/>
        <v>TOMA DE HEMOGLOBINA TARDÍA</v>
      </c>
      <c r="EU107" s="25" t="str">
        <f t="shared" si="275"/>
        <v/>
      </c>
      <c r="EV107" s="24" t="s">
        <v>1510</v>
      </c>
      <c r="EW107" s="24">
        <v>44967</v>
      </c>
      <c r="EX107" s="22"/>
      <c r="EY107" s="29">
        <f t="shared" si="454"/>
        <v>6.8571428571428568</v>
      </c>
      <c r="EZ107" s="25" t="str">
        <f t="shared" si="455"/>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2"/>
        <v>15.571428571428571</v>
      </c>
      <c r="FP107" s="22"/>
      <c r="FQ107" s="32"/>
      <c r="FR107" s="29" t="str">
        <f t="shared" ca="1" si="443"/>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3"/>
        <v>PIERDE TOMA DE TAMIZAJE</v>
      </c>
      <c r="GB107" s="22" t="s">
        <v>868</v>
      </c>
      <c r="GC107" s="22">
        <v>45028</v>
      </c>
      <c r="GD107" s="29">
        <f t="shared" ca="1" si="444"/>
        <v>15.571428571428571</v>
      </c>
      <c r="GE107" s="22"/>
      <c r="GF107" s="22"/>
      <c r="GG107" s="29" t="str">
        <f t="shared" ca="1" si="445"/>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8"/>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t="str">
        <f t="shared" ca="1" si="289"/>
        <v>**********************MULTIPARIDAD*****************</v>
      </c>
      <c r="HK107" s="21" t="str">
        <f t="shared" si="290"/>
        <v>SIN ANTECEDENTES DE RIESGO</v>
      </c>
      <c r="HL107" s="24" t="str">
        <f t="shared" si="291"/>
        <v>APARENTEMENTE NORMAL</v>
      </c>
      <c r="HM107" s="21" t="e">
        <f t="shared" ca="1" si="292"/>
        <v>#REF!</v>
      </c>
      <c r="HN107" s="30" t="str">
        <f t="shared" si="446"/>
        <v>ACTIVA INGRESO A CPN</v>
      </c>
      <c r="HO107" s="21"/>
      <c r="HP107" s="21"/>
      <c r="HQ107" s="349">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3"/>
        <v>8.5714285714285712</v>
      </c>
      <c r="IA107" s="26"/>
      <c r="IB107" s="26"/>
      <c r="IC107" s="111"/>
      <c r="ID107" s="22"/>
      <c r="IE107" s="22" t="str">
        <f t="shared" ca="1" si="294"/>
        <v/>
      </c>
      <c r="IF107" s="22"/>
      <c r="IG107" s="22">
        <f t="shared" si="295"/>
        <v>45199</v>
      </c>
      <c r="IH107" s="29">
        <f t="shared" ca="1" si="296"/>
        <v>-33</v>
      </c>
      <c r="II107" s="22" t="str">
        <f t="shared" ca="1" si="297"/>
        <v>POSIBLEMENTE NACIO</v>
      </c>
      <c r="IJ107" s="22"/>
      <c r="IK107" s="21"/>
      <c r="IL107" s="21"/>
      <c r="IM107" s="34"/>
      <c r="IN107" s="22"/>
      <c r="IO107" s="21"/>
      <c r="IP107" s="29" t="str">
        <f t="shared" ref="IP107:IP138" si="490">IF(AND(IN107&gt;0,IK107&lt;&gt;""),SUM(IN107-RW107)/7,"")</f>
        <v/>
      </c>
      <c r="IQ107" s="110"/>
      <c r="IR107" s="21"/>
      <c r="IS107" s="21"/>
      <c r="IT107" s="21"/>
      <c r="IU107" s="21"/>
      <c r="IV107" s="21"/>
      <c r="IW107" s="21"/>
      <c r="IX107" s="21"/>
      <c r="IY107" s="21"/>
      <c r="IZ107" s="21"/>
      <c r="JA107" s="21"/>
      <c r="JB107" s="30"/>
      <c r="JC107" s="21"/>
      <c r="JD107" s="36"/>
      <c r="JE107" s="21" t="str">
        <f t="shared" si="447"/>
        <v/>
      </c>
      <c r="JF107" s="30"/>
      <c r="JG107" s="21"/>
      <c r="JH107" s="21"/>
      <c r="JI107" s="21"/>
      <c r="JJ107" s="30"/>
      <c r="JK107" s="22"/>
      <c r="JL107" s="22"/>
      <c r="JM107" s="21"/>
      <c r="JN107" s="36"/>
      <c r="JO107" s="21" t="str">
        <f t="shared" si="448"/>
        <v/>
      </c>
      <c r="JP107" s="22"/>
      <c r="JQ107" s="21"/>
      <c r="JR107" s="21"/>
      <c r="JS107" s="21"/>
      <c r="JT107" s="30"/>
      <c r="JU107" s="22"/>
      <c r="JV107" s="22"/>
      <c r="JW107" s="33"/>
      <c r="JX107" s="28" t="str">
        <f t="shared" si="449"/>
        <v/>
      </c>
      <c r="JY107" s="33"/>
      <c r="JZ107" s="28" t="str">
        <f t="shared" si="450"/>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9"/>
        <v>0</v>
      </c>
      <c r="MI107" s="43" t="str">
        <f t="shared" si="460"/>
        <v/>
      </c>
      <c r="MJ107" s="43" t="str">
        <f t="shared" si="461"/>
        <v/>
      </c>
      <c r="MK107" s="43">
        <f t="shared" si="462"/>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3"/>
        <v>6.7142857142857144</v>
      </c>
      <c r="MN107" s="43">
        <f t="shared" si="464"/>
        <v>2</v>
      </c>
      <c r="MO107" s="43">
        <f t="shared" si="465"/>
        <v>2023</v>
      </c>
      <c r="MP107" s="43" t="str">
        <f t="shared" si="466"/>
        <v>I TRIMESTRE AÑO</v>
      </c>
      <c r="MQ107" s="43">
        <f t="shared" si="467"/>
        <v>24.392247043363994</v>
      </c>
      <c r="MR107" s="43">
        <f t="shared" si="468"/>
        <v>0</v>
      </c>
      <c r="MS107" s="43" t="str">
        <f t="shared" si="469"/>
        <v xml:space="preserve"> DE 20 A 24 AÑOS</v>
      </c>
      <c r="MT107" s="43">
        <f t="shared" si="470"/>
        <v>0</v>
      </c>
      <c r="MU107" s="43">
        <f t="shared" si="471"/>
        <v>1</v>
      </c>
      <c r="MV107" s="43">
        <f t="shared" si="472"/>
        <v>0</v>
      </c>
      <c r="MW107" s="43">
        <f t="shared" si="473"/>
        <v>0</v>
      </c>
      <c r="MX107" s="43" t="str">
        <f t="shared" si="474"/>
        <v/>
      </c>
      <c r="MY107" s="43" t="str">
        <f t="shared" ca="1" si="451"/>
        <v/>
      </c>
      <c r="MZ107" s="43" t="str">
        <f t="shared" si="475"/>
        <v/>
      </c>
      <c r="NA107" s="43" t="str">
        <f t="shared" si="476"/>
        <v/>
      </c>
      <c r="NB107" s="43" t="str">
        <f t="shared" si="477"/>
        <v/>
      </c>
      <c r="NC107" s="43" t="str">
        <f t="shared" si="478"/>
        <v/>
      </c>
      <c r="ND107" s="43">
        <f t="shared" ca="1" si="479"/>
        <v>1</v>
      </c>
      <c r="NE107" s="43">
        <f>IF(OR(O107&gt;0,R107&gt;0),SUM(COUNTIF(Tabla1[[#This Row],[AÑOS AL INICIO5 CPN]],"&gt;=40"),COUNTIF(AS107,"0"),COUNTIF(AR107,"SI"),COUNTIF(CC107,"SI"),COUNTIF(BQ107,"&gt;119"),COUNTIF(CI107,"&gt;=35")),"")</f>
        <v>0</v>
      </c>
      <c r="NF107" s="43" t="str">
        <f t="shared" si="480"/>
        <v/>
      </c>
      <c r="NG107" s="43">
        <f t="shared" si="481"/>
        <v>0</v>
      </c>
      <c r="NH107" s="43">
        <f t="shared" si="482"/>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3"/>
        <v>74</v>
      </c>
      <c r="NM107" s="43" t="str">
        <f t="shared" si="456"/>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4"/>
        <v>I TRIM</v>
      </c>
      <c r="NQ107" s="21" t="str">
        <f t="shared" si="437"/>
        <v/>
      </c>
      <c r="NR107" s="21" t="str">
        <f t="shared" ca="1" si="452"/>
        <v>REVISAR FUM O FECHA SALIDA PROGRAMA</v>
      </c>
      <c r="NS107" s="205">
        <f t="shared" ca="1" si="485"/>
        <v>2</v>
      </c>
      <c r="NT107" s="21">
        <f t="shared" ca="1" si="486"/>
        <v>1</v>
      </c>
      <c r="NU107" s="21" t="str">
        <f t="shared" ca="1" si="487"/>
        <v>POR DEFINIR</v>
      </c>
      <c r="NV107" s="21" t="str">
        <f t="shared" ca="1" si="488"/>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9"/>
        <v>SIN VACUNAR</v>
      </c>
      <c r="NY107" s="43">
        <f>ROW(Tabla1[[#This Row],['# DE TAMIZAJES SIFILIS TOMADOS ]])</f>
        <v>107</v>
      </c>
      <c r="NZ107" s="43" t="str">
        <f t="shared" si="334"/>
        <v>Menor</v>
      </c>
      <c r="OA107" s="43" t="str">
        <f t="shared" si="335"/>
        <v>NORMAL</v>
      </c>
      <c r="OB107" s="43" t="str">
        <f t="shared" si="336"/>
        <v/>
      </c>
      <c r="OC107" s="43" t="str">
        <f t="shared" si="337"/>
        <v/>
      </c>
      <c r="OD107" s="43" t="str">
        <f t="shared" si="338"/>
        <v/>
      </c>
      <c r="OE107" s="43" t="str">
        <f t="shared" si="339"/>
        <v/>
      </c>
      <c r="OF107" s="43" t="str">
        <f t="shared" si="340"/>
        <v/>
      </c>
      <c r="OG107" s="43" t="str">
        <f t="shared" si="341"/>
        <v/>
      </c>
      <c r="OH107" s="43" t="str">
        <f t="shared" si="342"/>
        <v/>
      </c>
      <c r="OI107" s="43" t="str">
        <f t="shared" si="343"/>
        <v/>
      </c>
      <c r="OJ107" s="43" t="str">
        <f t="shared" si="344"/>
        <v/>
      </c>
      <c r="OK107" s="43" t="str">
        <f t="shared" si="345"/>
        <v/>
      </c>
      <c r="OL107" s="43" t="str">
        <f t="shared" si="346"/>
        <v/>
      </c>
      <c r="OM107" s="43" t="str">
        <f t="shared" si="347"/>
        <v/>
      </c>
      <c r="ON107" s="43" t="str">
        <f t="shared" si="348"/>
        <v/>
      </c>
      <c r="OO107" s="43" t="str">
        <f t="shared" si="349"/>
        <v/>
      </c>
      <c r="OP107" s="43" t="str">
        <f t="shared" si="350"/>
        <v/>
      </c>
      <c r="OQ107" s="43" t="str">
        <f t="shared" si="351"/>
        <v/>
      </c>
      <c r="OR107" s="43" t="str">
        <f t="shared" si="352"/>
        <v/>
      </c>
      <c r="OS107" s="43" t="str">
        <f t="shared" si="353"/>
        <v/>
      </c>
      <c r="OT107" s="43" t="str">
        <f t="shared" si="354"/>
        <v/>
      </c>
      <c r="OU107" s="43" t="str">
        <f t="shared" si="355"/>
        <v/>
      </c>
      <c r="OV107" s="110" t="str">
        <f t="shared" si="356"/>
        <v/>
      </c>
      <c r="OW107" s="43" t="str">
        <f t="shared" si="357"/>
        <v/>
      </c>
      <c r="OX107" s="43" t="str">
        <f t="shared" si="358"/>
        <v/>
      </c>
      <c r="OY107" s="43" t="str">
        <f t="shared" si="359"/>
        <v/>
      </c>
      <c r="OZ107" s="43" t="str">
        <f t="shared" si="360"/>
        <v/>
      </c>
      <c r="PA107" s="43" t="str">
        <f t="shared" si="361"/>
        <v/>
      </c>
      <c r="PB107" s="43" t="str">
        <f t="shared" si="362"/>
        <v/>
      </c>
      <c r="PC107" s="43" t="str">
        <f t="shared" si="363"/>
        <v/>
      </c>
      <c r="PD107" s="43" t="str">
        <f t="shared" si="364"/>
        <v/>
      </c>
      <c r="PE107" s="43" t="str">
        <f t="shared" si="365"/>
        <v/>
      </c>
      <c r="PF107" s="43" t="str">
        <f t="shared" si="366"/>
        <v/>
      </c>
      <c r="PG107" s="43" t="str">
        <f t="shared" si="367"/>
        <v/>
      </c>
      <c r="PH107" s="43" t="str">
        <f t="shared" si="368"/>
        <v/>
      </c>
      <c r="PI107" s="43">
        <f t="shared" si="369"/>
        <v>29</v>
      </c>
      <c r="PJ107" s="43" t="str">
        <f t="shared" si="370"/>
        <v/>
      </c>
      <c r="PK107" s="43" t="str">
        <f t="shared" si="371"/>
        <v/>
      </c>
      <c r="PL107" s="43" t="str">
        <f t="shared" si="372"/>
        <v/>
      </c>
      <c r="PM107" s="43" t="str">
        <f t="shared" si="373"/>
        <v/>
      </c>
      <c r="PN107" s="43" t="str">
        <f t="shared" si="374"/>
        <v/>
      </c>
      <c r="PO107" s="43" t="str">
        <f t="shared" si="375"/>
        <v/>
      </c>
      <c r="PP107" s="43" t="str">
        <f t="shared" si="376"/>
        <v/>
      </c>
      <c r="PQ107" s="43" t="str">
        <f t="shared" si="377"/>
        <v/>
      </c>
      <c r="PR107" s="43" t="str">
        <f t="shared" si="378"/>
        <v/>
      </c>
      <c r="PS107" s="43" t="str">
        <f t="shared" si="379"/>
        <v/>
      </c>
      <c r="PT107" s="43" t="str">
        <f t="shared" si="380"/>
        <v/>
      </c>
      <c r="PU107" s="43" t="str">
        <f t="shared" si="381"/>
        <v/>
      </c>
      <c r="PV107" s="43" t="str">
        <f t="shared" si="382"/>
        <v/>
      </c>
      <c r="PW107" s="43" t="str">
        <f t="shared" si="383"/>
        <v/>
      </c>
      <c r="PX107" s="43" t="str">
        <f t="shared" si="384"/>
        <v/>
      </c>
      <c r="PY107" s="43" t="str">
        <f t="shared" si="385"/>
        <v/>
      </c>
      <c r="PZ107" s="43" t="str">
        <f t="shared" si="386"/>
        <v/>
      </c>
      <c r="QA107" s="43" t="str">
        <f t="shared" si="387"/>
        <v/>
      </c>
      <c r="QB107" s="43" t="str">
        <f t="shared" si="388"/>
        <v/>
      </c>
      <c r="QC107" s="43" t="str">
        <f t="shared" si="389"/>
        <v/>
      </c>
      <c r="QD107" s="43" t="str">
        <f t="shared" si="390"/>
        <v>NORMAL</v>
      </c>
      <c r="QE107" s="43" t="str">
        <f t="shared" si="391"/>
        <v/>
      </c>
      <c r="QF107" s="43" t="str">
        <f t="shared" si="392"/>
        <v/>
      </c>
      <c r="QG107" s="43" t="str">
        <f t="shared" si="393"/>
        <v/>
      </c>
      <c r="QH107" s="43" t="str">
        <f t="shared" si="394"/>
        <v/>
      </c>
      <c r="QI107" s="43" t="str">
        <f t="shared" si="395"/>
        <v/>
      </c>
      <c r="QJ107" s="43" t="str">
        <f t="shared" si="396"/>
        <v/>
      </c>
      <c r="QK107" s="43" t="str">
        <f t="shared" si="397"/>
        <v/>
      </c>
      <c r="QL107" s="43" t="str">
        <f t="shared" si="398"/>
        <v/>
      </c>
      <c r="QM107" s="43" t="str">
        <f t="shared" si="399"/>
        <v/>
      </c>
      <c r="QN107" s="43" t="str">
        <f t="shared" si="400"/>
        <v/>
      </c>
      <c r="QO107" s="43" t="str">
        <f t="shared" si="401"/>
        <v/>
      </c>
      <c r="QP107" s="43" t="str">
        <f t="shared" si="402"/>
        <v/>
      </c>
      <c r="QQ107" s="43" t="str">
        <f t="shared" si="403"/>
        <v/>
      </c>
      <c r="QR107" s="43">
        <f t="shared" si="433"/>
        <v>29</v>
      </c>
      <c r="QS107" s="43"/>
      <c r="QT107" s="21" t="str">
        <f t="shared" si="404"/>
        <v/>
      </c>
      <c r="QU107" s="21" t="str">
        <f t="shared" si="405"/>
        <v/>
      </c>
      <c r="QV107" s="21" t="str">
        <f t="shared" si="406"/>
        <v/>
      </c>
      <c r="QW107" s="21" t="str">
        <f t="shared" si="407"/>
        <v/>
      </c>
      <c r="QX107" s="21" t="str">
        <f t="shared" si="408"/>
        <v/>
      </c>
      <c r="QY107" s="21" t="str">
        <f t="shared" si="409"/>
        <v/>
      </c>
      <c r="QZ107" s="21" t="str">
        <f t="shared" si="410"/>
        <v/>
      </c>
      <c r="RA107" s="21" t="str">
        <f t="shared" si="411"/>
        <v/>
      </c>
      <c r="RB107" s="21" t="str">
        <f t="shared" si="412"/>
        <v/>
      </c>
      <c r="RC107" s="21" t="str">
        <f t="shared" si="413"/>
        <v/>
      </c>
      <c r="RD107" s="21" t="str">
        <f t="shared" si="414"/>
        <v/>
      </c>
      <c r="RE107" s="21" t="str">
        <f t="shared" si="415"/>
        <v/>
      </c>
      <c r="RF107" s="21" t="str">
        <f t="shared" si="416"/>
        <v/>
      </c>
      <c r="RG107" s="21" t="str">
        <f t="shared" si="417"/>
        <v/>
      </c>
      <c r="RH107" s="21" t="str">
        <f t="shared" si="418"/>
        <v/>
      </c>
      <c r="RI107" s="21" t="str">
        <f t="shared" si="419"/>
        <v/>
      </c>
      <c r="RJ107" s="21" t="str">
        <f t="shared" si="420"/>
        <v>ADECUADO PARA EDAD GESTACIONAL</v>
      </c>
      <c r="RK107" s="21" t="str">
        <f t="shared" si="421"/>
        <v/>
      </c>
      <c r="RL107" s="21" t="str">
        <f t="shared" si="422"/>
        <v/>
      </c>
      <c r="RM107" s="21" t="str">
        <f t="shared" si="423"/>
        <v/>
      </c>
      <c r="RN107" s="21" t="str">
        <f t="shared" si="424"/>
        <v/>
      </c>
      <c r="RO107" s="21" t="str">
        <f t="shared" si="425"/>
        <v/>
      </c>
      <c r="RP107" s="21" t="str">
        <f t="shared" si="426"/>
        <v/>
      </c>
      <c r="RQ107" s="21" t="str">
        <f t="shared" si="427"/>
        <v/>
      </c>
      <c r="RR107" s="21" t="str">
        <f t="shared" si="428"/>
        <v/>
      </c>
      <c r="RS107" s="21" t="str">
        <f t="shared" si="429"/>
        <v/>
      </c>
      <c r="RT107" s="21" t="str">
        <f t="shared" si="430"/>
        <v/>
      </c>
      <c r="RU107" s="21" t="str">
        <f t="shared" si="431"/>
        <v/>
      </c>
      <c r="RV107" s="21">
        <f t="shared" si="432"/>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4"/>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30.145205479452056</v>
      </c>
      <c r="O108" s="22">
        <v>44967</v>
      </c>
      <c r="P108" s="214" t="str">
        <f t="shared" si="438"/>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7"/>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9"/>
        <v>CONCERTAR PLAN DE PARTO INMEDIATO</v>
      </c>
      <c r="DV108" s="226" t="str">
        <f t="shared" si="440"/>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1"/>
        <v>33.814285714285298</v>
      </c>
      <c r="EU108" s="25" t="str">
        <f t="shared" si="275"/>
        <v>NORMAL- SUMINISTRAR SULFATO FERROSO</v>
      </c>
      <c r="EV108" s="24" t="s">
        <v>1510</v>
      </c>
      <c r="EW108" s="32">
        <v>44967</v>
      </c>
      <c r="EX108" s="22"/>
      <c r="EY108" s="29">
        <f t="shared" si="454"/>
        <v>12.099999999999584</v>
      </c>
      <c r="EZ108" s="25" t="str">
        <f t="shared" si="455"/>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2"/>
        <v>PIERDE TOMA DE TAMIZAJE</v>
      </c>
      <c r="FP108" s="22" t="s">
        <v>867</v>
      </c>
      <c r="FQ108" s="32">
        <v>45118</v>
      </c>
      <c r="FR108" s="29">
        <f t="shared" ca="1" si="443"/>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3"/>
        <v>12.099999999999584</v>
      </c>
      <c r="GB108" s="22"/>
      <c r="GC108" s="22"/>
      <c r="GD108" s="29" t="str">
        <f t="shared" ca="1" si="444"/>
        <v>PIERDE TOMA DE TAMIZAJE</v>
      </c>
      <c r="GE108" s="22" t="s">
        <v>868</v>
      </c>
      <c r="GF108" s="22">
        <v>45118</v>
      </c>
      <c r="GG108" s="29">
        <f t="shared" ca="1" si="445"/>
        <v>33.671428571428159</v>
      </c>
      <c r="GH108" s="22"/>
      <c r="GI108" s="29"/>
      <c r="GJ108" s="22"/>
      <c r="GK108" s="22"/>
      <c r="GL108" s="22"/>
      <c r="GM108" s="22"/>
      <c r="GN108" s="28" t="s">
        <v>869</v>
      </c>
      <c r="GO108" s="22">
        <v>45118</v>
      </c>
      <c r="GP108" s="29">
        <f t="shared" si="283"/>
        <v>33.671428571428159</v>
      </c>
      <c r="GQ108" s="28" t="s">
        <v>869</v>
      </c>
      <c r="GR108" s="28" t="s">
        <v>869</v>
      </c>
      <c r="GS108" s="22" t="str">
        <f t="shared" si="458"/>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t="str">
        <f t="shared" ca="1" si="289"/>
        <v>***************************************</v>
      </c>
      <c r="HK108" s="21" t="str">
        <f t="shared" si="290"/>
        <v>SIN ANTECEDENTES DE RIESGO</v>
      </c>
      <c r="HL108" s="24" t="str">
        <f t="shared" si="291"/>
        <v>APARENTEMENTE NORMAL</v>
      </c>
      <c r="HM108" s="21" t="e">
        <f t="shared" ca="1" si="292"/>
        <v>#REF!</v>
      </c>
      <c r="HN108" s="30" t="str">
        <f t="shared" si="446"/>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3"/>
        <v>19.099999999999586</v>
      </c>
      <c r="IA108" s="26" t="s">
        <v>864</v>
      </c>
      <c r="IB108" s="26"/>
      <c r="IC108" s="111"/>
      <c r="ID108" s="22"/>
      <c r="IE108" s="22" t="str">
        <f t="shared" ca="1" si="294"/>
        <v/>
      </c>
      <c r="IF108" s="22"/>
      <c r="IG108" s="22">
        <f t="shared" si="295"/>
        <v>45162.3</v>
      </c>
      <c r="IH108" s="29">
        <f t="shared" ca="1" si="296"/>
        <v>-69.69999999999709</v>
      </c>
      <c r="II108" s="22" t="str">
        <f t="shared" ca="1" si="297"/>
        <v>POSIBLEMENTE NACIO</v>
      </c>
      <c r="IJ108" s="22"/>
      <c r="IK108" s="21"/>
      <c r="IL108" s="21"/>
      <c r="IM108" s="34"/>
      <c r="IN108" s="349"/>
      <c r="IO108" s="21"/>
      <c r="IP108" s="29" t="str">
        <f t="shared" si="490"/>
        <v/>
      </c>
      <c r="IQ108" s="110"/>
      <c r="IR108" s="21"/>
      <c r="IS108" s="21"/>
      <c r="IT108" s="21"/>
      <c r="IU108" s="21"/>
      <c r="IV108" s="21"/>
      <c r="IW108" s="21"/>
      <c r="IX108" s="21"/>
      <c r="IY108" s="21"/>
      <c r="IZ108" s="21"/>
      <c r="JA108" s="21"/>
      <c r="JB108" s="30"/>
      <c r="JC108" s="21"/>
      <c r="JD108" s="36"/>
      <c r="JE108" s="21" t="str">
        <f t="shared" si="447"/>
        <v/>
      </c>
      <c r="JF108" s="30"/>
      <c r="JG108" s="21"/>
      <c r="JH108" s="21"/>
      <c r="JI108" s="21"/>
      <c r="JJ108" s="30"/>
      <c r="JK108" s="22"/>
      <c r="JL108" s="22"/>
      <c r="JM108" s="21"/>
      <c r="JN108" s="36"/>
      <c r="JO108" s="21" t="str">
        <f t="shared" si="448"/>
        <v/>
      </c>
      <c r="JP108" s="22"/>
      <c r="JQ108" s="21"/>
      <c r="JR108" s="21"/>
      <c r="JS108" s="21"/>
      <c r="JT108" s="30"/>
      <c r="JU108" s="22"/>
      <c r="JV108" s="22"/>
      <c r="JW108" s="33"/>
      <c r="JX108" s="28" t="str">
        <f t="shared" si="449"/>
        <v/>
      </c>
      <c r="JY108" s="33"/>
      <c r="JZ108" s="28" t="str">
        <f t="shared" si="450"/>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9"/>
        <v>0</v>
      </c>
      <c r="MI108" s="43" t="str">
        <f t="shared" si="460"/>
        <v/>
      </c>
      <c r="MJ108" s="43" t="str">
        <f t="shared" si="461"/>
        <v/>
      </c>
      <c r="MK108" s="43">
        <f t="shared" si="462"/>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3"/>
        <v>12.099999999999584</v>
      </c>
      <c r="MN108" s="43">
        <f t="shared" si="464"/>
        <v>2</v>
      </c>
      <c r="MO108" s="43">
        <f t="shared" si="465"/>
        <v>2023</v>
      </c>
      <c r="MP108" s="43" t="str">
        <f t="shared" si="466"/>
        <v>I TRIMESTRE AÑO</v>
      </c>
      <c r="MQ108" s="43">
        <f t="shared" si="467"/>
        <v>28.972295225580378</v>
      </c>
      <c r="MR108" s="43">
        <f t="shared" si="468"/>
        <v>0</v>
      </c>
      <c r="MS108" s="43" t="str">
        <f t="shared" si="469"/>
        <v xml:space="preserve"> DE 25 A 29 AÑOS</v>
      </c>
      <c r="MT108" s="43">
        <f t="shared" si="470"/>
        <v>0</v>
      </c>
      <c r="MU108" s="43">
        <f t="shared" si="471"/>
        <v>0</v>
      </c>
      <c r="MV108" s="43">
        <f t="shared" si="472"/>
        <v>0</v>
      </c>
      <c r="MW108" s="43">
        <f t="shared" si="473"/>
        <v>0</v>
      </c>
      <c r="MX108" s="43" t="str">
        <f t="shared" si="474"/>
        <v/>
      </c>
      <c r="MY108" s="43" t="str">
        <f t="shared" ca="1" si="451"/>
        <v/>
      </c>
      <c r="MZ108" s="43" t="str">
        <f t="shared" si="475"/>
        <v/>
      </c>
      <c r="NA108" s="43" t="str">
        <f t="shared" si="476"/>
        <v/>
      </c>
      <c r="NB108" s="43" t="str">
        <f t="shared" si="477"/>
        <v/>
      </c>
      <c r="NC108" s="43" t="str">
        <f t="shared" si="478"/>
        <v/>
      </c>
      <c r="ND108" s="43">
        <f t="shared" ca="1" si="479"/>
        <v>0</v>
      </c>
      <c r="NE108" s="43">
        <f>IF(OR(O108&gt;0,R108&gt;0),SUM(COUNTIF(Tabla1[[#This Row],[AÑOS AL INICIO5 CPN]],"&gt;=40"),COUNTIF(AS108,"0"),COUNTIF(AR108,"SI"),COUNTIF(CC108,"SI"),COUNTIF(BQ108,"&gt;119"),COUNTIF(CI108,"&gt;=35")),"")</f>
        <v>0</v>
      </c>
      <c r="NF108" s="43" t="str">
        <f t="shared" si="480"/>
        <v/>
      </c>
      <c r="NG108" s="43">
        <f t="shared" si="481"/>
        <v>0</v>
      </c>
      <c r="NH108" s="43">
        <f t="shared" si="482"/>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3"/>
        <v>182</v>
      </c>
      <c r="NM108" s="43" t="str">
        <f t="shared" si="456"/>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4"/>
        <v>II TRIM</v>
      </c>
      <c r="NQ108" s="21" t="str">
        <f t="shared" si="437"/>
        <v/>
      </c>
      <c r="NR108" s="21" t="str">
        <f t="shared" ca="1" si="452"/>
        <v>REVISAR FUM O FECHA SALIDA PROGRAMA</v>
      </c>
      <c r="NS108" s="205">
        <f t="shared" ca="1" si="485"/>
        <v>2</v>
      </c>
      <c r="NT108" s="21">
        <f t="shared" ca="1" si="486"/>
        <v>2</v>
      </c>
      <c r="NU108" s="21" t="str">
        <f t="shared" ca="1" si="487"/>
        <v>POR DEFINIR</v>
      </c>
      <c r="NV108" s="21" t="str">
        <f t="shared" ca="1" si="488"/>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9"/>
        <v>SIN VACUNAR</v>
      </c>
      <c r="NY108" s="43">
        <f>ROW(Tabla1[[#This Row],['# DE TAMIZAJES SIFILIS TOMADOS ]])</f>
        <v>108</v>
      </c>
      <c r="NZ108" s="43">
        <f t="shared" si="334"/>
        <v>12</v>
      </c>
      <c r="OA108" s="43" t="str">
        <f t="shared" si="335"/>
        <v/>
      </c>
      <c r="OB108" s="43" t="str">
        <f t="shared" si="336"/>
        <v/>
      </c>
      <c r="OC108" s="43" t="str">
        <f t="shared" si="337"/>
        <v/>
      </c>
      <c r="OD108" s="43" t="str">
        <f t="shared" si="338"/>
        <v>SOBREPESO</v>
      </c>
      <c r="OE108" s="43" t="str">
        <f t="shared" si="339"/>
        <v/>
      </c>
      <c r="OF108" s="43" t="str">
        <f t="shared" si="340"/>
        <v/>
      </c>
      <c r="OG108" s="43" t="str">
        <f t="shared" si="341"/>
        <v/>
      </c>
      <c r="OH108" s="43" t="str">
        <f t="shared" si="342"/>
        <v/>
      </c>
      <c r="OI108" s="43" t="str">
        <f t="shared" si="343"/>
        <v/>
      </c>
      <c r="OJ108" s="43" t="str">
        <f t="shared" si="344"/>
        <v/>
      </c>
      <c r="OK108" s="43" t="str">
        <f t="shared" si="345"/>
        <v/>
      </c>
      <c r="OL108" s="43" t="str">
        <f t="shared" si="346"/>
        <v/>
      </c>
      <c r="OM108" s="43" t="str">
        <f t="shared" si="347"/>
        <v/>
      </c>
      <c r="ON108" s="43" t="str">
        <f t="shared" si="348"/>
        <v/>
      </c>
      <c r="OO108" s="43" t="str">
        <f t="shared" si="349"/>
        <v/>
      </c>
      <c r="OP108" s="43" t="str">
        <f t="shared" si="350"/>
        <v/>
      </c>
      <c r="OQ108" s="43" t="str">
        <f t="shared" si="351"/>
        <v/>
      </c>
      <c r="OR108" s="43" t="str">
        <f t="shared" si="352"/>
        <v/>
      </c>
      <c r="OS108" s="43" t="str">
        <f t="shared" si="353"/>
        <v/>
      </c>
      <c r="OT108" s="43" t="str">
        <f t="shared" si="354"/>
        <v/>
      </c>
      <c r="OU108" s="43" t="str">
        <f t="shared" si="355"/>
        <v/>
      </c>
      <c r="OV108" s="110" t="str">
        <f t="shared" si="356"/>
        <v/>
      </c>
      <c r="OW108" s="43" t="str">
        <f t="shared" si="357"/>
        <v/>
      </c>
      <c r="OX108" s="43" t="str">
        <f t="shared" si="358"/>
        <v/>
      </c>
      <c r="OY108" s="43" t="str">
        <f t="shared" si="359"/>
        <v/>
      </c>
      <c r="OZ108" s="43" t="str">
        <f t="shared" si="360"/>
        <v/>
      </c>
      <c r="PA108" s="43" t="str">
        <f t="shared" si="361"/>
        <v/>
      </c>
      <c r="PB108" s="43" t="str">
        <f t="shared" si="362"/>
        <v/>
      </c>
      <c r="PC108" s="43" t="str">
        <f t="shared" si="363"/>
        <v/>
      </c>
      <c r="PD108" s="43" t="str">
        <f t="shared" si="364"/>
        <v/>
      </c>
      <c r="PE108" s="43" t="str">
        <f t="shared" si="365"/>
        <v/>
      </c>
      <c r="PF108" s="43" t="str">
        <f t="shared" si="366"/>
        <v/>
      </c>
      <c r="PG108" s="43" t="str">
        <f t="shared" si="367"/>
        <v/>
      </c>
      <c r="PH108" s="43" t="str">
        <f t="shared" si="368"/>
        <v/>
      </c>
      <c r="PI108" s="43">
        <f t="shared" si="369"/>
        <v>39</v>
      </c>
      <c r="PJ108" s="43" t="str">
        <f t="shared" si="370"/>
        <v/>
      </c>
      <c r="PK108" s="43" t="str">
        <f t="shared" si="371"/>
        <v/>
      </c>
      <c r="PL108" s="43" t="str">
        <f t="shared" si="372"/>
        <v/>
      </c>
      <c r="PM108" s="43" t="str">
        <f t="shared" si="373"/>
        <v/>
      </c>
      <c r="PN108" s="43" t="str">
        <f t="shared" si="374"/>
        <v/>
      </c>
      <c r="PO108" s="43" t="str">
        <f t="shared" si="375"/>
        <v/>
      </c>
      <c r="PP108" s="43" t="str">
        <f t="shared" si="376"/>
        <v/>
      </c>
      <c r="PQ108" s="43" t="str">
        <f t="shared" si="377"/>
        <v/>
      </c>
      <c r="PR108" s="43" t="str">
        <f t="shared" si="378"/>
        <v/>
      </c>
      <c r="PS108" s="43" t="str">
        <f t="shared" si="379"/>
        <v/>
      </c>
      <c r="PT108" s="43" t="str">
        <f t="shared" si="380"/>
        <v/>
      </c>
      <c r="PU108" s="43" t="str">
        <f t="shared" si="381"/>
        <v/>
      </c>
      <c r="PV108" s="43" t="str">
        <f t="shared" si="382"/>
        <v/>
      </c>
      <c r="PW108" s="43" t="str">
        <f t="shared" si="383"/>
        <v/>
      </c>
      <c r="PX108" s="43" t="str">
        <f t="shared" si="384"/>
        <v/>
      </c>
      <c r="PY108" s="43" t="str">
        <f t="shared" si="385"/>
        <v/>
      </c>
      <c r="PZ108" s="43" t="str">
        <f t="shared" si="386"/>
        <v/>
      </c>
      <c r="QA108" s="43" t="str">
        <f t="shared" si="387"/>
        <v/>
      </c>
      <c r="QB108" s="43" t="str">
        <f t="shared" si="388"/>
        <v/>
      </c>
      <c r="QC108" s="43" t="str">
        <f t="shared" si="389"/>
        <v/>
      </c>
      <c r="QD108" s="43" t="str">
        <f t="shared" si="390"/>
        <v/>
      </c>
      <c r="QE108" s="43" t="str">
        <f t="shared" si="391"/>
        <v/>
      </c>
      <c r="QF108" s="43" t="str">
        <f t="shared" si="392"/>
        <v/>
      </c>
      <c r="QG108" s="43" t="str">
        <f t="shared" si="393"/>
        <v/>
      </c>
      <c r="QH108" s="43" t="str">
        <f t="shared" si="394"/>
        <v/>
      </c>
      <c r="QI108" s="43" t="str">
        <f t="shared" si="395"/>
        <v/>
      </c>
      <c r="QJ108" s="43" t="str">
        <f t="shared" si="396"/>
        <v/>
      </c>
      <c r="QK108" s="43" t="str">
        <f t="shared" si="397"/>
        <v/>
      </c>
      <c r="QL108" s="43" t="str">
        <f t="shared" si="398"/>
        <v/>
      </c>
      <c r="QM108" s="43" t="str">
        <f t="shared" si="399"/>
        <v/>
      </c>
      <c r="QN108" s="43" t="str">
        <f t="shared" si="400"/>
        <v>NORMAL</v>
      </c>
      <c r="QO108" s="43" t="str">
        <f t="shared" si="401"/>
        <v/>
      </c>
      <c r="QP108" s="43" t="str">
        <f t="shared" si="402"/>
        <v/>
      </c>
      <c r="QQ108" s="43" t="str">
        <f t="shared" si="403"/>
        <v/>
      </c>
      <c r="QR108" s="43">
        <f t="shared" si="433"/>
        <v>39</v>
      </c>
      <c r="QS108" s="43"/>
      <c r="QT108" s="21" t="str">
        <f t="shared" si="404"/>
        <v/>
      </c>
      <c r="QU108" s="21" t="str">
        <f t="shared" si="405"/>
        <v/>
      </c>
      <c r="QV108" s="21" t="str">
        <f t="shared" si="406"/>
        <v/>
      </c>
      <c r="QW108" s="21" t="str">
        <f t="shared" si="407"/>
        <v/>
      </c>
      <c r="QX108" s="21" t="str">
        <f t="shared" si="408"/>
        <v/>
      </c>
      <c r="QY108" s="21" t="str">
        <f t="shared" si="409"/>
        <v/>
      </c>
      <c r="QZ108" s="21" t="str">
        <f t="shared" si="410"/>
        <v/>
      </c>
      <c r="RA108" s="21" t="str">
        <f t="shared" si="411"/>
        <v/>
      </c>
      <c r="RB108" s="21" t="str">
        <f t="shared" si="412"/>
        <v/>
      </c>
      <c r="RC108" s="21" t="str">
        <f t="shared" si="413"/>
        <v/>
      </c>
      <c r="RD108" s="21" t="str">
        <f t="shared" si="414"/>
        <v/>
      </c>
      <c r="RE108" s="21" t="str">
        <f t="shared" si="415"/>
        <v/>
      </c>
      <c r="RF108" s="21" t="str">
        <f t="shared" si="416"/>
        <v/>
      </c>
      <c r="RG108" s="21" t="str">
        <f t="shared" si="417"/>
        <v/>
      </c>
      <c r="RH108" s="21" t="str">
        <f t="shared" si="418"/>
        <v/>
      </c>
      <c r="RI108" s="21" t="str">
        <f t="shared" si="419"/>
        <v/>
      </c>
      <c r="RJ108" s="21" t="str">
        <f t="shared" si="420"/>
        <v/>
      </c>
      <c r="RK108" s="21" t="str">
        <f t="shared" si="421"/>
        <v/>
      </c>
      <c r="RL108" s="21" t="str">
        <f t="shared" si="422"/>
        <v/>
      </c>
      <c r="RM108" s="21" t="str">
        <f t="shared" si="423"/>
        <v/>
      </c>
      <c r="RN108" s="21" t="str">
        <f t="shared" si="424"/>
        <v/>
      </c>
      <c r="RO108" s="21" t="str">
        <f t="shared" si="425"/>
        <v/>
      </c>
      <c r="RP108" s="21" t="str">
        <f t="shared" si="426"/>
        <v/>
      </c>
      <c r="RQ108" s="21" t="str">
        <f t="shared" si="427"/>
        <v/>
      </c>
      <c r="RR108" s="21" t="str">
        <f t="shared" si="428"/>
        <v/>
      </c>
      <c r="RS108" s="21" t="str">
        <f t="shared" si="429"/>
        <v/>
      </c>
      <c r="RT108" s="21" t="str">
        <f t="shared" si="430"/>
        <v>ALTO PARA EDAD GESTACIONAL</v>
      </c>
      <c r="RU108" s="21" t="str">
        <f t="shared" si="431"/>
        <v/>
      </c>
      <c r="RV108" s="21">
        <f t="shared" si="432"/>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4"/>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17.539726027397261</v>
      </c>
      <c r="O109" s="22">
        <v>44968</v>
      </c>
      <c r="P109" s="214" t="str">
        <f t="shared" si="438"/>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7"/>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9"/>
        <v>SALE SIN PLAN DE PARTO</v>
      </c>
      <c r="DV109" s="226" t="str">
        <f t="shared" si="440"/>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1"/>
        <v>SALE SIN TAMIZAJE HEMOGLOBINA SEM 28</v>
      </c>
      <c r="EU109" s="25" t="str">
        <f t="shared" si="275"/>
        <v/>
      </c>
      <c r="EV109" s="24" t="s">
        <v>866</v>
      </c>
      <c r="EW109" s="24">
        <v>44968</v>
      </c>
      <c r="EX109" s="22"/>
      <c r="EY109" s="29">
        <f t="shared" si="454"/>
        <v>20.857142857142858</v>
      </c>
      <c r="EZ109" s="25" t="str">
        <f t="shared" ca="1" si="455"/>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2"/>
        <v>20.857142857142858</v>
      </c>
      <c r="FP109" s="22"/>
      <c r="FQ109" s="32"/>
      <c r="FR109" s="29" t="str">
        <f t="shared" ca="1" si="443"/>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3"/>
        <v>REGISTRAR EN II TRIMESTRE</v>
      </c>
      <c r="GB109" s="22" t="s">
        <v>868</v>
      </c>
      <c r="GC109" s="22">
        <v>44968</v>
      </c>
      <c r="GD109" s="29">
        <f t="shared" ca="1" si="444"/>
        <v>20.857142857142858</v>
      </c>
      <c r="GE109" s="22"/>
      <c r="GF109" s="22"/>
      <c r="GG109" s="29" t="str">
        <f t="shared" ca="1" si="445"/>
        <v>PIERDE TOMA DE TAMIZAJE</v>
      </c>
      <c r="GH109" s="22"/>
      <c r="GI109" s="29"/>
      <c r="GJ109" s="22"/>
      <c r="GK109" s="22"/>
      <c r="GL109" s="22"/>
      <c r="GM109" s="22"/>
      <c r="GN109" s="28" t="s">
        <v>869</v>
      </c>
      <c r="GO109" s="22">
        <v>44968</v>
      </c>
      <c r="GP109" s="29">
        <f t="shared" si="283"/>
        <v>20.857142857142858</v>
      </c>
      <c r="GQ109" s="28"/>
      <c r="GR109" s="28" t="s">
        <v>869</v>
      </c>
      <c r="GS109" s="22" t="str">
        <f t="shared" si="458"/>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t="str">
        <f t="shared" ca="1" si="289"/>
        <v>**********************MULTIPARIDAD*****************</v>
      </c>
      <c r="HK109" s="21" t="str">
        <f t="shared" si="290"/>
        <v>SIN ANTECEDENTES DE RIESGO</v>
      </c>
      <c r="HL109" s="24" t="str">
        <f t="shared" si="291"/>
        <v>REGISTRE DATO PRESIÓN ARTERIAL MENSUAL</v>
      </c>
      <c r="HM109" s="21" t="str">
        <f t="shared" ca="1" si="292"/>
        <v/>
      </c>
      <c r="HN109" s="30" t="str">
        <f t="shared" si="446"/>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3"/>
        <v>20.857142857142858</v>
      </c>
      <c r="IA109" s="26"/>
      <c r="IB109" s="26"/>
      <c r="IC109" s="111"/>
      <c r="ID109" s="22"/>
      <c r="IE109" s="22" t="str">
        <f t="shared" ca="1" si="294"/>
        <v>SALE SIN VACUNA</v>
      </c>
      <c r="IF109" s="22"/>
      <c r="IG109" s="22">
        <f t="shared" si="295"/>
        <v>45102</v>
      </c>
      <c r="IH109" s="29">
        <f t="shared" ca="1" si="296"/>
        <v>-130</v>
      </c>
      <c r="II109" s="22" t="str">
        <f t="shared" ca="1" si="297"/>
        <v>POSIBLEMENTE NACIO</v>
      </c>
      <c r="IJ109" s="22"/>
      <c r="IK109" s="21" t="s">
        <v>898</v>
      </c>
      <c r="IL109" s="21"/>
      <c r="IM109" s="34"/>
      <c r="IN109" s="349">
        <v>45109</v>
      </c>
      <c r="IO109" s="21"/>
      <c r="IP109" s="29">
        <f t="shared" si="490"/>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7"/>
        <v>PESO ADECUADO EDAD GESTACIONAL</v>
      </c>
      <c r="JF109" s="30"/>
      <c r="JG109" s="21"/>
      <c r="JH109" s="21"/>
      <c r="JI109" s="21" t="s">
        <v>854</v>
      </c>
      <c r="JJ109" s="30" t="s">
        <v>866</v>
      </c>
      <c r="JK109" s="22"/>
      <c r="JL109" s="22"/>
      <c r="JM109" s="21"/>
      <c r="JN109" s="36"/>
      <c r="JO109" s="21" t="str">
        <f t="shared" si="448"/>
        <v/>
      </c>
      <c r="JP109" s="22"/>
      <c r="JQ109" s="21"/>
      <c r="JR109" s="21"/>
      <c r="JS109" s="21"/>
      <c r="JT109" s="30"/>
      <c r="JU109" s="22"/>
      <c r="JV109" s="22"/>
      <c r="JW109" s="33"/>
      <c r="JX109" s="28" t="str">
        <f t="shared" si="449"/>
        <v>INASISTENTE</v>
      </c>
      <c r="JY109" s="33"/>
      <c r="JZ109" s="28" t="str">
        <f t="shared" si="450"/>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9"/>
        <v>0</v>
      </c>
      <c r="MI109" s="43" t="str">
        <f t="shared" si="460"/>
        <v/>
      </c>
      <c r="MJ109" s="43" t="str">
        <f t="shared" si="461"/>
        <v/>
      </c>
      <c r="MK109" s="43">
        <f t="shared" si="462"/>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3"/>
        <v>20.857142857142858</v>
      </c>
      <c r="MN109" s="43">
        <f t="shared" si="464"/>
        <v>2</v>
      </c>
      <c r="MO109" s="43">
        <f t="shared" si="465"/>
        <v>2023</v>
      </c>
      <c r="MP109" s="43" t="str">
        <f t="shared" si="466"/>
        <v>I TRIMESTRE AÑO</v>
      </c>
      <c r="MQ109" s="43">
        <f t="shared" si="467"/>
        <v>16.557161629434955</v>
      </c>
      <c r="MR109" s="43">
        <f t="shared" si="468"/>
        <v>0</v>
      </c>
      <c r="MS109" s="43" t="str">
        <f t="shared" si="469"/>
        <v>DE 14 A 19AÑOS</v>
      </c>
      <c r="MT109" s="43">
        <f t="shared" si="470"/>
        <v>0</v>
      </c>
      <c r="MU109" s="43">
        <f t="shared" si="471"/>
        <v>1</v>
      </c>
      <c r="MV109" s="43">
        <f t="shared" si="472"/>
        <v>0</v>
      </c>
      <c r="MW109" s="43">
        <f t="shared" si="473"/>
        <v>0</v>
      </c>
      <c r="MX109" s="43" t="str">
        <f t="shared" si="474"/>
        <v/>
      </c>
      <c r="MY109" s="43" t="str">
        <f t="shared" ca="1" si="451"/>
        <v/>
      </c>
      <c r="MZ109" s="43" t="str">
        <f t="shared" si="475"/>
        <v/>
      </c>
      <c r="NA109" s="43" t="str">
        <f t="shared" si="476"/>
        <v/>
      </c>
      <c r="NB109" s="43" t="str">
        <f t="shared" si="477"/>
        <v/>
      </c>
      <c r="NC109" s="43" t="str">
        <f t="shared" si="478"/>
        <v/>
      </c>
      <c r="ND109" s="43">
        <f t="shared" ca="1" si="479"/>
        <v>1</v>
      </c>
      <c r="NE109" s="43">
        <f>IF(OR(O109&gt;0,R109&gt;0),SUM(COUNTIF(Tabla1[[#This Row],[AÑOS AL INICIO5 CPN]],"&gt;=40"),COUNTIF(AS109,"0"),COUNTIF(AR109,"SI"),COUNTIF(CC109,"SI"),COUNTIF(BQ109,"&gt;119"),COUNTIF(CI109,"&gt;=35")),"")</f>
        <v>0</v>
      </c>
      <c r="NF109" s="43" t="str">
        <f t="shared" si="480"/>
        <v/>
      </c>
      <c r="NG109" s="43">
        <f t="shared" si="481"/>
        <v>0</v>
      </c>
      <c r="NH109" s="43">
        <f t="shared" si="482"/>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3"/>
        <v>27</v>
      </c>
      <c r="NM109" s="43" t="str">
        <f t="shared" si="456"/>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4"/>
        <v>DEFINIR CON ECO</v>
      </c>
      <c r="NQ109" s="21">
        <f t="shared" si="437"/>
        <v>10</v>
      </c>
      <c r="NR109" s="21">
        <f t="shared" si="452"/>
        <v>2</v>
      </c>
      <c r="NS109" s="205">
        <f t="shared" ca="1" si="485"/>
        <v>1</v>
      </c>
      <c r="NT109" s="21">
        <f t="shared" ca="1" si="486"/>
        <v>1</v>
      </c>
      <c r="NU109" s="21" t="str">
        <f t="shared" ca="1" si="487"/>
        <v>INCOMPLETO</v>
      </c>
      <c r="NV109" s="21" t="str">
        <f t="shared" ca="1" si="488"/>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9"/>
        <v>SIN VACUNAR</v>
      </c>
      <c r="NY109" s="43">
        <f>ROW(Tabla1[[#This Row],['# DE TAMIZAJES SIFILIS TOMADOS ]])</f>
        <v>109</v>
      </c>
      <c r="NZ109" s="43">
        <f t="shared" si="334"/>
        <v>20</v>
      </c>
      <c r="OA109" s="43" t="str">
        <f t="shared" si="335"/>
        <v/>
      </c>
      <c r="OB109" s="43" t="str">
        <f t="shared" si="336"/>
        <v/>
      </c>
      <c r="OC109" s="43" t="str">
        <f t="shared" si="337"/>
        <v/>
      </c>
      <c r="OD109" s="43" t="str">
        <f t="shared" si="338"/>
        <v/>
      </c>
      <c r="OE109" s="43" t="str">
        <f t="shared" si="339"/>
        <v/>
      </c>
      <c r="OF109" s="43" t="str">
        <f t="shared" si="340"/>
        <v/>
      </c>
      <c r="OG109" s="43" t="str">
        <f t="shared" si="341"/>
        <v/>
      </c>
      <c r="OH109" s="43" t="str">
        <f t="shared" si="342"/>
        <v/>
      </c>
      <c r="OI109" s="43" t="str">
        <f t="shared" si="343"/>
        <v/>
      </c>
      <c r="OJ109" s="43" t="str">
        <f t="shared" si="344"/>
        <v/>
      </c>
      <c r="OK109" s="43" t="str">
        <f t="shared" si="345"/>
        <v/>
      </c>
      <c r="OL109" s="43" t="str">
        <f t="shared" si="346"/>
        <v/>
      </c>
      <c r="OM109" s="43" t="str">
        <f t="shared" si="347"/>
        <v/>
      </c>
      <c r="ON109" s="43" t="str">
        <f t="shared" si="348"/>
        <v/>
      </c>
      <c r="OO109" s="43" t="str">
        <f t="shared" si="349"/>
        <v/>
      </c>
      <c r="OP109" s="43" t="str">
        <f t="shared" si="350"/>
        <v/>
      </c>
      <c r="OQ109" s="43" t="str">
        <f t="shared" si="351"/>
        <v/>
      </c>
      <c r="OR109" s="43" t="str">
        <f t="shared" si="352"/>
        <v/>
      </c>
      <c r="OS109" s="43" t="str">
        <f t="shared" si="353"/>
        <v/>
      </c>
      <c r="OT109" s="43" t="str">
        <f t="shared" si="354"/>
        <v/>
      </c>
      <c r="OU109" s="43" t="str">
        <f t="shared" si="355"/>
        <v/>
      </c>
      <c r="OV109" s="110" t="str">
        <f t="shared" si="356"/>
        <v/>
      </c>
      <c r="OW109" s="43" t="str">
        <f t="shared" si="357"/>
        <v/>
      </c>
      <c r="OX109" s="43" t="str">
        <f t="shared" si="358"/>
        <v/>
      </c>
      <c r="OY109" s="43" t="str">
        <f t="shared" si="359"/>
        <v/>
      </c>
      <c r="OZ109" s="43" t="str">
        <f t="shared" si="360"/>
        <v/>
      </c>
      <c r="PA109" s="43" t="str">
        <f t="shared" si="361"/>
        <v/>
      </c>
      <c r="PB109" s="43" t="str">
        <f t="shared" si="362"/>
        <v/>
      </c>
      <c r="PC109" s="43" t="str">
        <f t="shared" si="363"/>
        <v/>
      </c>
      <c r="PD109" s="43" t="str">
        <f t="shared" si="364"/>
        <v/>
      </c>
      <c r="PE109" s="43" t="str">
        <f t="shared" si="365"/>
        <v/>
      </c>
      <c r="PF109" s="43" t="str">
        <f t="shared" si="366"/>
        <v/>
      </c>
      <c r="PG109" s="43" t="str">
        <f t="shared" si="367"/>
        <v/>
      </c>
      <c r="PH109" s="43" t="str">
        <f t="shared" si="368"/>
        <v/>
      </c>
      <c r="PI109" s="43">
        <f t="shared" si="369"/>
        <v>30</v>
      </c>
      <c r="PJ109" s="43" t="str">
        <f t="shared" si="370"/>
        <v/>
      </c>
      <c r="PK109" s="43" t="str">
        <f t="shared" si="371"/>
        <v/>
      </c>
      <c r="PL109" s="43" t="str">
        <f t="shared" si="372"/>
        <v/>
      </c>
      <c r="PM109" s="43" t="str">
        <f t="shared" si="373"/>
        <v/>
      </c>
      <c r="PN109" s="43" t="str">
        <f t="shared" si="374"/>
        <v/>
      </c>
      <c r="PO109" s="43" t="str">
        <f t="shared" si="375"/>
        <v/>
      </c>
      <c r="PP109" s="43" t="str">
        <f t="shared" si="376"/>
        <v/>
      </c>
      <c r="PQ109" s="43" t="str">
        <f t="shared" si="377"/>
        <v/>
      </c>
      <c r="PR109" s="43" t="str">
        <f t="shared" si="378"/>
        <v/>
      </c>
      <c r="PS109" s="43" t="str">
        <f t="shared" si="379"/>
        <v/>
      </c>
      <c r="PT109" s="43" t="str">
        <f t="shared" si="380"/>
        <v/>
      </c>
      <c r="PU109" s="43" t="str">
        <f t="shared" si="381"/>
        <v/>
      </c>
      <c r="PV109" s="43" t="str">
        <f t="shared" si="382"/>
        <v/>
      </c>
      <c r="PW109" s="43" t="str">
        <f t="shared" si="383"/>
        <v/>
      </c>
      <c r="PX109" s="43" t="str">
        <f t="shared" si="384"/>
        <v/>
      </c>
      <c r="PY109" s="43" t="str">
        <f t="shared" si="385"/>
        <v/>
      </c>
      <c r="PZ109" s="43" t="str">
        <f t="shared" si="386"/>
        <v/>
      </c>
      <c r="QA109" s="43" t="str">
        <f t="shared" si="387"/>
        <v/>
      </c>
      <c r="QB109" s="43" t="str">
        <f t="shared" si="388"/>
        <v/>
      </c>
      <c r="QC109" s="43" t="str">
        <f t="shared" si="389"/>
        <v/>
      </c>
      <c r="QD109" s="43" t="str">
        <f t="shared" si="390"/>
        <v/>
      </c>
      <c r="QE109" s="43" t="str">
        <f t="shared" si="391"/>
        <v/>
      </c>
      <c r="QF109" s="43" t="str">
        <f t="shared" si="392"/>
        <v/>
      </c>
      <c r="QG109" s="43" t="str">
        <f t="shared" si="393"/>
        <v/>
      </c>
      <c r="QH109" s="43" t="str">
        <f t="shared" si="394"/>
        <v/>
      </c>
      <c r="QI109" s="43" t="str">
        <f t="shared" si="395"/>
        <v/>
      </c>
      <c r="QJ109" s="43" t="str">
        <f t="shared" si="396"/>
        <v/>
      </c>
      <c r="QK109" s="43" t="str">
        <f t="shared" si="397"/>
        <v/>
      </c>
      <c r="QL109" s="43" t="str">
        <f t="shared" si="398"/>
        <v/>
      </c>
      <c r="QM109" s="43" t="str">
        <f t="shared" si="399"/>
        <v/>
      </c>
      <c r="QN109" s="43" t="str">
        <f t="shared" si="400"/>
        <v/>
      </c>
      <c r="QO109" s="43" t="str">
        <f t="shared" si="401"/>
        <v/>
      </c>
      <c r="QP109" s="43" t="str">
        <f t="shared" si="402"/>
        <v/>
      </c>
      <c r="QQ109" s="43" t="str">
        <f t="shared" si="403"/>
        <v/>
      </c>
      <c r="QR109" s="43">
        <f t="shared" si="433"/>
        <v>30</v>
      </c>
      <c r="QS109" s="43"/>
      <c r="QT109" s="21" t="str">
        <f t="shared" si="404"/>
        <v/>
      </c>
      <c r="QU109" s="21" t="str">
        <f t="shared" si="405"/>
        <v/>
      </c>
      <c r="QV109" s="21" t="str">
        <f t="shared" si="406"/>
        <v/>
      </c>
      <c r="QW109" s="21" t="str">
        <f t="shared" si="407"/>
        <v/>
      </c>
      <c r="QX109" s="21" t="str">
        <f t="shared" si="408"/>
        <v/>
      </c>
      <c r="QY109" s="21" t="str">
        <f t="shared" si="409"/>
        <v/>
      </c>
      <c r="QZ109" s="21" t="str">
        <f t="shared" si="410"/>
        <v/>
      </c>
      <c r="RA109" s="21" t="str">
        <f t="shared" si="411"/>
        <v/>
      </c>
      <c r="RB109" s="21" t="str">
        <f t="shared" si="412"/>
        <v/>
      </c>
      <c r="RC109" s="21" t="str">
        <f t="shared" si="413"/>
        <v/>
      </c>
      <c r="RD109" s="21" t="str">
        <f t="shared" si="414"/>
        <v/>
      </c>
      <c r="RE109" s="21" t="str">
        <f t="shared" si="415"/>
        <v/>
      </c>
      <c r="RF109" s="21" t="str">
        <f t="shared" si="416"/>
        <v/>
      </c>
      <c r="RG109" s="21" t="str">
        <f t="shared" si="417"/>
        <v/>
      </c>
      <c r="RH109" s="21" t="str">
        <f t="shared" si="418"/>
        <v/>
      </c>
      <c r="RI109" s="21" t="str">
        <f t="shared" si="419"/>
        <v/>
      </c>
      <c r="RJ109" s="21" t="str">
        <f t="shared" si="420"/>
        <v/>
      </c>
      <c r="RK109" s="21" t="str">
        <f t="shared" si="421"/>
        <v/>
      </c>
      <c r="RL109" s="21" t="str">
        <f t="shared" si="422"/>
        <v/>
      </c>
      <c r="RM109" s="21" t="str">
        <f t="shared" si="423"/>
        <v/>
      </c>
      <c r="RN109" s="21" t="str">
        <f t="shared" si="424"/>
        <v/>
      </c>
      <c r="RO109" s="21" t="str">
        <f t="shared" si="425"/>
        <v/>
      </c>
      <c r="RP109" s="21" t="str">
        <f t="shared" si="426"/>
        <v/>
      </c>
      <c r="RQ109" s="21" t="str">
        <f t="shared" si="427"/>
        <v/>
      </c>
      <c r="RR109" s="21" t="str">
        <f t="shared" si="428"/>
        <v/>
      </c>
      <c r="RS109" s="21" t="str">
        <f t="shared" si="429"/>
        <v/>
      </c>
      <c r="RT109" s="21" t="str">
        <f t="shared" si="430"/>
        <v/>
      </c>
      <c r="RU109" s="21" t="str">
        <f t="shared" si="431"/>
        <v/>
      </c>
      <c r="RV109" s="21">
        <f t="shared" si="432"/>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4"/>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33.479452054794521</v>
      </c>
      <c r="O110" s="22">
        <v>44977</v>
      </c>
      <c r="P110" s="214" t="str">
        <f t="shared" si="438"/>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7"/>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9"/>
        <v>SALE PROGRAMA ANTES SEMANA 35</v>
      </c>
      <c r="DV110" s="226" t="str">
        <f t="shared" si="440"/>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1"/>
        <v>SALE SIN TAMIZAJE HEMOGLOBINA SEM 28</v>
      </c>
      <c r="EU110" s="25" t="str">
        <f t="shared" si="275"/>
        <v/>
      </c>
      <c r="EV110" s="24"/>
      <c r="EW110" s="24"/>
      <c r="EX110" s="22"/>
      <c r="EY110" s="29" t="str">
        <f t="shared" si="454"/>
        <v>TOMAR EXAMEN</v>
      </c>
      <c r="EZ110" s="25" t="str">
        <f t="shared" ca="1" si="455"/>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2"/>
        <v>PIERDE TOMA DE TAMIZAJE</v>
      </c>
      <c r="FP110" s="22"/>
      <c r="FQ110" s="32"/>
      <c r="FR110" s="29" t="str">
        <f t="shared" ca="1" si="443"/>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3"/>
        <v>REGISTRAR EN II TRIMESTRE</v>
      </c>
      <c r="GB110" s="22"/>
      <c r="GC110" s="22"/>
      <c r="GD110" s="29" t="str">
        <f t="shared" ref="GD110:GD141" ca="1" si="491">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5"/>
        <v>PIERDE TOMA DE TAMIZAJE</v>
      </c>
      <c r="GH110" s="22"/>
      <c r="GI110" s="29"/>
      <c r="GJ110" s="22"/>
      <c r="GK110" s="22"/>
      <c r="GL110" s="22"/>
      <c r="GM110" s="22"/>
      <c r="GN110" s="28"/>
      <c r="GO110" s="22"/>
      <c r="GP110" s="29" t="str">
        <f t="shared" si="283"/>
        <v>TOMAR EXAMEN</v>
      </c>
      <c r="GQ110" s="28"/>
      <c r="GR110" s="28"/>
      <c r="GS110" s="22" t="str">
        <f t="shared" si="458"/>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t="str">
        <f t="shared" ca="1" si="289"/>
        <v>*********************MULTIPARIDAD******************</v>
      </c>
      <c r="HK110" s="21" t="str">
        <f t="shared" si="290"/>
        <v>SIN ANTECEDENTES DE RIESGO</v>
      </c>
      <c r="HL110" s="24" t="str">
        <f t="shared" si="291"/>
        <v>REGISTRE DATO PRESIÓN ARTERIAL MENSUAL</v>
      </c>
      <c r="HM110" s="21" t="str">
        <f t="shared" ca="1" si="292"/>
        <v/>
      </c>
      <c r="HN110" s="30" t="str">
        <f t="shared" si="446"/>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3"/>
        <v>17.571428571428573</v>
      </c>
      <c r="IA110" s="26"/>
      <c r="IB110" s="26"/>
      <c r="IC110" s="111"/>
      <c r="ID110" s="22"/>
      <c r="IE110" s="22" t="str">
        <f t="shared" ca="1" si="294"/>
        <v>SALE SIN VACUNA</v>
      </c>
      <c r="IF110" s="22"/>
      <c r="IG110" s="22">
        <f t="shared" si="295"/>
        <v>45134</v>
      </c>
      <c r="IH110" s="29">
        <f t="shared" ca="1" si="296"/>
        <v>-98</v>
      </c>
      <c r="II110" s="22" t="str">
        <f t="shared" ca="1" si="297"/>
        <v>POSIBLEMENTE NACIO</v>
      </c>
      <c r="IJ110" s="22"/>
      <c r="IK110" s="21" t="s">
        <v>898</v>
      </c>
      <c r="IL110" s="21"/>
      <c r="IM110" s="34"/>
      <c r="IN110" s="349">
        <v>45064</v>
      </c>
      <c r="IO110" s="21" t="s">
        <v>1640</v>
      </c>
      <c r="IP110" s="29">
        <f t="shared" si="490"/>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2">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3">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4">IF(AND(JW110&lt;&gt;"",JW110&lt;IN110),"INCONSISTENCIA FECHA CONTROL",IF(AND(OR(IK110="Parto",IK110="Cesarea"),JW110&gt;0,IN110&gt;0),SUM(JW110-IN110),IF(AND(OR(IK110="Parto",IK110="Cesarea"),JW110="",IN110&gt;0),"INASISTENTE","")))</f>
        <v>INASISTENTE</v>
      </c>
      <c r="JY110" s="33"/>
      <c r="JZ110" s="28" t="str">
        <f t="shared" ref="JZ110:JZ141" si="495">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9"/>
        <v>0</v>
      </c>
      <c r="MI110" s="43" t="str">
        <f t="shared" si="460"/>
        <v/>
      </c>
      <c r="MJ110" s="43" t="str">
        <f t="shared" si="461"/>
        <v/>
      </c>
      <c r="MK110" s="43">
        <f t="shared" si="462"/>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3"/>
        <v>17.571428571428573</v>
      </c>
      <c r="MN110" s="43">
        <f t="shared" si="464"/>
        <v>2</v>
      </c>
      <c r="MO110" s="43">
        <f t="shared" si="465"/>
        <v>2023</v>
      </c>
      <c r="MP110" s="43" t="str">
        <f t="shared" si="466"/>
        <v>I TRIMESTRE AÑO</v>
      </c>
      <c r="MQ110" s="43">
        <f t="shared" si="467"/>
        <v>32.279347349978096</v>
      </c>
      <c r="MR110" s="43">
        <f t="shared" si="468"/>
        <v>0</v>
      </c>
      <c r="MS110" s="43" t="str">
        <f t="shared" si="469"/>
        <v xml:space="preserve"> DE 30 A 34 AÑOS</v>
      </c>
      <c r="MT110" s="43">
        <f t="shared" si="470"/>
        <v>0</v>
      </c>
      <c r="MU110" s="43">
        <f t="shared" si="471"/>
        <v>2</v>
      </c>
      <c r="MV110" s="43">
        <f t="shared" si="472"/>
        <v>0</v>
      </c>
      <c r="MW110" s="43">
        <f t="shared" si="473"/>
        <v>0</v>
      </c>
      <c r="MX110" s="43" t="str">
        <f t="shared" si="474"/>
        <v/>
      </c>
      <c r="MY110" s="43" t="str">
        <f t="shared" ref="MY110:MY141" ca="1" si="496">IF(AND(AND(BU110&gt;40.9,BU110&lt;43),IN110=""),1,"")</f>
        <v/>
      </c>
      <c r="MZ110" s="43" t="str">
        <f t="shared" si="475"/>
        <v/>
      </c>
      <c r="NA110" s="43" t="str">
        <f t="shared" si="476"/>
        <v/>
      </c>
      <c r="NB110" s="43" t="str">
        <f t="shared" si="477"/>
        <v/>
      </c>
      <c r="NC110" s="43" t="str">
        <f t="shared" si="478"/>
        <v/>
      </c>
      <c r="ND110" s="43">
        <f t="shared" ca="1" si="479"/>
        <v>2</v>
      </c>
      <c r="NE110" s="43">
        <f>IF(OR(O110&gt;0,R110&gt;0),SUM(COUNTIF(Tabla1[[#This Row],[AÑOS AL INICIO5 CPN]],"&gt;=40"),COUNTIF(AS110,"0"),COUNTIF(AR110,"SI"),COUNTIF(CC110,"SI"),COUNTIF(BQ110,"&gt;119"),COUNTIF(CI110,"&gt;=35")),"")</f>
        <v>0</v>
      </c>
      <c r="NF110" s="43" t="str">
        <f t="shared" si="480"/>
        <v/>
      </c>
      <c r="NG110" s="43">
        <f t="shared" si="481"/>
        <v>0</v>
      </c>
      <c r="NH110" s="43">
        <f t="shared" si="482"/>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3"/>
        <v>X</v>
      </c>
      <c r="NM110" s="43" t="str">
        <f t="shared" si="456"/>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4"/>
        <v>II TRIM</v>
      </c>
      <c r="NQ110" s="21" t="str">
        <f t="shared" si="437"/>
        <v/>
      </c>
      <c r="NR110" s="21">
        <f t="shared" ref="NR110:NR141" si="497">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5"/>
        <v>0</v>
      </c>
      <c r="NT110" s="21">
        <f t="shared" ca="1" si="486"/>
        <v>0</v>
      </c>
      <c r="NU110" s="21" t="str">
        <f t="shared" ca="1" si="487"/>
        <v>INCOMPLETO</v>
      </c>
      <c r="NV110" s="21" t="str">
        <f t="shared" ca="1" si="488"/>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9"/>
        <v>SIN VACUNAR</v>
      </c>
      <c r="NY110" s="43">
        <f>ROW(Tabla1[[#This Row],['# DE TAMIZAJES SIFILIS TOMADOS ]])</f>
        <v>110</v>
      </c>
      <c r="NZ110" s="43">
        <f t="shared" si="334"/>
        <v>17</v>
      </c>
      <c r="OA110" s="43" t="str">
        <f t="shared" si="335"/>
        <v/>
      </c>
      <c r="OB110" s="43" t="str">
        <f t="shared" si="336"/>
        <v/>
      </c>
      <c r="OC110" s="43" t="str">
        <f t="shared" si="337"/>
        <v/>
      </c>
      <c r="OD110" s="43" t="str">
        <f t="shared" si="338"/>
        <v/>
      </c>
      <c r="OE110" s="43" t="str">
        <f t="shared" si="339"/>
        <v/>
      </c>
      <c r="OF110" s="43" t="str">
        <f t="shared" si="340"/>
        <v/>
      </c>
      <c r="OG110" s="43" t="str">
        <f t="shared" si="341"/>
        <v/>
      </c>
      <c r="OH110" s="43" t="str">
        <f t="shared" si="342"/>
        <v/>
      </c>
      <c r="OI110" s="43" t="str">
        <f t="shared" si="343"/>
        <v>SOBREPESO</v>
      </c>
      <c r="OJ110" s="43" t="str">
        <f t="shared" si="344"/>
        <v/>
      </c>
      <c r="OK110" s="43" t="str">
        <f t="shared" si="345"/>
        <v/>
      </c>
      <c r="OL110" s="43" t="str">
        <f t="shared" si="346"/>
        <v/>
      </c>
      <c r="OM110" s="43" t="str">
        <f t="shared" si="347"/>
        <v/>
      </c>
      <c r="ON110" s="43" t="str">
        <f t="shared" si="348"/>
        <v/>
      </c>
      <c r="OO110" s="43" t="str">
        <f t="shared" si="349"/>
        <v/>
      </c>
      <c r="OP110" s="43" t="str">
        <f t="shared" si="350"/>
        <v/>
      </c>
      <c r="OQ110" s="43" t="str">
        <f t="shared" si="351"/>
        <v/>
      </c>
      <c r="OR110" s="43" t="str">
        <f t="shared" si="352"/>
        <v/>
      </c>
      <c r="OS110" s="43" t="str">
        <f t="shared" si="353"/>
        <v/>
      </c>
      <c r="OT110" s="43" t="str">
        <f t="shared" si="354"/>
        <v/>
      </c>
      <c r="OU110" s="43" t="str">
        <f t="shared" si="355"/>
        <v/>
      </c>
      <c r="OV110" s="110" t="str">
        <f t="shared" si="356"/>
        <v/>
      </c>
      <c r="OW110" s="43" t="str">
        <f t="shared" si="357"/>
        <v/>
      </c>
      <c r="OX110" s="43" t="str">
        <f t="shared" si="358"/>
        <v/>
      </c>
      <c r="OY110" s="43" t="str">
        <f t="shared" si="359"/>
        <v/>
      </c>
      <c r="OZ110" s="43" t="str">
        <f t="shared" si="360"/>
        <v/>
      </c>
      <c r="PA110" s="43" t="str">
        <f t="shared" si="361"/>
        <v/>
      </c>
      <c r="PB110" s="43" t="str">
        <f t="shared" si="362"/>
        <v/>
      </c>
      <c r="PC110" s="43" t="str">
        <f t="shared" si="363"/>
        <v/>
      </c>
      <c r="PD110" s="43" t="str">
        <f t="shared" si="364"/>
        <v/>
      </c>
      <c r="PE110" s="43" t="str">
        <f t="shared" si="365"/>
        <v/>
      </c>
      <c r="PF110" s="43" t="str">
        <f t="shared" si="366"/>
        <v/>
      </c>
      <c r="PG110" s="43" t="str">
        <f t="shared" si="367"/>
        <v/>
      </c>
      <c r="PH110" s="43" t="str">
        <f t="shared" si="368"/>
        <v/>
      </c>
      <c r="PI110" s="43">
        <f t="shared" si="369"/>
        <v>23</v>
      </c>
      <c r="PJ110" s="43" t="str">
        <f t="shared" si="370"/>
        <v/>
      </c>
      <c r="PK110" s="43" t="str">
        <f t="shared" si="371"/>
        <v/>
      </c>
      <c r="PL110" s="43" t="str">
        <f t="shared" si="372"/>
        <v/>
      </c>
      <c r="PM110" s="43" t="str">
        <f t="shared" si="373"/>
        <v/>
      </c>
      <c r="PN110" s="43" t="str">
        <f t="shared" si="374"/>
        <v/>
      </c>
      <c r="PO110" s="43" t="str">
        <f t="shared" si="375"/>
        <v/>
      </c>
      <c r="PP110" s="43" t="str">
        <f t="shared" si="376"/>
        <v/>
      </c>
      <c r="PQ110" s="43" t="str">
        <f t="shared" si="377"/>
        <v/>
      </c>
      <c r="PR110" s="43" t="str">
        <f t="shared" si="378"/>
        <v/>
      </c>
      <c r="PS110" s="43" t="str">
        <f t="shared" si="379"/>
        <v/>
      </c>
      <c r="PT110" s="43" t="str">
        <f t="shared" si="380"/>
        <v/>
      </c>
      <c r="PU110" s="43" t="str">
        <f t="shared" si="381"/>
        <v/>
      </c>
      <c r="PV110" s="43" t="str">
        <f t="shared" si="382"/>
        <v/>
      </c>
      <c r="PW110" s="43" t="str">
        <f t="shared" si="383"/>
        <v/>
      </c>
      <c r="PX110" s="43" t="str">
        <f t="shared" si="384"/>
        <v/>
      </c>
      <c r="PY110" s="43" t="str">
        <f t="shared" si="385"/>
        <v/>
      </c>
      <c r="PZ110" s="43" t="str">
        <f t="shared" si="386"/>
        <v/>
      </c>
      <c r="QA110" s="43" t="str">
        <f t="shared" si="387"/>
        <v/>
      </c>
      <c r="QB110" s="43" t="str">
        <f t="shared" si="388"/>
        <v/>
      </c>
      <c r="QC110" s="43" t="str">
        <f t="shared" si="389"/>
        <v/>
      </c>
      <c r="QD110" s="43" t="str">
        <f t="shared" si="390"/>
        <v/>
      </c>
      <c r="QE110" s="43" t="str">
        <f t="shared" si="391"/>
        <v/>
      </c>
      <c r="QF110" s="43" t="str">
        <f t="shared" si="392"/>
        <v/>
      </c>
      <c r="QG110" s="43" t="str">
        <f t="shared" si="393"/>
        <v/>
      </c>
      <c r="QH110" s="43" t="str">
        <f t="shared" si="394"/>
        <v/>
      </c>
      <c r="QI110" s="43" t="str">
        <f t="shared" si="395"/>
        <v/>
      </c>
      <c r="QJ110" s="43" t="str">
        <f t="shared" si="396"/>
        <v/>
      </c>
      <c r="QK110" s="43" t="str">
        <f t="shared" si="397"/>
        <v/>
      </c>
      <c r="QL110" s="43" t="str">
        <f t="shared" si="398"/>
        <v/>
      </c>
      <c r="QM110" s="43" t="str">
        <f t="shared" si="399"/>
        <v/>
      </c>
      <c r="QN110" s="43" t="str">
        <f t="shared" si="400"/>
        <v/>
      </c>
      <c r="QO110" s="43" t="str">
        <f t="shared" si="401"/>
        <v/>
      </c>
      <c r="QP110" s="43" t="str">
        <f t="shared" si="402"/>
        <v/>
      </c>
      <c r="QQ110" s="43" t="str">
        <f t="shared" si="403"/>
        <v/>
      </c>
      <c r="QR110" s="43">
        <f t="shared" si="433"/>
        <v>23</v>
      </c>
      <c r="QS110" s="43"/>
      <c r="QT110" s="21" t="str">
        <f t="shared" si="404"/>
        <v/>
      </c>
      <c r="QU110" s="21" t="str">
        <f t="shared" si="405"/>
        <v/>
      </c>
      <c r="QV110" s="21" t="str">
        <f t="shared" si="406"/>
        <v/>
      </c>
      <c r="QW110" s="21" t="str">
        <f t="shared" si="407"/>
        <v/>
      </c>
      <c r="QX110" s="21" t="str">
        <f t="shared" si="408"/>
        <v/>
      </c>
      <c r="QY110" s="21" t="str">
        <f t="shared" si="409"/>
        <v/>
      </c>
      <c r="QZ110" s="21" t="str">
        <f t="shared" si="410"/>
        <v/>
      </c>
      <c r="RA110" s="21" t="str">
        <f t="shared" si="411"/>
        <v/>
      </c>
      <c r="RB110" s="21" t="str">
        <f t="shared" si="412"/>
        <v/>
      </c>
      <c r="RC110" s="21" t="str">
        <f t="shared" si="413"/>
        <v/>
      </c>
      <c r="RD110" s="21" t="str">
        <f t="shared" si="414"/>
        <v/>
      </c>
      <c r="RE110" s="21" t="str">
        <f t="shared" si="415"/>
        <v/>
      </c>
      <c r="RF110" s="21" t="str">
        <f t="shared" si="416"/>
        <v/>
      </c>
      <c r="RG110" s="21" t="str">
        <f t="shared" si="417"/>
        <v/>
      </c>
      <c r="RH110" s="21" t="str">
        <f t="shared" si="418"/>
        <v/>
      </c>
      <c r="RI110" s="21" t="str">
        <f t="shared" si="419"/>
        <v/>
      </c>
      <c r="RJ110" s="21" t="str">
        <f t="shared" si="420"/>
        <v/>
      </c>
      <c r="RK110" s="21" t="str">
        <f t="shared" si="421"/>
        <v/>
      </c>
      <c r="RL110" s="21" t="str">
        <f t="shared" si="422"/>
        <v/>
      </c>
      <c r="RM110" s="21" t="str">
        <f t="shared" si="423"/>
        <v/>
      </c>
      <c r="RN110" s="21" t="str">
        <f t="shared" si="424"/>
        <v/>
      </c>
      <c r="RO110" s="21" t="str">
        <f t="shared" si="425"/>
        <v/>
      </c>
      <c r="RP110" s="21" t="str">
        <f t="shared" si="426"/>
        <v/>
      </c>
      <c r="RQ110" s="21" t="str">
        <f t="shared" si="427"/>
        <v/>
      </c>
      <c r="RR110" s="21" t="str">
        <f t="shared" si="428"/>
        <v/>
      </c>
      <c r="RS110" s="21" t="str">
        <f t="shared" si="429"/>
        <v/>
      </c>
      <c r="RT110" s="21" t="str">
        <f t="shared" si="430"/>
        <v/>
      </c>
      <c r="RU110" s="21" t="str">
        <f t="shared" si="431"/>
        <v/>
      </c>
      <c r="RV110" s="21">
        <f t="shared" si="432"/>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4"/>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18.61917808219178</v>
      </c>
      <c r="O111" s="22">
        <v>44979</v>
      </c>
      <c r="P111" s="214" t="str">
        <f t="shared" si="438"/>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7"/>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9"/>
        <v>CONCERTAR PLAN DE PARTO INMEDIATO</v>
      </c>
      <c r="DV111" s="226" t="str">
        <f t="shared" si="440"/>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1"/>
        <v>TOMA DE HEMOGLOBINA TARDÍA</v>
      </c>
      <c r="EU111" s="25" t="str">
        <f t="shared" si="275"/>
        <v/>
      </c>
      <c r="EV111" s="24" t="s">
        <v>866</v>
      </c>
      <c r="EW111" s="24">
        <v>44979</v>
      </c>
      <c r="EX111" s="22"/>
      <c r="EY111" s="29">
        <f t="shared" si="454"/>
        <v>9.8571428571428577</v>
      </c>
      <c r="EZ111" s="25" t="str">
        <f t="shared" ca="1" si="455"/>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2"/>
        <v>PIERDE TOMA DE TAMIZAJE</v>
      </c>
      <c r="FP111" s="22"/>
      <c r="FQ111" s="32"/>
      <c r="FR111" s="29" t="str">
        <f t="shared" ca="1" si="443"/>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3"/>
        <v>9.8571428571428577</v>
      </c>
      <c r="GB111" s="22"/>
      <c r="GC111" s="22"/>
      <c r="GD111" s="29" t="str">
        <f t="shared" ca="1" si="491"/>
        <v>PIERDE TOMA DE TAMIZAJE</v>
      </c>
      <c r="GE111" s="22"/>
      <c r="GF111" s="22"/>
      <c r="GG111" s="29" t="str">
        <f t="shared" ca="1" si="445"/>
        <v>TOMA INMEDIATA DE TAMIZAJE</v>
      </c>
      <c r="GH111" s="22"/>
      <c r="GI111" s="29"/>
      <c r="GJ111" s="22"/>
      <c r="GK111" s="22"/>
      <c r="GL111" s="22"/>
      <c r="GM111" s="22"/>
      <c r="GN111" s="28" t="s">
        <v>869</v>
      </c>
      <c r="GO111" s="22">
        <v>44979</v>
      </c>
      <c r="GP111" s="29">
        <f t="shared" si="283"/>
        <v>9.8571428571428577</v>
      </c>
      <c r="GQ111" s="28"/>
      <c r="GR111" s="28"/>
      <c r="GS111" s="22" t="str">
        <f t="shared" si="458"/>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t="str">
        <f t="shared" ca="1" si="289"/>
        <v>**********************MULTIPARIDAD*****************</v>
      </c>
      <c r="HK111" s="21" t="str">
        <f t="shared" si="290"/>
        <v>SIN ANTECEDENTES DE RIESGO</v>
      </c>
      <c r="HL111" s="24" t="str">
        <f t="shared" si="291"/>
        <v>REGISTRE DATO PRESIÓN ARTERIAL MENSUAL</v>
      </c>
      <c r="HM111" s="21" t="e">
        <f t="shared" ca="1" si="292"/>
        <v>#REF!</v>
      </c>
      <c r="HN111" s="30" t="str">
        <f t="shared" si="446"/>
        <v>ACTIVA INGRESO A CPN</v>
      </c>
      <c r="HO111" s="21"/>
      <c r="HP111" s="21"/>
      <c r="HQ111" s="349">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3"/>
        <v>9.8571428571428577</v>
      </c>
      <c r="IA111" s="26"/>
      <c r="IB111" s="26"/>
      <c r="IC111" s="111"/>
      <c r="ID111" s="22"/>
      <c r="IE111" s="22" t="str">
        <f t="shared" ca="1" si="294"/>
        <v/>
      </c>
      <c r="IF111" s="22"/>
      <c r="IG111" s="22">
        <f t="shared" si="295"/>
        <v>45190</v>
      </c>
      <c r="IH111" s="29">
        <f t="shared" ca="1" si="296"/>
        <v>-42</v>
      </c>
      <c r="II111" s="22" t="str">
        <f t="shared" ca="1" si="297"/>
        <v>POSIBLEMENTE NACIO</v>
      </c>
      <c r="IJ111" s="22"/>
      <c r="IK111" s="21"/>
      <c r="IL111" s="21"/>
      <c r="IM111" s="34"/>
      <c r="IN111" s="22"/>
      <c r="IO111" s="21"/>
      <c r="IP111" s="29" t="str">
        <f t="shared" si="490"/>
        <v/>
      </c>
      <c r="IQ111" s="110"/>
      <c r="IR111" s="21"/>
      <c r="IS111" s="21"/>
      <c r="IT111" s="21"/>
      <c r="IU111" s="21"/>
      <c r="IV111" s="21"/>
      <c r="IW111" s="21"/>
      <c r="IX111" s="21"/>
      <c r="IY111" s="21"/>
      <c r="IZ111" s="21"/>
      <c r="JA111" s="21"/>
      <c r="JB111" s="30"/>
      <c r="JC111" s="21"/>
      <c r="JD111" s="36"/>
      <c r="JE111" s="21" t="str">
        <f t="shared" si="492"/>
        <v/>
      </c>
      <c r="JF111" s="30"/>
      <c r="JG111" s="21"/>
      <c r="JH111" s="21"/>
      <c r="JI111" s="21"/>
      <c r="JJ111" s="30"/>
      <c r="JK111" s="22"/>
      <c r="JL111" s="22"/>
      <c r="JM111" s="21"/>
      <c r="JN111" s="36"/>
      <c r="JO111" s="21" t="str">
        <f t="shared" si="493"/>
        <v/>
      </c>
      <c r="JP111" s="22"/>
      <c r="JQ111" s="21"/>
      <c r="JR111" s="21"/>
      <c r="JS111" s="21"/>
      <c r="JT111" s="30"/>
      <c r="JU111" s="22"/>
      <c r="JV111" s="22"/>
      <c r="JW111" s="33"/>
      <c r="JX111" s="28" t="str">
        <f t="shared" si="494"/>
        <v/>
      </c>
      <c r="JY111" s="33"/>
      <c r="JZ111" s="28" t="str">
        <f t="shared" si="495"/>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9"/>
        <v>0</v>
      </c>
      <c r="MI111" s="43" t="str">
        <f t="shared" si="460"/>
        <v/>
      </c>
      <c r="MJ111" s="43" t="str">
        <f t="shared" si="461"/>
        <v/>
      </c>
      <c r="MK111" s="43">
        <f t="shared" si="462"/>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3"/>
        <v>9.8571428571428577</v>
      </c>
      <c r="MN111" s="43">
        <f t="shared" si="464"/>
        <v>2</v>
      </c>
      <c r="MO111" s="43">
        <f t="shared" si="465"/>
        <v>2023</v>
      </c>
      <c r="MP111" s="43" t="str">
        <f t="shared" si="466"/>
        <v>I TRIMESTRE AÑO</v>
      </c>
      <c r="MQ111" s="43">
        <f t="shared" si="467"/>
        <v>17.649474375821288</v>
      </c>
      <c r="MR111" s="43">
        <f t="shared" si="468"/>
        <v>0</v>
      </c>
      <c r="MS111" s="43" t="str">
        <f t="shared" si="469"/>
        <v>DE 14 A 19AÑOS</v>
      </c>
      <c r="MT111" s="43">
        <f t="shared" si="470"/>
        <v>0</v>
      </c>
      <c r="MU111" s="43">
        <f t="shared" si="471"/>
        <v>1</v>
      </c>
      <c r="MV111" s="43">
        <f t="shared" si="472"/>
        <v>0</v>
      </c>
      <c r="MW111" s="43">
        <f t="shared" si="473"/>
        <v>0</v>
      </c>
      <c r="MX111" s="43" t="str">
        <f t="shared" si="474"/>
        <v/>
      </c>
      <c r="MY111" s="43" t="str">
        <f t="shared" ca="1" si="496"/>
        <v/>
      </c>
      <c r="MZ111" s="43" t="str">
        <f t="shared" si="475"/>
        <v/>
      </c>
      <c r="NA111" s="43" t="str">
        <f t="shared" si="476"/>
        <v/>
      </c>
      <c r="NB111" s="43" t="str">
        <f t="shared" si="477"/>
        <v/>
      </c>
      <c r="NC111" s="43" t="str">
        <f t="shared" si="478"/>
        <v/>
      </c>
      <c r="ND111" s="43">
        <f t="shared" ca="1" si="479"/>
        <v>1</v>
      </c>
      <c r="NE111" s="43">
        <f>IF(OR(O111&gt;0,R111&gt;0),SUM(COUNTIF(Tabla1[[#This Row],[AÑOS AL INICIO5 CPN]],"&gt;=40"),COUNTIF(AS111,"0"),COUNTIF(AR111,"SI"),COUNTIF(CC111,"SI"),COUNTIF(BQ111,"&gt;119"),COUNTIF(CI111,"&gt;=35")),"")</f>
        <v>1</v>
      </c>
      <c r="NF111" s="43" t="str">
        <f t="shared" si="480"/>
        <v/>
      </c>
      <c r="NG111" s="43">
        <f t="shared" si="481"/>
        <v>0</v>
      </c>
      <c r="NH111" s="43" t="str">
        <f t="shared" si="482"/>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3"/>
        <v>X</v>
      </c>
      <c r="NM111" s="43" t="str">
        <f t="shared" si="456"/>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4"/>
        <v>I TRIM</v>
      </c>
      <c r="NQ111" s="21" t="str">
        <f t="shared" si="437"/>
        <v/>
      </c>
      <c r="NR111" s="21" t="str">
        <f t="shared" ca="1" si="497"/>
        <v>REVISAR FUM O FECHA SALIDA PROGRAMA</v>
      </c>
      <c r="NS111" s="205">
        <f t="shared" ca="1" si="485"/>
        <v>1</v>
      </c>
      <c r="NT111" s="21">
        <f t="shared" ca="1" si="486"/>
        <v>1</v>
      </c>
      <c r="NU111" s="21" t="str">
        <f t="shared" ca="1" si="487"/>
        <v>POR DEFINIR</v>
      </c>
      <c r="NV111" s="21" t="str">
        <f t="shared" ca="1" si="488"/>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9"/>
        <v>SIN VACUNAR</v>
      </c>
      <c r="NY111" s="43">
        <f>ROW(Tabla1[[#This Row],['# DE TAMIZAJES SIFILIS TOMADOS ]])</f>
        <v>111</v>
      </c>
      <c r="NZ111" s="43" t="str">
        <f t="shared" si="334"/>
        <v>Menor</v>
      </c>
      <c r="OA111" s="43" t="str">
        <f t="shared" si="335"/>
        <v>SOBREPESO</v>
      </c>
      <c r="OB111" s="43" t="str">
        <f t="shared" si="336"/>
        <v/>
      </c>
      <c r="OC111" s="43" t="str">
        <f t="shared" si="337"/>
        <v/>
      </c>
      <c r="OD111" s="43" t="str">
        <f t="shared" si="338"/>
        <v/>
      </c>
      <c r="OE111" s="43" t="str">
        <f t="shared" si="339"/>
        <v/>
      </c>
      <c r="OF111" s="43" t="str">
        <f t="shared" si="340"/>
        <v/>
      </c>
      <c r="OG111" s="43" t="str">
        <f t="shared" si="341"/>
        <v/>
      </c>
      <c r="OH111" s="43" t="str">
        <f t="shared" si="342"/>
        <v/>
      </c>
      <c r="OI111" s="43" t="str">
        <f t="shared" si="343"/>
        <v/>
      </c>
      <c r="OJ111" s="43" t="str">
        <f t="shared" si="344"/>
        <v/>
      </c>
      <c r="OK111" s="43" t="str">
        <f t="shared" si="345"/>
        <v/>
      </c>
      <c r="OL111" s="43" t="str">
        <f t="shared" si="346"/>
        <v/>
      </c>
      <c r="OM111" s="43" t="str">
        <f t="shared" si="347"/>
        <v/>
      </c>
      <c r="ON111" s="43" t="str">
        <f t="shared" si="348"/>
        <v/>
      </c>
      <c r="OO111" s="43" t="str">
        <f t="shared" si="349"/>
        <v/>
      </c>
      <c r="OP111" s="43" t="str">
        <f t="shared" si="350"/>
        <v/>
      </c>
      <c r="OQ111" s="43" t="str">
        <f t="shared" si="351"/>
        <v/>
      </c>
      <c r="OR111" s="43" t="str">
        <f t="shared" si="352"/>
        <v/>
      </c>
      <c r="OS111" s="43" t="str">
        <f t="shared" si="353"/>
        <v/>
      </c>
      <c r="OT111" s="43" t="str">
        <f t="shared" si="354"/>
        <v/>
      </c>
      <c r="OU111" s="43" t="str">
        <f t="shared" si="355"/>
        <v/>
      </c>
      <c r="OV111" s="110" t="str">
        <f t="shared" si="356"/>
        <v/>
      </c>
      <c r="OW111" s="43" t="str">
        <f t="shared" si="357"/>
        <v/>
      </c>
      <c r="OX111" s="43" t="str">
        <f t="shared" si="358"/>
        <v/>
      </c>
      <c r="OY111" s="43" t="str">
        <f t="shared" si="359"/>
        <v/>
      </c>
      <c r="OZ111" s="43" t="str">
        <f t="shared" si="360"/>
        <v/>
      </c>
      <c r="PA111" s="43" t="str">
        <f t="shared" si="361"/>
        <v/>
      </c>
      <c r="PB111" s="43" t="str">
        <f t="shared" si="362"/>
        <v/>
      </c>
      <c r="PC111" s="43" t="str">
        <f t="shared" si="363"/>
        <v/>
      </c>
      <c r="PD111" s="43" t="str">
        <f t="shared" si="364"/>
        <v/>
      </c>
      <c r="PE111" s="43" t="str">
        <f t="shared" si="365"/>
        <v/>
      </c>
      <c r="PF111" s="43" t="str">
        <f t="shared" si="366"/>
        <v/>
      </c>
      <c r="PG111" s="43" t="str">
        <f t="shared" si="367"/>
        <v/>
      </c>
      <c r="PH111" s="43" t="str">
        <f t="shared" si="368"/>
        <v/>
      </c>
      <c r="PI111" s="43" t="str">
        <f t="shared" si="369"/>
        <v>Menor</v>
      </c>
      <c r="PJ111" s="43" t="str">
        <f t="shared" si="370"/>
        <v>SOBREPESO</v>
      </c>
      <c r="PK111" s="43" t="str">
        <f t="shared" si="371"/>
        <v/>
      </c>
      <c r="PL111" s="43" t="str">
        <f t="shared" si="372"/>
        <v/>
      </c>
      <c r="PM111" s="43" t="str">
        <f t="shared" si="373"/>
        <v/>
      </c>
      <c r="PN111" s="43" t="str">
        <f t="shared" si="374"/>
        <v/>
      </c>
      <c r="PO111" s="43" t="str">
        <f t="shared" si="375"/>
        <v/>
      </c>
      <c r="PP111" s="43" t="str">
        <f t="shared" si="376"/>
        <v/>
      </c>
      <c r="PQ111" s="43" t="str">
        <f t="shared" si="377"/>
        <v/>
      </c>
      <c r="PR111" s="43" t="str">
        <f t="shared" si="378"/>
        <v/>
      </c>
      <c r="PS111" s="43" t="str">
        <f t="shared" si="379"/>
        <v/>
      </c>
      <c r="PT111" s="43" t="str">
        <f t="shared" si="380"/>
        <v/>
      </c>
      <c r="PU111" s="43" t="str">
        <f t="shared" si="381"/>
        <v/>
      </c>
      <c r="PV111" s="43" t="str">
        <f t="shared" si="382"/>
        <v/>
      </c>
      <c r="PW111" s="43" t="str">
        <f t="shared" si="383"/>
        <v/>
      </c>
      <c r="PX111" s="43" t="str">
        <f t="shared" si="384"/>
        <v/>
      </c>
      <c r="PY111" s="43" t="str">
        <f t="shared" si="385"/>
        <v/>
      </c>
      <c r="PZ111" s="43" t="str">
        <f t="shared" si="386"/>
        <v/>
      </c>
      <c r="QA111" s="43" t="str">
        <f t="shared" si="387"/>
        <v/>
      </c>
      <c r="QB111" s="43" t="str">
        <f t="shared" si="388"/>
        <v/>
      </c>
      <c r="QC111" s="43" t="str">
        <f t="shared" si="389"/>
        <v/>
      </c>
      <c r="QD111" s="43" t="str">
        <f t="shared" si="390"/>
        <v/>
      </c>
      <c r="QE111" s="43" t="str">
        <f t="shared" si="391"/>
        <v/>
      </c>
      <c r="QF111" s="43" t="str">
        <f t="shared" si="392"/>
        <v/>
      </c>
      <c r="QG111" s="43" t="str">
        <f t="shared" si="393"/>
        <v/>
      </c>
      <c r="QH111" s="43" t="str">
        <f t="shared" si="394"/>
        <v/>
      </c>
      <c r="QI111" s="43" t="str">
        <f t="shared" si="395"/>
        <v/>
      </c>
      <c r="QJ111" s="43" t="str">
        <f t="shared" si="396"/>
        <v/>
      </c>
      <c r="QK111" s="43" t="str">
        <f t="shared" si="397"/>
        <v/>
      </c>
      <c r="QL111" s="43" t="str">
        <f t="shared" si="398"/>
        <v/>
      </c>
      <c r="QM111" s="43" t="str">
        <f t="shared" si="399"/>
        <v/>
      </c>
      <c r="QN111" s="43" t="str">
        <f t="shared" si="400"/>
        <v/>
      </c>
      <c r="QO111" s="43" t="str">
        <f t="shared" si="401"/>
        <v/>
      </c>
      <c r="QP111" s="43" t="str">
        <f t="shared" si="402"/>
        <v/>
      </c>
      <c r="QQ111" s="43" t="str">
        <f t="shared" si="403"/>
        <v/>
      </c>
      <c r="QR111" s="43" t="str">
        <f t="shared" si="433"/>
        <v>Menor</v>
      </c>
      <c r="QS111" s="43"/>
      <c r="QT111" s="21" t="str">
        <f t="shared" si="404"/>
        <v/>
      </c>
      <c r="QU111" s="21" t="str">
        <f t="shared" si="405"/>
        <v/>
      </c>
      <c r="QV111" s="21" t="str">
        <f t="shared" si="406"/>
        <v/>
      </c>
      <c r="QW111" s="21" t="str">
        <f t="shared" si="407"/>
        <v/>
      </c>
      <c r="QX111" s="21" t="str">
        <f t="shared" si="408"/>
        <v/>
      </c>
      <c r="QY111" s="21" t="str">
        <f t="shared" si="409"/>
        <v/>
      </c>
      <c r="QZ111" s="21" t="str">
        <f t="shared" si="410"/>
        <v/>
      </c>
      <c r="RA111" s="21" t="str">
        <f t="shared" si="411"/>
        <v/>
      </c>
      <c r="RB111" s="21" t="str">
        <f t="shared" si="412"/>
        <v/>
      </c>
      <c r="RC111" s="21" t="str">
        <f t="shared" si="413"/>
        <v/>
      </c>
      <c r="RD111" s="21" t="str">
        <f t="shared" si="414"/>
        <v/>
      </c>
      <c r="RE111" s="21" t="str">
        <f t="shared" si="415"/>
        <v/>
      </c>
      <c r="RF111" s="21" t="str">
        <f t="shared" si="416"/>
        <v/>
      </c>
      <c r="RG111" s="21" t="str">
        <f t="shared" si="417"/>
        <v/>
      </c>
      <c r="RH111" s="21" t="str">
        <f t="shared" si="418"/>
        <v/>
      </c>
      <c r="RI111" s="21" t="str">
        <f t="shared" si="419"/>
        <v/>
      </c>
      <c r="RJ111" s="21" t="str">
        <f t="shared" si="420"/>
        <v/>
      </c>
      <c r="RK111" s="21" t="str">
        <f t="shared" si="421"/>
        <v/>
      </c>
      <c r="RL111" s="21" t="str">
        <f t="shared" si="422"/>
        <v/>
      </c>
      <c r="RM111" s="21" t="str">
        <f t="shared" si="423"/>
        <v/>
      </c>
      <c r="RN111" s="21" t="str">
        <f t="shared" si="424"/>
        <v/>
      </c>
      <c r="RO111" s="21" t="str">
        <f t="shared" si="425"/>
        <v/>
      </c>
      <c r="RP111" s="21" t="str">
        <f t="shared" si="426"/>
        <v/>
      </c>
      <c r="RQ111" s="21" t="str">
        <f t="shared" si="427"/>
        <v/>
      </c>
      <c r="RR111" s="21" t="str">
        <f t="shared" si="428"/>
        <v/>
      </c>
      <c r="RS111" s="21" t="str">
        <f t="shared" si="429"/>
        <v/>
      </c>
      <c r="RT111" s="21" t="str">
        <f t="shared" si="430"/>
        <v/>
      </c>
      <c r="RU111" s="21" t="str">
        <f t="shared" si="431"/>
        <v/>
      </c>
      <c r="RV111" s="21">
        <f t="shared" si="432"/>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4"/>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34.80821917808219</v>
      </c>
      <c r="O112" s="22">
        <v>44979</v>
      </c>
      <c r="P112" s="214" t="str">
        <f t="shared" si="438"/>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7"/>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9"/>
        <v>CONCERTAR PLAN DE PARTO INMEDIATO</v>
      </c>
      <c r="DV112" s="226" t="str">
        <f t="shared" si="440"/>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1"/>
        <v>TOMA DE HEMOGLOBINA TARDÍA</v>
      </c>
      <c r="EU112" s="25" t="str">
        <f t="shared" si="275"/>
        <v/>
      </c>
      <c r="EV112" s="24" t="s">
        <v>926</v>
      </c>
      <c r="EW112" s="24">
        <v>44979</v>
      </c>
      <c r="EX112" s="22"/>
      <c r="EY112" s="29">
        <f t="shared" si="454"/>
        <v>11.571428571428571</v>
      </c>
      <c r="EZ112" s="25" t="str">
        <f t="shared" ca="1" si="455"/>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2"/>
        <v>23</v>
      </c>
      <c r="FP112" s="22"/>
      <c r="FQ112" s="32"/>
      <c r="FR112" s="29" t="str">
        <f t="shared" ca="1" si="443"/>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3"/>
        <v>11.571428571428571</v>
      </c>
      <c r="GB112" s="22"/>
      <c r="GC112" s="22"/>
      <c r="GD112" s="29" t="str">
        <f t="shared" ca="1" si="491"/>
        <v>PIERDE TOMA DE TAMIZAJE</v>
      </c>
      <c r="GE112" s="22"/>
      <c r="GF112" s="22"/>
      <c r="GG112" s="29" t="str">
        <f t="shared" ca="1" si="445"/>
        <v>TOMA INMEDIATA DE TAMIZAJE</v>
      </c>
      <c r="GH112" s="22"/>
      <c r="GI112" s="29"/>
      <c r="GJ112" s="22"/>
      <c r="GK112" s="22"/>
      <c r="GL112" s="22"/>
      <c r="GM112" s="22"/>
      <c r="GN112" s="28" t="s">
        <v>869</v>
      </c>
      <c r="GO112" s="22">
        <v>44979</v>
      </c>
      <c r="GP112" s="29">
        <f t="shared" si="283"/>
        <v>11.571428571428571</v>
      </c>
      <c r="GQ112" s="28"/>
      <c r="GR112" s="28"/>
      <c r="GS112" s="22" t="str">
        <f t="shared" si="458"/>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t="str">
        <f t="shared" ca="1" si="289"/>
        <v>*ANTECEDENTE PREECLAMPSIA************************CESAREAS PREVIAS**************</v>
      </c>
      <c r="HK112" s="21" t="str">
        <f t="shared" si="290"/>
        <v>RIESGO ALTO DE COMPLICACIONES HIPERTENSIVAS VER MANEJO GUIA SUMINISTRO ASA Y CALCIO</v>
      </c>
      <c r="HL112" s="24" t="str">
        <f t="shared" si="291"/>
        <v>APARENTEMENTE NORMAL</v>
      </c>
      <c r="HM112" s="21" t="e">
        <f t="shared" ca="1" si="292"/>
        <v>#REF!</v>
      </c>
      <c r="HN112" s="30" t="str">
        <f t="shared" si="446"/>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3"/>
        <v>11.571428571428571</v>
      </c>
      <c r="IA112" s="26"/>
      <c r="IB112" s="26"/>
      <c r="IC112" s="111"/>
      <c r="ID112" s="22"/>
      <c r="IE112" s="22" t="str">
        <f t="shared" ca="1" si="294"/>
        <v/>
      </c>
      <c r="IF112" s="22"/>
      <c r="IG112" s="22">
        <f t="shared" si="295"/>
        <v>45178</v>
      </c>
      <c r="IH112" s="29">
        <f t="shared" ca="1" si="296"/>
        <v>-54</v>
      </c>
      <c r="II112" s="22" t="str">
        <f t="shared" ca="1" si="297"/>
        <v>POSIBLEMENTE NACIO</v>
      </c>
      <c r="IJ112" s="22"/>
      <c r="IK112" s="21"/>
      <c r="IL112" s="21"/>
      <c r="IM112" s="34"/>
      <c r="IN112" s="349"/>
      <c r="IO112" s="21"/>
      <c r="IP112" s="29" t="str">
        <f t="shared" si="490"/>
        <v/>
      </c>
      <c r="IQ112" s="110"/>
      <c r="IR112" s="21"/>
      <c r="IS112" s="21"/>
      <c r="IT112" s="21"/>
      <c r="IU112" s="21"/>
      <c r="IV112" s="21"/>
      <c r="IW112" s="21"/>
      <c r="IX112" s="21"/>
      <c r="IY112" s="21"/>
      <c r="IZ112" s="21"/>
      <c r="JA112" s="21"/>
      <c r="JB112" s="30"/>
      <c r="JC112" s="21"/>
      <c r="JD112" s="36"/>
      <c r="JE112" s="21" t="str">
        <f t="shared" si="492"/>
        <v/>
      </c>
      <c r="JF112" s="30"/>
      <c r="JG112" s="21"/>
      <c r="JH112" s="21"/>
      <c r="JI112" s="21"/>
      <c r="JJ112" s="30"/>
      <c r="JK112" s="22"/>
      <c r="JL112" s="22"/>
      <c r="JM112" s="21"/>
      <c r="JN112" s="36"/>
      <c r="JO112" s="21" t="str">
        <f t="shared" si="493"/>
        <v/>
      </c>
      <c r="JP112" s="22"/>
      <c r="JQ112" s="21"/>
      <c r="JR112" s="21"/>
      <c r="JS112" s="21"/>
      <c r="JT112" s="30"/>
      <c r="JU112" s="22"/>
      <c r="JV112" s="22"/>
      <c r="JW112" s="33"/>
      <c r="JX112" s="28" t="str">
        <f t="shared" si="494"/>
        <v/>
      </c>
      <c r="JY112" s="33"/>
      <c r="JZ112" s="28" t="str">
        <f t="shared" si="495"/>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9"/>
        <v>0</v>
      </c>
      <c r="MI112" s="43" t="str">
        <f t="shared" si="460"/>
        <v/>
      </c>
      <c r="MJ112" s="43" t="str">
        <f t="shared" si="461"/>
        <v/>
      </c>
      <c r="MK112" s="43">
        <f t="shared" si="462"/>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3"/>
        <v>11.571428571428571</v>
      </c>
      <c r="MN112" s="43">
        <f t="shared" si="464"/>
        <v>2</v>
      </c>
      <c r="MO112" s="43">
        <f t="shared" si="465"/>
        <v>2023</v>
      </c>
      <c r="MP112" s="43" t="str">
        <f t="shared" si="466"/>
        <v>I TRIMESTRE AÑO</v>
      </c>
      <c r="MQ112" s="43">
        <f t="shared" si="467"/>
        <v>33.598883048620237</v>
      </c>
      <c r="MR112" s="43">
        <f t="shared" si="468"/>
        <v>0</v>
      </c>
      <c r="MS112" s="43" t="str">
        <f t="shared" si="469"/>
        <v xml:space="preserve"> DE 30 A 34 AÑOS</v>
      </c>
      <c r="MT112" s="43">
        <f t="shared" si="470"/>
        <v>0</v>
      </c>
      <c r="MU112" s="43">
        <f t="shared" si="471"/>
        <v>0</v>
      </c>
      <c r="MV112" s="43">
        <f t="shared" si="472"/>
        <v>1</v>
      </c>
      <c r="MW112" s="43">
        <f t="shared" si="473"/>
        <v>0</v>
      </c>
      <c r="MX112" s="43" t="str">
        <f t="shared" si="474"/>
        <v/>
      </c>
      <c r="MY112" s="43" t="str">
        <f t="shared" ca="1" si="496"/>
        <v/>
      </c>
      <c r="MZ112" s="43" t="str">
        <f t="shared" si="475"/>
        <v/>
      </c>
      <c r="NA112" s="43" t="str">
        <f t="shared" si="476"/>
        <v/>
      </c>
      <c r="NB112" s="43" t="str">
        <f t="shared" si="477"/>
        <v/>
      </c>
      <c r="NC112" s="43" t="str">
        <f t="shared" si="478"/>
        <v/>
      </c>
      <c r="ND112" s="43">
        <f t="shared" ca="1" si="479"/>
        <v>2</v>
      </c>
      <c r="NE112" s="43">
        <f>IF(OR(O112&gt;0,R112&gt;0),SUM(COUNTIF(Tabla1[[#This Row],[AÑOS AL INICIO5 CPN]],"&gt;=40"),COUNTIF(AS112,"0"),COUNTIF(AR112,"SI"),COUNTIF(CC112,"SI"),COUNTIF(BQ112,"&gt;119"),COUNTIF(CI112,"&gt;=35")),"")</f>
        <v>0</v>
      </c>
      <c r="NF112" s="43" t="str">
        <f t="shared" si="480"/>
        <v/>
      </c>
      <c r="NG112" s="43">
        <f t="shared" si="481"/>
        <v>0</v>
      </c>
      <c r="NH112" s="43">
        <f t="shared" si="482"/>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3"/>
        <v>402</v>
      </c>
      <c r="NM112" s="43" t="str">
        <f t="shared" si="456"/>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4"/>
        <v>I TRIM</v>
      </c>
      <c r="NQ112" s="21" t="str">
        <f t="shared" si="437"/>
        <v/>
      </c>
      <c r="NR112" s="21" t="str">
        <f t="shared" ca="1" si="497"/>
        <v>REVISAR FUM O FECHA SALIDA PROGRAMA</v>
      </c>
      <c r="NS112" s="205">
        <f t="shared" ca="1" si="485"/>
        <v>2</v>
      </c>
      <c r="NT112" s="21">
        <f t="shared" ca="1" si="486"/>
        <v>1</v>
      </c>
      <c r="NU112" s="21" t="str">
        <f t="shared" ca="1" si="487"/>
        <v>POR DEFINIR</v>
      </c>
      <c r="NV112" s="21" t="str">
        <f t="shared" ca="1" si="488"/>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9"/>
        <v>SIN VACUNAR</v>
      </c>
      <c r="NY112" s="43">
        <f>ROW(Tabla1[[#This Row],['# DE TAMIZAJES SIFILIS TOMADOS ]])</f>
        <v>112</v>
      </c>
      <c r="NZ112" s="43">
        <f t="shared" si="334"/>
        <v>11</v>
      </c>
      <c r="OA112" s="43" t="str">
        <f t="shared" si="335"/>
        <v/>
      </c>
      <c r="OB112" s="43" t="str">
        <f t="shared" si="336"/>
        <v/>
      </c>
      <c r="OC112" s="43" t="str">
        <f t="shared" si="337"/>
        <v>NORMAL</v>
      </c>
      <c r="OD112" s="43" t="str">
        <f t="shared" si="338"/>
        <v/>
      </c>
      <c r="OE112" s="43" t="str">
        <f t="shared" si="339"/>
        <v/>
      </c>
      <c r="OF112" s="43" t="str">
        <f t="shared" si="340"/>
        <v/>
      </c>
      <c r="OG112" s="43" t="str">
        <f t="shared" si="341"/>
        <v/>
      </c>
      <c r="OH112" s="43" t="str">
        <f t="shared" si="342"/>
        <v/>
      </c>
      <c r="OI112" s="43" t="str">
        <f t="shared" si="343"/>
        <v/>
      </c>
      <c r="OJ112" s="43" t="str">
        <f t="shared" si="344"/>
        <v/>
      </c>
      <c r="OK112" s="43" t="str">
        <f t="shared" si="345"/>
        <v/>
      </c>
      <c r="OL112" s="43" t="str">
        <f t="shared" si="346"/>
        <v/>
      </c>
      <c r="OM112" s="43" t="str">
        <f t="shared" si="347"/>
        <v/>
      </c>
      <c r="ON112" s="43" t="str">
        <f t="shared" si="348"/>
        <v/>
      </c>
      <c r="OO112" s="43" t="str">
        <f t="shared" si="349"/>
        <v/>
      </c>
      <c r="OP112" s="43" t="str">
        <f t="shared" si="350"/>
        <v/>
      </c>
      <c r="OQ112" s="43" t="str">
        <f t="shared" si="351"/>
        <v/>
      </c>
      <c r="OR112" s="43" t="str">
        <f t="shared" si="352"/>
        <v/>
      </c>
      <c r="OS112" s="43" t="str">
        <f t="shared" si="353"/>
        <v/>
      </c>
      <c r="OT112" s="43" t="str">
        <f t="shared" si="354"/>
        <v/>
      </c>
      <c r="OU112" s="43" t="str">
        <f t="shared" si="355"/>
        <v/>
      </c>
      <c r="OV112" s="110" t="str">
        <f t="shared" si="356"/>
        <v/>
      </c>
      <c r="OW112" s="43" t="str">
        <f t="shared" si="357"/>
        <v/>
      </c>
      <c r="OX112" s="43" t="str">
        <f t="shared" si="358"/>
        <v/>
      </c>
      <c r="OY112" s="43" t="str">
        <f t="shared" si="359"/>
        <v/>
      </c>
      <c r="OZ112" s="43" t="str">
        <f t="shared" si="360"/>
        <v/>
      </c>
      <c r="PA112" s="43" t="str">
        <f t="shared" si="361"/>
        <v/>
      </c>
      <c r="PB112" s="43" t="str">
        <f t="shared" si="362"/>
        <v/>
      </c>
      <c r="PC112" s="43" t="str">
        <f t="shared" si="363"/>
        <v/>
      </c>
      <c r="PD112" s="43" t="str">
        <f t="shared" si="364"/>
        <v/>
      </c>
      <c r="PE112" s="43" t="str">
        <f t="shared" si="365"/>
        <v/>
      </c>
      <c r="PF112" s="43" t="str">
        <f t="shared" si="366"/>
        <v/>
      </c>
      <c r="PG112" s="43" t="str">
        <f t="shared" si="367"/>
        <v/>
      </c>
      <c r="PH112" s="43" t="str">
        <f t="shared" si="368"/>
        <v/>
      </c>
      <c r="PI112" s="43">
        <f t="shared" si="369"/>
        <v>22</v>
      </c>
      <c r="PJ112" s="43" t="str">
        <f t="shared" si="370"/>
        <v/>
      </c>
      <c r="PK112" s="43" t="str">
        <f t="shared" si="371"/>
        <v/>
      </c>
      <c r="PL112" s="43" t="str">
        <f t="shared" si="372"/>
        <v/>
      </c>
      <c r="PM112" s="43" t="str">
        <f t="shared" si="373"/>
        <v/>
      </c>
      <c r="PN112" s="43" t="str">
        <f t="shared" si="374"/>
        <v/>
      </c>
      <c r="PO112" s="43" t="str">
        <f t="shared" si="375"/>
        <v/>
      </c>
      <c r="PP112" s="43" t="str">
        <f t="shared" si="376"/>
        <v/>
      </c>
      <c r="PQ112" s="43" t="str">
        <f t="shared" si="377"/>
        <v/>
      </c>
      <c r="PR112" s="43" t="str">
        <f t="shared" si="378"/>
        <v/>
      </c>
      <c r="PS112" s="43" t="str">
        <f t="shared" si="379"/>
        <v/>
      </c>
      <c r="PT112" s="43" t="str">
        <f t="shared" si="380"/>
        <v/>
      </c>
      <c r="PU112" s="43" t="str">
        <f t="shared" si="381"/>
        <v/>
      </c>
      <c r="PV112" s="43" t="str">
        <f t="shared" si="382"/>
        <v/>
      </c>
      <c r="PW112" s="43" t="str">
        <f t="shared" si="383"/>
        <v>NORMAL</v>
      </c>
      <c r="PX112" s="43" t="str">
        <f t="shared" si="384"/>
        <v/>
      </c>
      <c r="PY112" s="43" t="str">
        <f t="shared" si="385"/>
        <v/>
      </c>
      <c r="PZ112" s="43" t="str">
        <f t="shared" si="386"/>
        <v/>
      </c>
      <c r="QA112" s="43" t="str">
        <f t="shared" si="387"/>
        <v/>
      </c>
      <c r="QB112" s="43" t="str">
        <f t="shared" si="388"/>
        <v/>
      </c>
      <c r="QC112" s="43" t="str">
        <f t="shared" si="389"/>
        <v/>
      </c>
      <c r="QD112" s="43" t="str">
        <f t="shared" si="390"/>
        <v/>
      </c>
      <c r="QE112" s="43" t="str">
        <f t="shared" si="391"/>
        <v/>
      </c>
      <c r="QF112" s="43" t="str">
        <f t="shared" si="392"/>
        <v/>
      </c>
      <c r="QG112" s="43" t="str">
        <f t="shared" si="393"/>
        <v/>
      </c>
      <c r="QH112" s="43" t="str">
        <f t="shared" si="394"/>
        <v/>
      </c>
      <c r="QI112" s="43" t="str">
        <f t="shared" si="395"/>
        <v/>
      </c>
      <c r="QJ112" s="43" t="str">
        <f t="shared" si="396"/>
        <v/>
      </c>
      <c r="QK112" s="43" t="str">
        <f t="shared" si="397"/>
        <v/>
      </c>
      <c r="QL112" s="43" t="str">
        <f t="shared" si="398"/>
        <v/>
      </c>
      <c r="QM112" s="43" t="str">
        <f t="shared" si="399"/>
        <v/>
      </c>
      <c r="QN112" s="43" t="str">
        <f t="shared" si="400"/>
        <v/>
      </c>
      <c r="QO112" s="43" t="str">
        <f t="shared" si="401"/>
        <v/>
      </c>
      <c r="QP112" s="43" t="str">
        <f t="shared" si="402"/>
        <v/>
      </c>
      <c r="QQ112" s="43" t="str">
        <f t="shared" si="403"/>
        <v/>
      </c>
      <c r="QR112" s="43">
        <f t="shared" si="433"/>
        <v>22</v>
      </c>
      <c r="QS112" s="43"/>
      <c r="QT112" s="21" t="str">
        <f t="shared" si="404"/>
        <v/>
      </c>
      <c r="QU112" s="21" t="str">
        <f t="shared" si="405"/>
        <v/>
      </c>
      <c r="QV112" s="21" t="str">
        <f t="shared" si="406"/>
        <v/>
      </c>
      <c r="QW112" s="21" t="str">
        <f t="shared" si="407"/>
        <v/>
      </c>
      <c r="QX112" s="21" t="str">
        <f t="shared" si="408"/>
        <v/>
      </c>
      <c r="QY112" s="21" t="str">
        <f t="shared" si="409"/>
        <v/>
      </c>
      <c r="QZ112" s="21" t="str">
        <f t="shared" si="410"/>
        <v/>
      </c>
      <c r="RA112" s="21" t="str">
        <f t="shared" si="411"/>
        <v/>
      </c>
      <c r="RB112" s="21" t="str">
        <f t="shared" si="412"/>
        <v/>
      </c>
      <c r="RC112" s="21" t="str">
        <f t="shared" si="413"/>
        <v>ALTO PARA EDAD GESTACIONAL</v>
      </c>
      <c r="RD112" s="21" t="str">
        <f t="shared" si="414"/>
        <v/>
      </c>
      <c r="RE112" s="21" t="str">
        <f t="shared" si="415"/>
        <v/>
      </c>
      <c r="RF112" s="21" t="str">
        <f t="shared" si="416"/>
        <v/>
      </c>
      <c r="RG112" s="21" t="str">
        <f t="shared" si="417"/>
        <v/>
      </c>
      <c r="RH112" s="21" t="str">
        <f t="shared" si="418"/>
        <v/>
      </c>
      <c r="RI112" s="21" t="str">
        <f t="shared" si="419"/>
        <v/>
      </c>
      <c r="RJ112" s="21" t="str">
        <f t="shared" si="420"/>
        <v/>
      </c>
      <c r="RK112" s="21" t="str">
        <f t="shared" si="421"/>
        <v/>
      </c>
      <c r="RL112" s="21" t="str">
        <f t="shared" si="422"/>
        <v/>
      </c>
      <c r="RM112" s="21" t="str">
        <f t="shared" si="423"/>
        <v/>
      </c>
      <c r="RN112" s="21" t="str">
        <f t="shared" si="424"/>
        <v/>
      </c>
      <c r="RO112" s="21" t="str">
        <f t="shared" si="425"/>
        <v/>
      </c>
      <c r="RP112" s="21" t="str">
        <f t="shared" si="426"/>
        <v/>
      </c>
      <c r="RQ112" s="21" t="str">
        <f t="shared" si="427"/>
        <v/>
      </c>
      <c r="RR112" s="21" t="str">
        <f t="shared" si="428"/>
        <v/>
      </c>
      <c r="RS112" s="21" t="str">
        <f t="shared" si="429"/>
        <v/>
      </c>
      <c r="RT112" s="21" t="str">
        <f t="shared" si="430"/>
        <v/>
      </c>
      <c r="RU112" s="21" t="str">
        <f t="shared" si="431"/>
        <v/>
      </c>
      <c r="RV112" s="21">
        <f t="shared" si="432"/>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4"/>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26.863013698630137</v>
      </c>
      <c r="O113" s="22">
        <v>44980</v>
      </c>
      <c r="P113" s="214" t="str">
        <f t="shared" si="438"/>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7"/>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9"/>
        <v>SALE SIN PLAN DE PARTO</v>
      </c>
      <c r="DV113" s="226" t="str">
        <f t="shared" si="440"/>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1"/>
        <v>SALE SIN TAMIZAJE HEMOGLOBINA SEM 28</v>
      </c>
      <c r="EU113" s="25" t="str">
        <f t="shared" si="275"/>
        <v/>
      </c>
      <c r="EV113" s="24" t="s">
        <v>866</v>
      </c>
      <c r="EW113" s="24">
        <v>44989</v>
      </c>
      <c r="EX113" s="22"/>
      <c r="EY113" s="29">
        <f t="shared" si="454"/>
        <v>18</v>
      </c>
      <c r="EZ113" s="25" t="str">
        <f t="shared" ca="1" si="455"/>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2"/>
        <v>18</v>
      </c>
      <c r="FP113" s="22"/>
      <c r="FQ113" s="32"/>
      <c r="FR113" s="29" t="str">
        <f t="shared" ca="1" si="443"/>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3"/>
        <v>NO APLICA-INGRESO TARDIO</v>
      </c>
      <c r="GB113" s="22" t="s">
        <v>868</v>
      </c>
      <c r="GC113" s="22">
        <v>44989</v>
      </c>
      <c r="GD113" s="29">
        <f t="shared" ca="1" si="491"/>
        <v>18</v>
      </c>
      <c r="GE113" s="22" t="s">
        <v>868</v>
      </c>
      <c r="GF113" s="22">
        <v>45078</v>
      </c>
      <c r="GG113" s="29">
        <f t="shared" ca="1" si="445"/>
        <v>30.714285714285715</v>
      </c>
      <c r="GH113" s="22"/>
      <c r="GI113" s="29"/>
      <c r="GJ113" s="22"/>
      <c r="GK113" s="22"/>
      <c r="GL113" s="22"/>
      <c r="GM113" s="22"/>
      <c r="GN113" s="28" t="s">
        <v>869</v>
      </c>
      <c r="GO113" s="22">
        <v>44989</v>
      </c>
      <c r="GP113" s="29">
        <f t="shared" si="283"/>
        <v>18</v>
      </c>
      <c r="GQ113" s="28" t="s">
        <v>846</v>
      </c>
      <c r="GR113" s="28" t="s">
        <v>869</v>
      </c>
      <c r="GS113" s="22" t="str">
        <f t="shared" si="458"/>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t="str">
        <f t="shared" ca="1" si="289"/>
        <v>***************************************</v>
      </c>
      <c r="HK113" s="21" t="str">
        <f t="shared" si="290"/>
        <v>SIN ANTECEDENTES DE RIESGO</v>
      </c>
      <c r="HL113" s="24" t="str">
        <f t="shared" si="291"/>
        <v>VIGILAR CIFRAS PRESION ARTERIAL</v>
      </c>
      <c r="HM113" s="21" t="str">
        <f t="shared" ca="1" si="292"/>
        <v/>
      </c>
      <c r="HN113" s="30" t="str">
        <f t="shared" si="446"/>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3"/>
        <v>16.714285714285715</v>
      </c>
      <c r="IA113" s="26"/>
      <c r="IB113" s="26"/>
      <c r="IC113" s="111"/>
      <c r="ID113" s="22"/>
      <c r="IE113" s="22" t="str">
        <f t="shared" ca="1" si="294"/>
        <v>SALE SIN VACUNA</v>
      </c>
      <c r="IF113" s="22"/>
      <c r="IG113" s="22">
        <f t="shared" si="295"/>
        <v>45143</v>
      </c>
      <c r="IH113" s="29">
        <f t="shared" ca="1" si="296"/>
        <v>-89</v>
      </c>
      <c r="II113" s="22" t="str">
        <f t="shared" ca="1" si="297"/>
        <v>POSIBLEMENTE NACIO</v>
      </c>
      <c r="IJ113" s="22"/>
      <c r="IK113" s="21" t="s">
        <v>898</v>
      </c>
      <c r="IL113" s="21"/>
      <c r="IM113" s="34"/>
      <c r="IN113" s="349">
        <v>45134</v>
      </c>
      <c r="IO113" s="21" t="s">
        <v>1186</v>
      </c>
      <c r="IP113" s="29">
        <f t="shared" si="490"/>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2"/>
        <v>PESO ADECUADO EDAD GESTACIONAL</v>
      </c>
      <c r="JF113" s="30"/>
      <c r="JG113" s="21"/>
      <c r="JH113" s="21"/>
      <c r="JI113" s="21" t="s">
        <v>854</v>
      </c>
      <c r="JJ113" s="30" t="s">
        <v>866</v>
      </c>
      <c r="JK113" s="21"/>
      <c r="JL113" s="21"/>
      <c r="JM113" s="21"/>
      <c r="JN113" s="36"/>
      <c r="JO113" s="21" t="str">
        <f t="shared" si="493"/>
        <v/>
      </c>
      <c r="JP113" s="22"/>
      <c r="JQ113" s="21"/>
      <c r="JR113" s="21"/>
      <c r="JS113" s="21"/>
      <c r="JT113" s="30"/>
      <c r="JU113" s="22"/>
      <c r="JV113" s="22"/>
      <c r="JW113" s="33"/>
      <c r="JX113" s="28" t="str">
        <f t="shared" si="494"/>
        <v>INASISTENTE</v>
      </c>
      <c r="JY113" s="33"/>
      <c r="JZ113" s="28" t="str">
        <f t="shared" si="495"/>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9"/>
        <v>0</v>
      </c>
      <c r="MI113" s="43" t="str">
        <f t="shared" si="460"/>
        <v/>
      </c>
      <c r="MJ113" s="43" t="str">
        <f t="shared" si="461"/>
        <v/>
      </c>
      <c r="MK113" s="43">
        <f t="shared" si="462"/>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3"/>
        <v>16.714285714285715</v>
      </c>
      <c r="MN113" s="43">
        <f t="shared" si="464"/>
        <v>2</v>
      </c>
      <c r="MO113" s="43">
        <f t="shared" si="465"/>
        <v>2023</v>
      </c>
      <c r="MP113" s="43" t="str">
        <f t="shared" si="466"/>
        <v>I TRIMESTRE AÑO</v>
      </c>
      <c r="MQ113" s="43">
        <f t="shared" si="467"/>
        <v>25.774748138414367</v>
      </c>
      <c r="MR113" s="43">
        <f t="shared" si="468"/>
        <v>0</v>
      </c>
      <c r="MS113" s="43" t="str">
        <f t="shared" si="469"/>
        <v xml:space="preserve"> DE 25 A 29 AÑOS</v>
      </c>
      <c r="MT113" s="43">
        <f t="shared" si="470"/>
        <v>0</v>
      </c>
      <c r="MU113" s="43">
        <f t="shared" si="471"/>
        <v>0</v>
      </c>
      <c r="MV113" s="43">
        <f t="shared" si="472"/>
        <v>0</v>
      </c>
      <c r="MW113" s="43">
        <f t="shared" si="473"/>
        <v>0</v>
      </c>
      <c r="MX113" s="43" t="str">
        <f t="shared" si="474"/>
        <v/>
      </c>
      <c r="MY113" s="43" t="str">
        <f t="shared" ca="1" si="496"/>
        <v/>
      </c>
      <c r="MZ113" s="43" t="str">
        <f t="shared" si="475"/>
        <v/>
      </c>
      <c r="NA113" s="43" t="str">
        <f t="shared" si="476"/>
        <v/>
      </c>
      <c r="NB113" s="43" t="str">
        <f t="shared" si="477"/>
        <v/>
      </c>
      <c r="NC113" s="43" t="str">
        <f t="shared" si="478"/>
        <v/>
      </c>
      <c r="ND113" s="43">
        <f t="shared" ca="1" si="479"/>
        <v>0</v>
      </c>
      <c r="NE113" s="43">
        <f>IF(OR(O113&gt;0,R113&gt;0),SUM(COUNTIF(Tabla1[[#This Row],[AÑOS AL INICIO5 CPN]],"&gt;=40"),COUNTIF(AS113,"0"),COUNTIF(AR113,"SI"),COUNTIF(CC113,"SI"),COUNTIF(BQ113,"&gt;119"),COUNTIF(CI113,"&gt;=35")),"")</f>
        <v>0</v>
      </c>
      <c r="NF113" s="43" t="str">
        <f t="shared" si="480"/>
        <v/>
      </c>
      <c r="NG113" s="43">
        <f t="shared" si="481"/>
        <v>0</v>
      </c>
      <c r="NH113" s="43">
        <f t="shared" si="482"/>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3"/>
        <v>22</v>
      </c>
      <c r="NM113" s="43" t="str">
        <f t="shared" si="456"/>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4"/>
        <v>II TRIM</v>
      </c>
      <c r="NQ113" s="21" t="str">
        <f t="shared" si="437"/>
        <v/>
      </c>
      <c r="NR113" s="21">
        <f t="shared" si="497"/>
        <v>2</v>
      </c>
      <c r="NS113" s="205">
        <f t="shared" ca="1" si="485"/>
        <v>1</v>
      </c>
      <c r="NT113" s="21">
        <f t="shared" ca="1" si="486"/>
        <v>2</v>
      </c>
      <c r="NU113" s="21" t="str">
        <f t="shared" ca="1" si="487"/>
        <v>INCOMPLETO</v>
      </c>
      <c r="NV113" s="21" t="str">
        <f t="shared" ca="1" si="488"/>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9"/>
        <v>SIN VACUNAR</v>
      </c>
      <c r="NY113" s="43">
        <f>ROW(Tabla1[[#This Row],['# DE TAMIZAJES SIFILIS TOMADOS ]])</f>
        <v>113</v>
      </c>
      <c r="NZ113" s="43">
        <f t="shared" si="334"/>
        <v>16</v>
      </c>
      <c r="OA113" s="43" t="str">
        <f t="shared" si="335"/>
        <v/>
      </c>
      <c r="OB113" s="43" t="str">
        <f t="shared" si="336"/>
        <v/>
      </c>
      <c r="OC113" s="43" t="str">
        <f t="shared" si="337"/>
        <v/>
      </c>
      <c r="OD113" s="43" t="str">
        <f t="shared" si="338"/>
        <v/>
      </c>
      <c r="OE113" s="43" t="str">
        <f t="shared" si="339"/>
        <v/>
      </c>
      <c r="OF113" s="43" t="str">
        <f t="shared" si="340"/>
        <v/>
      </c>
      <c r="OG113" s="43" t="str">
        <f t="shared" si="341"/>
        <v/>
      </c>
      <c r="OH113" s="43" t="str">
        <f t="shared" si="342"/>
        <v>NORMAL</v>
      </c>
      <c r="OI113" s="43" t="str">
        <f t="shared" si="343"/>
        <v/>
      </c>
      <c r="OJ113" s="43" t="str">
        <f t="shared" si="344"/>
        <v/>
      </c>
      <c r="OK113" s="43" t="str">
        <f t="shared" si="345"/>
        <v/>
      </c>
      <c r="OL113" s="43" t="str">
        <f t="shared" si="346"/>
        <v/>
      </c>
      <c r="OM113" s="43" t="str">
        <f t="shared" si="347"/>
        <v/>
      </c>
      <c r="ON113" s="43" t="str">
        <f t="shared" si="348"/>
        <v/>
      </c>
      <c r="OO113" s="43" t="str">
        <f t="shared" si="349"/>
        <v/>
      </c>
      <c r="OP113" s="43" t="str">
        <f t="shared" si="350"/>
        <v/>
      </c>
      <c r="OQ113" s="43" t="str">
        <f t="shared" si="351"/>
        <v/>
      </c>
      <c r="OR113" s="43" t="str">
        <f t="shared" si="352"/>
        <v/>
      </c>
      <c r="OS113" s="43" t="str">
        <f t="shared" si="353"/>
        <v/>
      </c>
      <c r="OT113" s="43" t="str">
        <f t="shared" si="354"/>
        <v/>
      </c>
      <c r="OU113" s="43" t="str">
        <f t="shared" si="355"/>
        <v/>
      </c>
      <c r="OV113" s="110" t="str">
        <f t="shared" si="356"/>
        <v/>
      </c>
      <c r="OW113" s="43" t="str">
        <f t="shared" si="357"/>
        <v/>
      </c>
      <c r="OX113" s="43" t="str">
        <f t="shared" si="358"/>
        <v/>
      </c>
      <c r="OY113" s="43" t="str">
        <f t="shared" si="359"/>
        <v/>
      </c>
      <c r="OZ113" s="43" t="str">
        <f t="shared" si="360"/>
        <v/>
      </c>
      <c r="PA113" s="43" t="str">
        <f t="shared" si="361"/>
        <v/>
      </c>
      <c r="PB113" s="43" t="str">
        <f t="shared" si="362"/>
        <v/>
      </c>
      <c r="PC113" s="43" t="str">
        <f t="shared" si="363"/>
        <v/>
      </c>
      <c r="PD113" s="43" t="str">
        <f t="shared" si="364"/>
        <v/>
      </c>
      <c r="PE113" s="43" t="str">
        <f t="shared" si="365"/>
        <v/>
      </c>
      <c r="PF113" s="43" t="str">
        <f t="shared" si="366"/>
        <v/>
      </c>
      <c r="PG113" s="43" t="str">
        <f t="shared" si="367"/>
        <v/>
      </c>
      <c r="PH113" s="43" t="str">
        <f t="shared" si="368"/>
        <v/>
      </c>
      <c r="PI113" s="43">
        <f t="shared" si="369"/>
        <v>35</v>
      </c>
      <c r="PJ113" s="43" t="str">
        <f t="shared" si="370"/>
        <v/>
      </c>
      <c r="PK113" s="43" t="str">
        <f t="shared" si="371"/>
        <v/>
      </c>
      <c r="PL113" s="43" t="str">
        <f t="shared" si="372"/>
        <v/>
      </c>
      <c r="PM113" s="43" t="str">
        <f t="shared" si="373"/>
        <v/>
      </c>
      <c r="PN113" s="43" t="str">
        <f t="shared" si="374"/>
        <v/>
      </c>
      <c r="PO113" s="43" t="str">
        <f t="shared" si="375"/>
        <v/>
      </c>
      <c r="PP113" s="43" t="str">
        <f t="shared" si="376"/>
        <v/>
      </c>
      <c r="PQ113" s="43" t="str">
        <f t="shared" si="377"/>
        <v/>
      </c>
      <c r="PR113" s="43" t="str">
        <f t="shared" si="378"/>
        <v/>
      </c>
      <c r="PS113" s="43" t="str">
        <f t="shared" si="379"/>
        <v/>
      </c>
      <c r="PT113" s="43" t="str">
        <f t="shared" si="380"/>
        <v/>
      </c>
      <c r="PU113" s="43" t="str">
        <f t="shared" si="381"/>
        <v/>
      </c>
      <c r="PV113" s="43" t="str">
        <f t="shared" si="382"/>
        <v/>
      </c>
      <c r="PW113" s="43" t="str">
        <f t="shared" si="383"/>
        <v/>
      </c>
      <c r="PX113" s="43" t="str">
        <f t="shared" si="384"/>
        <v/>
      </c>
      <c r="PY113" s="43" t="str">
        <f t="shared" si="385"/>
        <v/>
      </c>
      <c r="PZ113" s="43" t="str">
        <f t="shared" si="386"/>
        <v/>
      </c>
      <c r="QA113" s="43" t="str">
        <f t="shared" si="387"/>
        <v/>
      </c>
      <c r="QB113" s="43" t="str">
        <f t="shared" si="388"/>
        <v/>
      </c>
      <c r="QC113" s="43" t="str">
        <f t="shared" si="389"/>
        <v/>
      </c>
      <c r="QD113" s="43" t="str">
        <f t="shared" si="390"/>
        <v/>
      </c>
      <c r="QE113" s="43" t="str">
        <f t="shared" si="391"/>
        <v/>
      </c>
      <c r="QF113" s="43" t="str">
        <f t="shared" si="392"/>
        <v/>
      </c>
      <c r="QG113" s="43" t="str">
        <f t="shared" si="393"/>
        <v/>
      </c>
      <c r="QH113" s="43" t="str">
        <f t="shared" si="394"/>
        <v/>
      </c>
      <c r="QI113" s="43" t="str">
        <f t="shared" si="395"/>
        <v/>
      </c>
      <c r="QJ113" s="43" t="str">
        <f t="shared" si="396"/>
        <v>NORMAL</v>
      </c>
      <c r="QK113" s="43" t="str">
        <f t="shared" si="397"/>
        <v/>
      </c>
      <c r="QL113" s="43" t="str">
        <f t="shared" si="398"/>
        <v/>
      </c>
      <c r="QM113" s="43" t="str">
        <f t="shared" si="399"/>
        <v/>
      </c>
      <c r="QN113" s="43" t="str">
        <f t="shared" si="400"/>
        <v/>
      </c>
      <c r="QO113" s="43" t="str">
        <f t="shared" si="401"/>
        <v/>
      </c>
      <c r="QP113" s="43" t="str">
        <f t="shared" si="402"/>
        <v/>
      </c>
      <c r="QQ113" s="43" t="str">
        <f t="shared" si="403"/>
        <v/>
      </c>
      <c r="QR113" s="43">
        <f t="shared" si="433"/>
        <v>35</v>
      </c>
      <c r="QS113" s="43"/>
      <c r="QT113" s="21" t="str">
        <f t="shared" si="404"/>
        <v/>
      </c>
      <c r="QU113" s="21" t="str">
        <f t="shared" si="405"/>
        <v/>
      </c>
      <c r="QV113" s="21" t="str">
        <f t="shared" si="406"/>
        <v/>
      </c>
      <c r="QW113" s="21" t="str">
        <f t="shared" si="407"/>
        <v/>
      </c>
      <c r="QX113" s="21" t="str">
        <f t="shared" si="408"/>
        <v/>
      </c>
      <c r="QY113" s="21" t="str">
        <f t="shared" si="409"/>
        <v/>
      </c>
      <c r="QZ113" s="21" t="str">
        <f t="shared" si="410"/>
        <v/>
      </c>
      <c r="RA113" s="21" t="str">
        <f t="shared" si="411"/>
        <v/>
      </c>
      <c r="RB113" s="21" t="str">
        <f t="shared" si="412"/>
        <v/>
      </c>
      <c r="RC113" s="21" t="str">
        <f t="shared" si="413"/>
        <v/>
      </c>
      <c r="RD113" s="21" t="str">
        <f t="shared" si="414"/>
        <v/>
      </c>
      <c r="RE113" s="21" t="str">
        <f t="shared" si="415"/>
        <v/>
      </c>
      <c r="RF113" s="21" t="str">
        <f t="shared" si="416"/>
        <v/>
      </c>
      <c r="RG113" s="21" t="str">
        <f t="shared" si="417"/>
        <v/>
      </c>
      <c r="RH113" s="21" t="str">
        <f t="shared" si="418"/>
        <v/>
      </c>
      <c r="RI113" s="21" t="str">
        <f t="shared" si="419"/>
        <v/>
      </c>
      <c r="RJ113" s="21" t="str">
        <f t="shared" si="420"/>
        <v/>
      </c>
      <c r="RK113" s="21" t="str">
        <f t="shared" si="421"/>
        <v/>
      </c>
      <c r="RL113" s="21" t="str">
        <f t="shared" si="422"/>
        <v/>
      </c>
      <c r="RM113" s="21" t="str">
        <f t="shared" si="423"/>
        <v/>
      </c>
      <c r="RN113" s="21" t="str">
        <f t="shared" si="424"/>
        <v/>
      </c>
      <c r="RO113" s="21" t="str">
        <f t="shared" si="425"/>
        <v/>
      </c>
      <c r="RP113" s="21" t="str">
        <f t="shared" si="426"/>
        <v>ADECUADO PARA EDAD GESTACIONAL</v>
      </c>
      <c r="RQ113" s="21" t="str">
        <f t="shared" si="427"/>
        <v/>
      </c>
      <c r="RR113" s="21" t="str">
        <f t="shared" si="428"/>
        <v/>
      </c>
      <c r="RS113" s="21" t="str">
        <f t="shared" si="429"/>
        <v/>
      </c>
      <c r="RT113" s="21" t="str">
        <f t="shared" si="430"/>
        <v/>
      </c>
      <c r="RU113" s="21" t="str">
        <f t="shared" si="431"/>
        <v/>
      </c>
      <c r="RV113" s="21">
        <f t="shared" si="432"/>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4"/>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16.841095890410958</v>
      </c>
      <c r="O114" s="22">
        <v>44981</v>
      </c>
      <c r="P114" s="214" t="str">
        <f t="shared" si="438"/>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41.571428571428569</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7"/>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9"/>
        <v>CONCERTAR PLAN DE PARTO INMEDIATO</v>
      </c>
      <c r="DV114" s="226" t="str">
        <f t="shared" si="440"/>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1"/>
        <v>TOMA DE HEMOGLOBINA TARDÍA</v>
      </c>
      <c r="EU114" s="25" t="str">
        <f t="shared" si="275"/>
        <v/>
      </c>
      <c r="EV114" s="24" t="s">
        <v>1510</v>
      </c>
      <c r="EW114" s="24">
        <v>44981</v>
      </c>
      <c r="EX114" s="22"/>
      <c r="EY114" s="29">
        <f t="shared" si="454"/>
        <v>5.7142857142857144</v>
      </c>
      <c r="EZ114" s="25" t="str">
        <f t="shared" si="455"/>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2"/>
        <v>PIERDE TOMA DE TAMIZAJE</v>
      </c>
      <c r="FP114" s="22"/>
      <c r="FQ114" s="32"/>
      <c r="FR114" s="29" t="str">
        <f t="shared" ca="1" si="443"/>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3"/>
        <v>5.7142857142857144</v>
      </c>
      <c r="GB114" s="22"/>
      <c r="GC114" s="22"/>
      <c r="GD114" s="29" t="str">
        <f t="shared" ca="1" si="491"/>
        <v>PIERDE TOMA DE TAMIZAJE</v>
      </c>
      <c r="GE114" s="22"/>
      <c r="GF114" s="22"/>
      <c r="GG114" s="29" t="str">
        <f t="shared" ca="1" si="445"/>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8"/>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t="str">
        <f t="shared" ca="1" si="289"/>
        <v>**********************MULTIPARIDAD**RIESGO POR EDAD***EMBARAZO PROLONGADO************</v>
      </c>
      <c r="HK114" s="21" t="str">
        <f t="shared" si="290"/>
        <v>SIN ANTECEDENTES DE RIESGO</v>
      </c>
      <c r="HL114" s="24" t="str">
        <f t="shared" si="291"/>
        <v>APARENTEMENTE NORMAL</v>
      </c>
      <c r="HM114" s="21" t="e">
        <f t="shared" ca="1" si="292"/>
        <v>#REF!</v>
      </c>
      <c r="HN114" s="30" t="str">
        <f t="shared" si="446"/>
        <v>ACTIVA INGRESO A CPN</v>
      </c>
      <c r="HO114" s="21"/>
      <c r="HP114" s="21"/>
      <c r="HQ114" s="349">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3"/>
        <v>5.7142857142857144</v>
      </c>
      <c r="IA114" s="26"/>
      <c r="IB114" s="26"/>
      <c r="IC114" s="111"/>
      <c r="ID114" s="22"/>
      <c r="IE114" s="22" t="str">
        <f t="shared" ca="1" si="294"/>
        <v>INASISTENTE</v>
      </c>
      <c r="IF114" s="22"/>
      <c r="IG114" s="22">
        <f t="shared" si="295"/>
        <v>45221</v>
      </c>
      <c r="IH114" s="29">
        <f t="shared" ca="1" si="296"/>
        <v>-11</v>
      </c>
      <c r="II114" s="22" t="str">
        <f t="shared" ca="1" si="297"/>
        <v>POSIBLEMENTE NACIO</v>
      </c>
      <c r="IJ114" s="22"/>
      <c r="IK114" s="21"/>
      <c r="IL114" s="21"/>
      <c r="IM114" s="34"/>
      <c r="IN114" s="22"/>
      <c r="IO114" s="21"/>
      <c r="IP114" s="29" t="str">
        <f t="shared" si="490"/>
        <v/>
      </c>
      <c r="IQ114" s="110"/>
      <c r="IR114" s="21"/>
      <c r="IS114" s="21"/>
      <c r="IT114" s="21"/>
      <c r="IU114" s="21"/>
      <c r="IV114" s="21"/>
      <c r="IW114" s="21"/>
      <c r="IX114" s="21"/>
      <c r="IY114" s="21"/>
      <c r="IZ114" s="21"/>
      <c r="JA114" s="21"/>
      <c r="JB114" s="30"/>
      <c r="JC114" s="21"/>
      <c r="JD114" s="36"/>
      <c r="JE114" s="21" t="str">
        <f t="shared" si="492"/>
        <v/>
      </c>
      <c r="JF114" s="30"/>
      <c r="JG114" s="21"/>
      <c r="JH114" s="21"/>
      <c r="JI114" s="21"/>
      <c r="JJ114" s="30"/>
      <c r="JK114" s="22"/>
      <c r="JL114" s="22"/>
      <c r="JM114" s="21"/>
      <c r="JN114" s="36"/>
      <c r="JO114" s="21" t="str">
        <f t="shared" si="493"/>
        <v/>
      </c>
      <c r="JP114" s="22"/>
      <c r="JQ114" s="21"/>
      <c r="JR114" s="21"/>
      <c r="JS114" s="21"/>
      <c r="JT114" s="30"/>
      <c r="JU114" s="22"/>
      <c r="JV114" s="22"/>
      <c r="JW114" s="33"/>
      <c r="JX114" s="28" t="str">
        <f t="shared" si="494"/>
        <v/>
      </c>
      <c r="JY114" s="33"/>
      <c r="JZ114" s="28" t="str">
        <f t="shared" si="495"/>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9"/>
        <v>0</v>
      </c>
      <c r="MI114" s="43" t="str">
        <f t="shared" si="460"/>
        <v/>
      </c>
      <c r="MJ114" s="43" t="str">
        <f t="shared" si="461"/>
        <v/>
      </c>
      <c r="MK114" s="43">
        <f t="shared" si="462"/>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3"/>
        <v>5.7142857142857144</v>
      </c>
      <c r="MN114" s="43">
        <f t="shared" si="464"/>
        <v>2</v>
      </c>
      <c r="MO114" s="43">
        <f t="shared" si="465"/>
        <v>2023</v>
      </c>
      <c r="MP114" s="43" t="str">
        <f t="shared" si="466"/>
        <v>I TRIMESTRE AÑO</v>
      </c>
      <c r="MQ114" s="43">
        <f t="shared" si="467"/>
        <v>15.908344283837055</v>
      </c>
      <c r="MR114" s="43">
        <f t="shared" si="468"/>
        <v>1</v>
      </c>
      <c r="MS114" s="43" t="str">
        <f t="shared" si="469"/>
        <v>DE 14 A 19AÑOS</v>
      </c>
      <c r="MT114" s="43">
        <f t="shared" si="470"/>
        <v>0</v>
      </c>
      <c r="MU114" s="43">
        <f t="shared" si="471"/>
        <v>1</v>
      </c>
      <c r="MV114" s="43">
        <f t="shared" si="472"/>
        <v>0</v>
      </c>
      <c r="MW114" s="43">
        <f t="shared" si="473"/>
        <v>0</v>
      </c>
      <c r="MX114" s="43" t="str">
        <f t="shared" si="474"/>
        <v/>
      </c>
      <c r="MY114" s="43">
        <f t="shared" ca="1" si="496"/>
        <v>1</v>
      </c>
      <c r="MZ114" s="43" t="str">
        <f t="shared" si="475"/>
        <v/>
      </c>
      <c r="NA114" s="43" t="str">
        <f t="shared" si="476"/>
        <v/>
      </c>
      <c r="NB114" s="43" t="str">
        <f t="shared" si="477"/>
        <v/>
      </c>
      <c r="NC114" s="43" t="str">
        <f t="shared" si="478"/>
        <v/>
      </c>
      <c r="ND114" s="43">
        <f t="shared" ca="1" si="479"/>
        <v>3</v>
      </c>
      <c r="NE114" s="43">
        <f>IF(OR(O114&gt;0,R114&gt;0),SUM(COUNTIF(Tabla1[[#This Row],[AÑOS AL INICIO5 CPN]],"&gt;=40"),COUNTIF(AS114,"0"),COUNTIF(AR114,"SI"),COUNTIF(CC114,"SI"),COUNTIF(BQ114,"&gt;119"),COUNTIF(CI114,"&gt;=35")),"")</f>
        <v>1</v>
      </c>
      <c r="NF114" s="43" t="str">
        <f t="shared" si="480"/>
        <v/>
      </c>
      <c r="NG114" s="43">
        <f t="shared" si="481"/>
        <v>0</v>
      </c>
      <c r="NH114" s="43">
        <f t="shared" si="482"/>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3"/>
        <v>X</v>
      </c>
      <c r="NM114" s="43" t="str">
        <f t="shared" si="456"/>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4"/>
        <v>I TRIM</v>
      </c>
      <c r="NQ114" s="21" t="str">
        <f t="shared" si="437"/>
        <v/>
      </c>
      <c r="NR114" s="21">
        <f t="shared" ca="1" si="497"/>
        <v>3</v>
      </c>
      <c r="NS114" s="205">
        <f t="shared" ca="1" si="485"/>
        <v>1</v>
      </c>
      <c r="NT114" s="21">
        <f t="shared" ca="1" si="486"/>
        <v>1</v>
      </c>
      <c r="NU114" s="21" t="str">
        <f t="shared" ca="1" si="487"/>
        <v>INCOMPLETO</v>
      </c>
      <c r="NV114" s="21" t="str">
        <f t="shared" ca="1" si="488"/>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9"/>
        <v>SIN VACUNAR</v>
      </c>
      <c r="NY114" s="43">
        <f>ROW(Tabla1[[#This Row],['# DE TAMIZAJES SIFILIS TOMADOS ]])</f>
        <v>114</v>
      </c>
      <c r="NZ114" s="43" t="str">
        <f t="shared" si="334"/>
        <v>Menor</v>
      </c>
      <c r="OA114" s="43" t="str">
        <f t="shared" si="335"/>
        <v>NORMAL</v>
      </c>
      <c r="OB114" s="43" t="str">
        <f t="shared" si="336"/>
        <v/>
      </c>
      <c r="OC114" s="43" t="str">
        <f t="shared" si="337"/>
        <v/>
      </c>
      <c r="OD114" s="43" t="str">
        <f t="shared" si="338"/>
        <v/>
      </c>
      <c r="OE114" s="43" t="str">
        <f t="shared" si="339"/>
        <v/>
      </c>
      <c r="OF114" s="43" t="str">
        <f t="shared" si="340"/>
        <v/>
      </c>
      <c r="OG114" s="43" t="str">
        <f t="shared" si="341"/>
        <v/>
      </c>
      <c r="OH114" s="43" t="str">
        <f t="shared" si="342"/>
        <v/>
      </c>
      <c r="OI114" s="43" t="str">
        <f t="shared" si="343"/>
        <v/>
      </c>
      <c r="OJ114" s="43" t="str">
        <f t="shared" si="344"/>
        <v/>
      </c>
      <c r="OK114" s="43" t="str">
        <f t="shared" si="345"/>
        <v/>
      </c>
      <c r="OL114" s="43" t="str">
        <f t="shared" si="346"/>
        <v/>
      </c>
      <c r="OM114" s="43" t="str">
        <f t="shared" si="347"/>
        <v/>
      </c>
      <c r="ON114" s="43" t="str">
        <f t="shared" si="348"/>
        <v/>
      </c>
      <c r="OO114" s="43" t="str">
        <f t="shared" si="349"/>
        <v/>
      </c>
      <c r="OP114" s="43" t="str">
        <f t="shared" si="350"/>
        <v/>
      </c>
      <c r="OQ114" s="43" t="str">
        <f t="shared" si="351"/>
        <v/>
      </c>
      <c r="OR114" s="43" t="str">
        <f t="shared" si="352"/>
        <v/>
      </c>
      <c r="OS114" s="43" t="str">
        <f t="shared" si="353"/>
        <v/>
      </c>
      <c r="OT114" s="43" t="str">
        <f t="shared" si="354"/>
        <v/>
      </c>
      <c r="OU114" s="43" t="str">
        <f t="shared" si="355"/>
        <v/>
      </c>
      <c r="OV114" s="110" t="str">
        <f t="shared" si="356"/>
        <v/>
      </c>
      <c r="OW114" s="43" t="str">
        <f t="shared" si="357"/>
        <v/>
      </c>
      <c r="OX114" s="43" t="str">
        <f t="shared" si="358"/>
        <v/>
      </c>
      <c r="OY114" s="43" t="str">
        <f t="shared" si="359"/>
        <v/>
      </c>
      <c r="OZ114" s="43" t="str">
        <f t="shared" si="360"/>
        <v/>
      </c>
      <c r="PA114" s="43" t="str">
        <f t="shared" si="361"/>
        <v/>
      </c>
      <c r="PB114" s="43" t="str">
        <f t="shared" si="362"/>
        <v/>
      </c>
      <c r="PC114" s="43" t="str">
        <f t="shared" si="363"/>
        <v/>
      </c>
      <c r="PD114" s="43" t="str">
        <f t="shared" si="364"/>
        <v/>
      </c>
      <c r="PE114" s="43" t="str">
        <f t="shared" si="365"/>
        <v/>
      </c>
      <c r="PF114" s="43" t="str">
        <f t="shared" si="366"/>
        <v/>
      </c>
      <c r="PG114" s="43" t="str">
        <f t="shared" si="367"/>
        <v/>
      </c>
      <c r="PH114" s="43" t="str">
        <f t="shared" si="368"/>
        <v/>
      </c>
      <c r="PI114" s="43">
        <f t="shared" si="369"/>
        <v>31</v>
      </c>
      <c r="PJ114" s="43" t="str">
        <f t="shared" si="370"/>
        <v/>
      </c>
      <c r="PK114" s="43" t="str">
        <f t="shared" si="371"/>
        <v/>
      </c>
      <c r="PL114" s="43" t="str">
        <f t="shared" si="372"/>
        <v/>
      </c>
      <c r="PM114" s="43" t="str">
        <f t="shared" si="373"/>
        <v/>
      </c>
      <c r="PN114" s="43" t="str">
        <f t="shared" si="374"/>
        <v/>
      </c>
      <c r="PO114" s="43" t="str">
        <f t="shared" si="375"/>
        <v/>
      </c>
      <c r="PP114" s="43" t="str">
        <f t="shared" si="376"/>
        <v/>
      </c>
      <c r="PQ114" s="43" t="str">
        <f t="shared" si="377"/>
        <v/>
      </c>
      <c r="PR114" s="43" t="str">
        <f t="shared" si="378"/>
        <v/>
      </c>
      <c r="PS114" s="43" t="str">
        <f t="shared" si="379"/>
        <v/>
      </c>
      <c r="PT114" s="43" t="str">
        <f t="shared" si="380"/>
        <v/>
      </c>
      <c r="PU114" s="43" t="str">
        <f t="shared" si="381"/>
        <v/>
      </c>
      <c r="PV114" s="43" t="str">
        <f t="shared" si="382"/>
        <v/>
      </c>
      <c r="PW114" s="43" t="str">
        <f t="shared" si="383"/>
        <v/>
      </c>
      <c r="PX114" s="43" t="str">
        <f t="shared" si="384"/>
        <v/>
      </c>
      <c r="PY114" s="43" t="str">
        <f t="shared" si="385"/>
        <v/>
      </c>
      <c r="PZ114" s="43" t="str">
        <f t="shared" si="386"/>
        <v/>
      </c>
      <c r="QA114" s="43" t="str">
        <f t="shared" si="387"/>
        <v/>
      </c>
      <c r="QB114" s="43" t="str">
        <f t="shared" si="388"/>
        <v/>
      </c>
      <c r="QC114" s="43" t="str">
        <f t="shared" si="389"/>
        <v/>
      </c>
      <c r="QD114" s="43" t="str">
        <f t="shared" si="390"/>
        <v/>
      </c>
      <c r="QE114" s="43" t="str">
        <f t="shared" si="391"/>
        <v/>
      </c>
      <c r="QF114" s="43" t="str">
        <f t="shared" si="392"/>
        <v>NORMAL</v>
      </c>
      <c r="QG114" s="43" t="str">
        <f t="shared" si="393"/>
        <v/>
      </c>
      <c r="QH114" s="43" t="str">
        <f t="shared" si="394"/>
        <v/>
      </c>
      <c r="QI114" s="43" t="str">
        <f t="shared" si="395"/>
        <v/>
      </c>
      <c r="QJ114" s="43" t="str">
        <f t="shared" si="396"/>
        <v/>
      </c>
      <c r="QK114" s="43" t="str">
        <f t="shared" si="397"/>
        <v/>
      </c>
      <c r="QL114" s="43" t="str">
        <f t="shared" si="398"/>
        <v/>
      </c>
      <c r="QM114" s="43" t="str">
        <f t="shared" si="399"/>
        <v/>
      </c>
      <c r="QN114" s="43" t="str">
        <f t="shared" si="400"/>
        <v/>
      </c>
      <c r="QO114" s="43" t="str">
        <f t="shared" si="401"/>
        <v/>
      </c>
      <c r="QP114" s="43" t="str">
        <f t="shared" si="402"/>
        <v/>
      </c>
      <c r="QQ114" s="43" t="str">
        <f t="shared" si="403"/>
        <v/>
      </c>
      <c r="QR114" s="43">
        <f t="shared" si="433"/>
        <v>31</v>
      </c>
      <c r="QS114" s="43"/>
      <c r="QT114" s="21" t="str">
        <f t="shared" si="404"/>
        <v/>
      </c>
      <c r="QU114" s="21" t="str">
        <f t="shared" si="405"/>
        <v/>
      </c>
      <c r="QV114" s="21" t="str">
        <f t="shared" si="406"/>
        <v/>
      </c>
      <c r="QW114" s="21" t="str">
        <f t="shared" si="407"/>
        <v/>
      </c>
      <c r="QX114" s="21" t="str">
        <f t="shared" si="408"/>
        <v/>
      </c>
      <c r="QY114" s="21" t="str">
        <f t="shared" si="409"/>
        <v/>
      </c>
      <c r="QZ114" s="21" t="str">
        <f t="shared" si="410"/>
        <v/>
      </c>
      <c r="RA114" s="21" t="str">
        <f t="shared" si="411"/>
        <v/>
      </c>
      <c r="RB114" s="21" t="str">
        <f t="shared" si="412"/>
        <v/>
      </c>
      <c r="RC114" s="21" t="str">
        <f t="shared" si="413"/>
        <v/>
      </c>
      <c r="RD114" s="21" t="str">
        <f t="shared" si="414"/>
        <v/>
      </c>
      <c r="RE114" s="21" t="str">
        <f t="shared" si="415"/>
        <v/>
      </c>
      <c r="RF114" s="21" t="str">
        <f t="shared" si="416"/>
        <v/>
      </c>
      <c r="RG114" s="21" t="str">
        <f t="shared" si="417"/>
        <v/>
      </c>
      <c r="RH114" s="21" t="str">
        <f t="shared" si="418"/>
        <v/>
      </c>
      <c r="RI114" s="21" t="str">
        <f t="shared" si="419"/>
        <v/>
      </c>
      <c r="RJ114" s="21" t="str">
        <f t="shared" si="420"/>
        <v/>
      </c>
      <c r="RK114" s="21" t="str">
        <f t="shared" si="421"/>
        <v/>
      </c>
      <c r="RL114" s="21" t="str">
        <f t="shared" si="422"/>
        <v>ADECUADO PARA EDAD GESTACIONAL</v>
      </c>
      <c r="RM114" s="21" t="str">
        <f t="shared" si="423"/>
        <v/>
      </c>
      <c r="RN114" s="21" t="str">
        <f t="shared" si="424"/>
        <v/>
      </c>
      <c r="RO114" s="21" t="str">
        <f t="shared" si="425"/>
        <v/>
      </c>
      <c r="RP114" s="21" t="str">
        <f t="shared" si="426"/>
        <v/>
      </c>
      <c r="RQ114" s="21" t="str">
        <f t="shared" si="427"/>
        <v/>
      </c>
      <c r="RR114" s="21" t="str">
        <f t="shared" si="428"/>
        <v/>
      </c>
      <c r="RS114" s="21" t="str">
        <f t="shared" si="429"/>
        <v/>
      </c>
      <c r="RT114" s="21" t="str">
        <f t="shared" si="430"/>
        <v/>
      </c>
      <c r="RU114" s="21" t="str">
        <f t="shared" si="431"/>
        <v/>
      </c>
      <c r="RV114" s="21">
        <f t="shared" si="432"/>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4"/>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24.32054794520548</v>
      </c>
      <c r="O115" s="22">
        <v>44982</v>
      </c>
      <c r="P115" s="214" t="str">
        <f t="shared" si="438"/>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7"/>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9"/>
        <v>CONCERTAR PLAN DE PARTO INMEDIATO</v>
      </c>
      <c r="DV115" s="226" t="str">
        <f t="shared" si="440"/>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1"/>
        <v>17.285714285714285</v>
      </c>
      <c r="EU115" s="25" t="str">
        <f t="shared" si="275"/>
        <v>MANEJO MD POR ANEMIA FERROPENICA</v>
      </c>
      <c r="EV115" s="24" t="s">
        <v>1510</v>
      </c>
      <c r="EW115" s="22">
        <v>45013</v>
      </c>
      <c r="EX115" s="22"/>
      <c r="EY115" s="29">
        <f t="shared" si="454"/>
        <v>17.285714285714285</v>
      </c>
      <c r="EZ115" s="25" t="str">
        <f t="shared" si="455"/>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2"/>
        <v>17.285714285714285</v>
      </c>
      <c r="FP115" s="22"/>
      <c r="FQ115" s="32"/>
      <c r="FR115" s="29" t="str">
        <f t="shared" ca="1" si="443"/>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3"/>
        <v/>
      </c>
      <c r="GB115" s="22" t="s">
        <v>868</v>
      </c>
      <c r="GC115" s="22">
        <v>45013</v>
      </c>
      <c r="GD115" s="29">
        <f t="shared" ca="1" si="491"/>
        <v>17.285714285714285</v>
      </c>
      <c r="GE115" s="22"/>
      <c r="GF115" s="22"/>
      <c r="GG115" s="29" t="str">
        <f t="shared" ca="1" si="445"/>
        <v>TOMA INMEDIATA DE TAMIZAJE</v>
      </c>
      <c r="GH115" s="22"/>
      <c r="GI115" s="29"/>
      <c r="GJ115" s="22"/>
      <c r="GK115" s="22"/>
      <c r="GL115" s="22"/>
      <c r="GM115" s="22"/>
      <c r="GN115" s="28" t="s">
        <v>869</v>
      </c>
      <c r="GO115" s="22">
        <v>45013</v>
      </c>
      <c r="GP115" s="29">
        <f t="shared" si="283"/>
        <v>17.285714285714285</v>
      </c>
      <c r="GQ115" s="28"/>
      <c r="GR115" s="28" t="s">
        <v>869</v>
      </c>
      <c r="GS115" s="22" t="str">
        <f t="shared" si="458"/>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t="str">
        <f t="shared" ca="1" si="289"/>
        <v>********************SEGUIMIENTO PARA ANEMIA*******************</v>
      </c>
      <c r="HK115" s="21" t="str">
        <f t="shared" si="290"/>
        <v>SIN ANTECEDENTES DE RIESGO</v>
      </c>
      <c r="HL115" s="24" t="str">
        <f t="shared" si="291"/>
        <v>APARENTEMENTE NORMAL</v>
      </c>
      <c r="HM115" s="21" t="e">
        <f t="shared" ca="1" si="292"/>
        <v>#REF!</v>
      </c>
      <c r="HN115" s="30" t="str">
        <f t="shared" si="446"/>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3"/>
        <v>12.857142857142858</v>
      </c>
      <c r="IA115" s="26"/>
      <c r="IB115" s="26"/>
      <c r="IC115" s="111"/>
      <c r="ID115" s="22"/>
      <c r="IE115" s="22" t="str">
        <f t="shared" ca="1" si="294"/>
        <v/>
      </c>
      <c r="IF115" s="22"/>
      <c r="IG115" s="22">
        <f t="shared" si="295"/>
        <v>45172</v>
      </c>
      <c r="IH115" s="29">
        <f t="shared" ca="1" si="296"/>
        <v>-60</v>
      </c>
      <c r="II115" s="22" t="str">
        <f t="shared" ca="1" si="297"/>
        <v>POSIBLEMENTE NACIO</v>
      </c>
      <c r="IJ115" s="22"/>
      <c r="IK115" s="21"/>
      <c r="IL115" s="21"/>
      <c r="IM115" s="34"/>
      <c r="IN115" s="349"/>
      <c r="IO115" s="21"/>
      <c r="IP115" s="29" t="str">
        <f t="shared" si="490"/>
        <v/>
      </c>
      <c r="IQ115" s="288"/>
      <c r="IR115" s="21"/>
      <c r="IS115" s="21"/>
      <c r="IT115" s="21"/>
      <c r="IU115" s="21"/>
      <c r="IV115" s="21"/>
      <c r="IW115" s="21"/>
      <c r="IX115" s="21"/>
      <c r="IY115" s="21"/>
      <c r="IZ115" s="21"/>
      <c r="JA115" s="21"/>
      <c r="JB115" s="30"/>
      <c r="JC115" s="21"/>
      <c r="JD115" s="36"/>
      <c r="JE115" s="21" t="str">
        <f t="shared" si="492"/>
        <v/>
      </c>
      <c r="JF115" s="30"/>
      <c r="JG115" s="21"/>
      <c r="JH115" s="21"/>
      <c r="JI115" s="21"/>
      <c r="JJ115" s="30"/>
      <c r="JK115" s="22"/>
      <c r="JL115" s="22"/>
      <c r="JM115" s="21"/>
      <c r="JN115" s="36"/>
      <c r="JO115" s="21" t="str">
        <f t="shared" si="493"/>
        <v/>
      </c>
      <c r="JP115" s="22"/>
      <c r="JQ115" s="21"/>
      <c r="JR115" s="21"/>
      <c r="JS115" s="21"/>
      <c r="JT115" s="30"/>
      <c r="JU115" s="22"/>
      <c r="JV115" s="22"/>
      <c r="JW115" s="33"/>
      <c r="JX115" s="28" t="str">
        <f t="shared" si="494"/>
        <v/>
      </c>
      <c r="JY115" s="33"/>
      <c r="JZ115" s="28" t="str">
        <f t="shared" si="495"/>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9"/>
        <v>0</v>
      </c>
      <c r="MI115" s="43" t="str">
        <f t="shared" si="460"/>
        <v/>
      </c>
      <c r="MJ115" s="43" t="str">
        <f t="shared" si="461"/>
        <v/>
      </c>
      <c r="MK115" s="43">
        <f t="shared" si="462"/>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3"/>
        <v>12.857142857142858</v>
      </c>
      <c r="MN115" s="43">
        <f t="shared" si="464"/>
        <v>2</v>
      </c>
      <c r="MO115" s="43">
        <f t="shared" si="465"/>
        <v>2023</v>
      </c>
      <c r="MP115" s="43" t="str">
        <f t="shared" si="466"/>
        <v>I TRIMESTRE AÑO</v>
      </c>
      <c r="MQ115" s="43">
        <f t="shared" si="467"/>
        <v>23.272558037669729</v>
      </c>
      <c r="MR115" s="43">
        <f t="shared" si="468"/>
        <v>0</v>
      </c>
      <c r="MS115" s="43" t="str">
        <f t="shared" si="469"/>
        <v xml:space="preserve"> DE 20 A 24 AÑOS</v>
      </c>
      <c r="MT115" s="43">
        <f t="shared" si="470"/>
        <v>0</v>
      </c>
      <c r="MU115" s="43">
        <f t="shared" si="471"/>
        <v>0</v>
      </c>
      <c r="MV115" s="43">
        <f t="shared" si="472"/>
        <v>0</v>
      </c>
      <c r="MW115" s="43">
        <f t="shared" si="473"/>
        <v>0</v>
      </c>
      <c r="MX115" s="43">
        <f t="shared" si="474"/>
        <v>1</v>
      </c>
      <c r="MY115" s="43" t="str">
        <f t="shared" ca="1" si="496"/>
        <v/>
      </c>
      <c r="MZ115" s="43" t="str">
        <f t="shared" si="475"/>
        <v/>
      </c>
      <c r="NA115" s="43">
        <f t="shared" si="476"/>
        <v>0</v>
      </c>
      <c r="NB115" s="43" t="str">
        <f t="shared" si="477"/>
        <v/>
      </c>
      <c r="NC115" s="43" t="str">
        <f t="shared" si="478"/>
        <v/>
      </c>
      <c r="ND115" s="43">
        <f t="shared" ca="1" si="479"/>
        <v>1</v>
      </c>
      <c r="NE115" s="43">
        <f>IF(OR(O115&gt;0,R115&gt;0),SUM(COUNTIF(Tabla1[[#This Row],[AÑOS AL INICIO5 CPN]],"&gt;=40"),COUNTIF(AS115,"0"),COUNTIF(AR115,"SI"),COUNTIF(CC115,"SI"),COUNTIF(BQ115,"&gt;119"),COUNTIF(CI115,"&gt;=35")),"")</f>
        <v>0</v>
      </c>
      <c r="NF115" s="43" t="str">
        <f t="shared" si="480"/>
        <v/>
      </c>
      <c r="NG115" s="43">
        <f t="shared" si="481"/>
        <v>0</v>
      </c>
      <c r="NH115" s="43">
        <f t="shared" si="482"/>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3"/>
        <v>X</v>
      </c>
      <c r="NM115" s="43" t="str">
        <f t="shared" si="456"/>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4"/>
        <v>II TRIM</v>
      </c>
      <c r="NQ115" s="21" t="str">
        <f t="shared" si="437"/>
        <v/>
      </c>
      <c r="NR115" s="21" t="str">
        <f t="shared" ca="1" si="497"/>
        <v>REVISAR FUM O FECHA SALIDA PROGRAMA</v>
      </c>
      <c r="NS115" s="205">
        <f t="shared" ca="1" si="485"/>
        <v>1</v>
      </c>
      <c r="NT115" s="21">
        <f t="shared" ca="1" si="486"/>
        <v>1</v>
      </c>
      <c r="NU115" s="21" t="str">
        <f t="shared" ca="1" si="487"/>
        <v>POR DEFINIR</v>
      </c>
      <c r="NV115" s="21" t="str">
        <f t="shared" ca="1" si="488"/>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9"/>
        <v>SIN VACUNAR</v>
      </c>
      <c r="NY115" s="43">
        <f>ROW(Tabla1[[#This Row],['# DE TAMIZAJES SIFILIS TOMADOS ]])</f>
        <v>115</v>
      </c>
      <c r="NZ115" s="43">
        <f t="shared" si="334"/>
        <v>12</v>
      </c>
      <c r="OA115" s="43" t="str">
        <f t="shared" si="335"/>
        <v/>
      </c>
      <c r="OB115" s="43" t="str">
        <f t="shared" si="336"/>
        <v/>
      </c>
      <c r="OC115" s="43" t="str">
        <f t="shared" si="337"/>
        <v/>
      </c>
      <c r="OD115" s="43" t="str">
        <f t="shared" si="338"/>
        <v>BAJO PESO</v>
      </c>
      <c r="OE115" s="43" t="str">
        <f t="shared" si="339"/>
        <v/>
      </c>
      <c r="OF115" s="43" t="str">
        <f t="shared" si="340"/>
        <v/>
      </c>
      <c r="OG115" s="43" t="str">
        <f t="shared" si="341"/>
        <v/>
      </c>
      <c r="OH115" s="43" t="str">
        <f t="shared" si="342"/>
        <v/>
      </c>
      <c r="OI115" s="43" t="str">
        <f t="shared" si="343"/>
        <v/>
      </c>
      <c r="OJ115" s="43" t="str">
        <f t="shared" si="344"/>
        <v/>
      </c>
      <c r="OK115" s="43" t="str">
        <f t="shared" si="345"/>
        <v/>
      </c>
      <c r="OL115" s="43" t="str">
        <f t="shared" si="346"/>
        <v/>
      </c>
      <c r="OM115" s="43" t="str">
        <f t="shared" si="347"/>
        <v/>
      </c>
      <c r="ON115" s="43" t="str">
        <f t="shared" si="348"/>
        <v/>
      </c>
      <c r="OO115" s="43" t="str">
        <f t="shared" si="349"/>
        <v/>
      </c>
      <c r="OP115" s="43" t="str">
        <f t="shared" si="350"/>
        <v/>
      </c>
      <c r="OQ115" s="43" t="str">
        <f t="shared" si="351"/>
        <v/>
      </c>
      <c r="OR115" s="43" t="str">
        <f t="shared" si="352"/>
        <v/>
      </c>
      <c r="OS115" s="43" t="str">
        <f t="shared" si="353"/>
        <v/>
      </c>
      <c r="OT115" s="43" t="str">
        <f t="shared" si="354"/>
        <v/>
      </c>
      <c r="OU115" s="43" t="str">
        <f t="shared" si="355"/>
        <v/>
      </c>
      <c r="OV115" s="110" t="str">
        <f t="shared" si="356"/>
        <v/>
      </c>
      <c r="OW115" s="43" t="str">
        <f t="shared" si="357"/>
        <v/>
      </c>
      <c r="OX115" s="43" t="str">
        <f t="shared" si="358"/>
        <v/>
      </c>
      <c r="OY115" s="43" t="str">
        <f t="shared" si="359"/>
        <v/>
      </c>
      <c r="OZ115" s="43" t="str">
        <f t="shared" si="360"/>
        <v/>
      </c>
      <c r="PA115" s="43" t="str">
        <f t="shared" si="361"/>
        <v/>
      </c>
      <c r="PB115" s="43" t="str">
        <f t="shared" si="362"/>
        <v/>
      </c>
      <c r="PC115" s="43" t="str">
        <f t="shared" si="363"/>
        <v/>
      </c>
      <c r="PD115" s="43" t="str">
        <f t="shared" si="364"/>
        <v/>
      </c>
      <c r="PE115" s="43" t="str">
        <f t="shared" si="365"/>
        <v/>
      </c>
      <c r="PF115" s="43" t="str">
        <f t="shared" si="366"/>
        <v/>
      </c>
      <c r="PG115" s="43" t="str">
        <f t="shared" si="367"/>
        <v/>
      </c>
      <c r="PH115" s="43" t="str">
        <f t="shared" si="368"/>
        <v/>
      </c>
      <c r="PI115" s="43">
        <f t="shared" si="369"/>
        <v>32</v>
      </c>
      <c r="PJ115" s="43" t="str">
        <f t="shared" si="370"/>
        <v/>
      </c>
      <c r="PK115" s="43" t="str">
        <f t="shared" si="371"/>
        <v/>
      </c>
      <c r="PL115" s="43" t="str">
        <f t="shared" si="372"/>
        <v/>
      </c>
      <c r="PM115" s="43" t="str">
        <f t="shared" si="373"/>
        <v/>
      </c>
      <c r="PN115" s="43" t="str">
        <f t="shared" si="374"/>
        <v/>
      </c>
      <c r="PO115" s="43" t="str">
        <f t="shared" si="375"/>
        <v/>
      </c>
      <c r="PP115" s="43" t="str">
        <f t="shared" si="376"/>
        <v/>
      </c>
      <c r="PQ115" s="43" t="str">
        <f t="shared" si="377"/>
        <v/>
      </c>
      <c r="PR115" s="43" t="str">
        <f t="shared" si="378"/>
        <v/>
      </c>
      <c r="PS115" s="43" t="str">
        <f t="shared" si="379"/>
        <v/>
      </c>
      <c r="PT115" s="43" t="str">
        <f t="shared" si="380"/>
        <v/>
      </c>
      <c r="PU115" s="43" t="str">
        <f t="shared" si="381"/>
        <v/>
      </c>
      <c r="PV115" s="43" t="str">
        <f t="shared" si="382"/>
        <v/>
      </c>
      <c r="PW115" s="43" t="str">
        <f t="shared" si="383"/>
        <v/>
      </c>
      <c r="PX115" s="43" t="str">
        <f t="shared" si="384"/>
        <v/>
      </c>
      <c r="PY115" s="43" t="str">
        <f t="shared" si="385"/>
        <v/>
      </c>
      <c r="PZ115" s="43" t="str">
        <f t="shared" si="386"/>
        <v/>
      </c>
      <c r="QA115" s="43" t="str">
        <f t="shared" si="387"/>
        <v/>
      </c>
      <c r="QB115" s="43" t="str">
        <f t="shared" si="388"/>
        <v/>
      </c>
      <c r="QC115" s="43" t="str">
        <f t="shared" si="389"/>
        <v/>
      </c>
      <c r="QD115" s="43" t="str">
        <f t="shared" si="390"/>
        <v/>
      </c>
      <c r="QE115" s="43" t="str">
        <f t="shared" si="391"/>
        <v/>
      </c>
      <c r="QF115" s="43" t="str">
        <f t="shared" si="392"/>
        <v/>
      </c>
      <c r="QG115" s="43" t="str">
        <f t="shared" si="393"/>
        <v>BAJO PESO</v>
      </c>
      <c r="QH115" s="43" t="str">
        <f t="shared" si="394"/>
        <v/>
      </c>
      <c r="QI115" s="43" t="str">
        <f t="shared" si="395"/>
        <v/>
      </c>
      <c r="QJ115" s="43" t="str">
        <f t="shared" si="396"/>
        <v/>
      </c>
      <c r="QK115" s="43" t="str">
        <f t="shared" si="397"/>
        <v/>
      </c>
      <c r="QL115" s="43" t="str">
        <f t="shared" si="398"/>
        <v/>
      </c>
      <c r="QM115" s="43" t="str">
        <f t="shared" si="399"/>
        <v/>
      </c>
      <c r="QN115" s="43" t="str">
        <f t="shared" si="400"/>
        <v/>
      </c>
      <c r="QO115" s="43" t="str">
        <f t="shared" si="401"/>
        <v/>
      </c>
      <c r="QP115" s="43" t="str">
        <f t="shared" si="402"/>
        <v/>
      </c>
      <c r="QQ115" s="43" t="str">
        <f t="shared" si="403"/>
        <v/>
      </c>
      <c r="QR115" s="43">
        <f t="shared" si="433"/>
        <v>32</v>
      </c>
      <c r="QS115" s="43"/>
      <c r="QT115" s="21" t="str">
        <f t="shared" si="404"/>
        <v/>
      </c>
      <c r="QU115" s="21" t="str">
        <f t="shared" si="405"/>
        <v/>
      </c>
      <c r="QV115" s="21" t="str">
        <f t="shared" si="406"/>
        <v/>
      </c>
      <c r="QW115" s="21" t="str">
        <f t="shared" si="407"/>
        <v/>
      </c>
      <c r="QX115" s="21" t="str">
        <f t="shared" si="408"/>
        <v/>
      </c>
      <c r="QY115" s="21" t="str">
        <f t="shared" si="409"/>
        <v/>
      </c>
      <c r="QZ115" s="21" t="str">
        <f t="shared" si="410"/>
        <v/>
      </c>
      <c r="RA115" s="21" t="str">
        <f t="shared" si="411"/>
        <v/>
      </c>
      <c r="RB115" s="21" t="str">
        <f t="shared" si="412"/>
        <v/>
      </c>
      <c r="RC115" s="21" t="str">
        <f t="shared" si="413"/>
        <v/>
      </c>
      <c r="RD115" s="21" t="str">
        <f t="shared" si="414"/>
        <v/>
      </c>
      <c r="RE115" s="21" t="str">
        <f t="shared" si="415"/>
        <v/>
      </c>
      <c r="RF115" s="21" t="str">
        <f t="shared" si="416"/>
        <v/>
      </c>
      <c r="RG115" s="21" t="str">
        <f t="shared" si="417"/>
        <v/>
      </c>
      <c r="RH115" s="21" t="str">
        <f t="shared" si="418"/>
        <v/>
      </c>
      <c r="RI115" s="21" t="str">
        <f t="shared" si="419"/>
        <v/>
      </c>
      <c r="RJ115" s="21" t="str">
        <f t="shared" si="420"/>
        <v/>
      </c>
      <c r="RK115" s="21" t="str">
        <f t="shared" si="421"/>
        <v/>
      </c>
      <c r="RL115" s="21" t="str">
        <f t="shared" si="422"/>
        <v/>
      </c>
      <c r="RM115" s="21" t="str">
        <f t="shared" si="423"/>
        <v>ADECUADO PARA EDAD GESTACIONAL</v>
      </c>
      <c r="RN115" s="21" t="str">
        <f t="shared" si="424"/>
        <v/>
      </c>
      <c r="RO115" s="21" t="str">
        <f t="shared" si="425"/>
        <v/>
      </c>
      <c r="RP115" s="21" t="str">
        <f t="shared" si="426"/>
        <v/>
      </c>
      <c r="RQ115" s="21" t="str">
        <f t="shared" si="427"/>
        <v/>
      </c>
      <c r="RR115" s="21" t="str">
        <f t="shared" si="428"/>
        <v/>
      </c>
      <c r="RS115" s="21" t="str">
        <f t="shared" si="429"/>
        <v/>
      </c>
      <c r="RT115" s="21" t="str">
        <f t="shared" si="430"/>
        <v/>
      </c>
      <c r="RU115" s="21" t="str">
        <f t="shared" si="431"/>
        <v/>
      </c>
      <c r="RV115" s="21">
        <f t="shared" si="432"/>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4"/>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27.93972602739726</v>
      </c>
      <c r="O116" s="22">
        <v>44982</v>
      </c>
      <c r="P116" s="214" t="str">
        <f t="shared" si="438"/>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7"/>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9"/>
        <v>CONCERTAR PLAN DE PARTO INMEDIATO</v>
      </c>
      <c r="DV116" s="226" t="str">
        <f t="shared" si="440"/>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1"/>
        <v>TOMA DE HEMOGLOBINA TARDÍA</v>
      </c>
      <c r="EU116" s="25" t="str">
        <f t="shared" si="275"/>
        <v/>
      </c>
      <c r="EV116" s="24" t="s">
        <v>1510</v>
      </c>
      <c r="EW116" s="32">
        <v>45003</v>
      </c>
      <c r="EX116" s="22"/>
      <c r="EY116" s="29">
        <f t="shared" si="454"/>
        <v>17.571428571428573</v>
      </c>
      <c r="EZ116" s="25" t="str">
        <f t="shared" si="455"/>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2"/>
        <v>17.571428571428573</v>
      </c>
      <c r="FP116" s="22"/>
      <c r="FQ116" s="32"/>
      <c r="FR116" s="29" t="str">
        <f t="shared" ca="1" si="443"/>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3"/>
        <v>REGISTRAR EN II TRIMESTRE</v>
      </c>
      <c r="GB116" s="22" t="s">
        <v>868</v>
      </c>
      <c r="GC116" s="22">
        <v>45003</v>
      </c>
      <c r="GD116" s="29">
        <f t="shared" ca="1" si="491"/>
        <v>17.571428571428573</v>
      </c>
      <c r="GE116" s="22"/>
      <c r="GF116" s="22"/>
      <c r="GG116" s="29" t="str">
        <f t="shared" ca="1" si="445"/>
        <v>TOMA INMEDIATA DE TAMIZAJE</v>
      </c>
      <c r="GH116" s="22"/>
      <c r="GI116" s="29"/>
      <c r="GJ116" s="22"/>
      <c r="GK116" s="22"/>
      <c r="GL116" s="22"/>
      <c r="GM116" s="22"/>
      <c r="GN116" s="28" t="s">
        <v>869</v>
      </c>
      <c r="GO116" s="22">
        <v>45003</v>
      </c>
      <c r="GP116" s="29">
        <f t="shared" si="283"/>
        <v>17.571428571428573</v>
      </c>
      <c r="GQ116" s="28"/>
      <c r="GR116" s="28"/>
      <c r="GS116" s="22" t="str">
        <f t="shared" si="458"/>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t="str">
        <f t="shared" ca="1" si="289"/>
        <v>***************************************</v>
      </c>
      <c r="HK116" s="21" t="str">
        <f t="shared" si="290"/>
        <v>SIN ANTECEDENTES DE RIESGO</v>
      </c>
      <c r="HL116" s="24" t="str">
        <f t="shared" si="291"/>
        <v>APARENTEMENTE NORMAL</v>
      </c>
      <c r="HM116" s="21" t="e">
        <f t="shared" ca="1" si="292"/>
        <v>#REF!</v>
      </c>
      <c r="HN116" s="30" t="str">
        <f t="shared" si="446"/>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3"/>
        <v>14.571428571428571</v>
      </c>
      <c r="IA116" s="26"/>
      <c r="IB116" s="26"/>
      <c r="IC116" s="111"/>
      <c r="ID116" s="22"/>
      <c r="IE116" s="22" t="str">
        <f t="shared" ca="1" si="294"/>
        <v/>
      </c>
      <c r="IF116" s="22"/>
      <c r="IG116" s="22">
        <f t="shared" si="295"/>
        <v>45160</v>
      </c>
      <c r="IH116" s="29">
        <f t="shared" ca="1" si="296"/>
        <v>-72</v>
      </c>
      <c r="II116" s="22" t="str">
        <f t="shared" ca="1" si="297"/>
        <v>POSIBLEMENTE NACIO</v>
      </c>
      <c r="IJ116" s="22"/>
      <c r="IK116" s="21"/>
      <c r="IL116" s="21"/>
      <c r="IM116" s="34"/>
      <c r="IN116" s="349"/>
      <c r="IO116" s="21"/>
      <c r="IP116" s="29" t="str">
        <f t="shared" si="490"/>
        <v/>
      </c>
      <c r="IQ116" s="292"/>
      <c r="IR116" s="21"/>
      <c r="IS116" s="21"/>
      <c r="IT116" s="21"/>
      <c r="IU116" s="21"/>
      <c r="IV116" s="21"/>
      <c r="IW116" s="21"/>
      <c r="IX116" s="21"/>
      <c r="IY116" s="21"/>
      <c r="IZ116" s="21"/>
      <c r="JA116" s="21"/>
      <c r="JB116" s="30"/>
      <c r="JC116" s="21"/>
      <c r="JD116" s="36"/>
      <c r="JE116" s="21" t="str">
        <f t="shared" si="492"/>
        <v/>
      </c>
      <c r="JF116" s="30"/>
      <c r="JG116" s="21"/>
      <c r="JH116" s="21"/>
      <c r="JI116" s="21"/>
      <c r="JJ116" s="30"/>
      <c r="JK116" s="22"/>
      <c r="JL116" s="22"/>
      <c r="JM116" s="21"/>
      <c r="JN116" s="36"/>
      <c r="JO116" s="21" t="str">
        <f t="shared" si="493"/>
        <v/>
      </c>
      <c r="JP116" s="22"/>
      <c r="JQ116" s="21"/>
      <c r="JR116" s="21"/>
      <c r="JS116" s="21"/>
      <c r="JT116" s="30"/>
      <c r="JU116" s="22"/>
      <c r="JV116" s="22"/>
      <c r="JW116" s="33"/>
      <c r="JX116" s="28" t="str">
        <f t="shared" si="494"/>
        <v/>
      </c>
      <c r="JY116" s="33"/>
      <c r="JZ116" s="28" t="str">
        <f t="shared" si="495"/>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9"/>
        <v>0</v>
      </c>
      <c r="MI116" s="43" t="str">
        <f t="shared" si="460"/>
        <v/>
      </c>
      <c r="MJ116" s="43" t="str">
        <f t="shared" si="461"/>
        <v/>
      </c>
      <c r="MK116" s="43">
        <f t="shared" si="462"/>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3"/>
        <v>14.571428571428571</v>
      </c>
      <c r="MN116" s="43">
        <f t="shared" si="464"/>
        <v>2</v>
      </c>
      <c r="MO116" s="43">
        <f t="shared" si="465"/>
        <v>2023</v>
      </c>
      <c r="MP116" s="43" t="str">
        <f t="shared" si="466"/>
        <v>I TRIMESTRE AÑO</v>
      </c>
      <c r="MQ116" s="43">
        <f t="shared" si="467"/>
        <v>26.839684625492769</v>
      </c>
      <c r="MR116" s="43">
        <f t="shared" si="468"/>
        <v>0</v>
      </c>
      <c r="MS116" s="43" t="str">
        <f t="shared" si="469"/>
        <v xml:space="preserve"> DE 25 A 29 AÑOS</v>
      </c>
      <c r="MT116" s="43">
        <f t="shared" si="470"/>
        <v>0</v>
      </c>
      <c r="MU116" s="43">
        <f t="shared" si="471"/>
        <v>0</v>
      </c>
      <c r="MV116" s="43">
        <f t="shared" si="472"/>
        <v>0</v>
      </c>
      <c r="MW116" s="43">
        <f t="shared" si="473"/>
        <v>0</v>
      </c>
      <c r="MX116" s="43" t="str">
        <f t="shared" si="474"/>
        <v/>
      </c>
      <c r="MY116" s="43" t="str">
        <f t="shared" ca="1" si="496"/>
        <v/>
      </c>
      <c r="MZ116" s="43" t="str">
        <f t="shared" si="475"/>
        <v/>
      </c>
      <c r="NA116" s="43">
        <f t="shared" si="476"/>
        <v>0</v>
      </c>
      <c r="NB116" s="43" t="str">
        <f t="shared" si="477"/>
        <v/>
      </c>
      <c r="NC116" s="43" t="str">
        <f t="shared" si="478"/>
        <v/>
      </c>
      <c r="ND116" s="43">
        <f t="shared" ca="1" si="479"/>
        <v>0</v>
      </c>
      <c r="NE116" s="43">
        <f>IF(OR(O116&gt;0,R116&gt;0),SUM(COUNTIF(Tabla1[[#This Row],[AÑOS AL INICIO5 CPN]],"&gt;=40"),COUNTIF(AS116,"0"),COUNTIF(AR116,"SI"),COUNTIF(CC116,"SI"),COUNTIF(BQ116,"&gt;119"),COUNTIF(CI116,"&gt;=35")),"")</f>
        <v>0</v>
      </c>
      <c r="NF116" s="43" t="str">
        <f t="shared" si="480"/>
        <v/>
      </c>
      <c r="NG116" s="43">
        <f t="shared" si="481"/>
        <v>0</v>
      </c>
      <c r="NH116" s="43">
        <f t="shared" si="482"/>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3"/>
        <v>32</v>
      </c>
      <c r="NM116" s="43" t="str">
        <f t="shared" si="456"/>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4"/>
        <v>II TRIM</v>
      </c>
      <c r="NQ116" s="21" t="str">
        <f t="shared" si="437"/>
        <v/>
      </c>
      <c r="NR116" s="21" t="str">
        <f t="shared" ca="1" si="497"/>
        <v>REVISAR FUM O FECHA SALIDA PROGRAMA</v>
      </c>
      <c r="NS116" s="205">
        <f t="shared" ca="1" si="485"/>
        <v>1</v>
      </c>
      <c r="NT116" s="21">
        <f t="shared" ca="1" si="486"/>
        <v>1</v>
      </c>
      <c r="NU116" s="21" t="str">
        <f t="shared" ca="1" si="487"/>
        <v>POR DEFINIR</v>
      </c>
      <c r="NV116" s="21" t="str">
        <f t="shared" ca="1" si="488"/>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9"/>
        <v>SIN VACUNAR</v>
      </c>
      <c r="NY116" s="43">
        <f>ROW(Tabla1[[#This Row],['# DE TAMIZAJES SIFILIS TOMADOS ]])</f>
        <v>116</v>
      </c>
      <c r="NZ116" s="43">
        <f t="shared" si="334"/>
        <v>14</v>
      </c>
      <c r="OA116" s="43" t="str">
        <f t="shared" si="335"/>
        <v/>
      </c>
      <c r="OB116" s="43" t="str">
        <f t="shared" si="336"/>
        <v/>
      </c>
      <c r="OC116" s="43" t="str">
        <f t="shared" si="337"/>
        <v/>
      </c>
      <c r="OD116" s="43" t="str">
        <f t="shared" si="338"/>
        <v/>
      </c>
      <c r="OE116" s="43" t="str">
        <f t="shared" si="339"/>
        <v/>
      </c>
      <c r="OF116" s="43" t="str">
        <f t="shared" si="340"/>
        <v>NORMAL</v>
      </c>
      <c r="OG116" s="43" t="str">
        <f t="shared" si="341"/>
        <v/>
      </c>
      <c r="OH116" s="43" t="str">
        <f t="shared" si="342"/>
        <v/>
      </c>
      <c r="OI116" s="43" t="str">
        <f t="shared" si="343"/>
        <v/>
      </c>
      <c r="OJ116" s="43" t="str">
        <f t="shared" si="344"/>
        <v/>
      </c>
      <c r="OK116" s="43" t="str">
        <f t="shared" si="345"/>
        <v/>
      </c>
      <c r="OL116" s="43" t="str">
        <f t="shared" si="346"/>
        <v/>
      </c>
      <c r="OM116" s="43" t="str">
        <f t="shared" si="347"/>
        <v/>
      </c>
      <c r="ON116" s="43" t="str">
        <f t="shared" si="348"/>
        <v/>
      </c>
      <c r="OO116" s="43" t="str">
        <f t="shared" si="349"/>
        <v/>
      </c>
      <c r="OP116" s="43" t="str">
        <f t="shared" si="350"/>
        <v/>
      </c>
      <c r="OQ116" s="43" t="str">
        <f t="shared" si="351"/>
        <v/>
      </c>
      <c r="OR116" s="43" t="str">
        <f t="shared" si="352"/>
        <v/>
      </c>
      <c r="OS116" s="43" t="str">
        <f t="shared" si="353"/>
        <v/>
      </c>
      <c r="OT116" s="43" t="str">
        <f t="shared" si="354"/>
        <v/>
      </c>
      <c r="OU116" s="43" t="str">
        <f t="shared" si="355"/>
        <v/>
      </c>
      <c r="OV116" s="110" t="str">
        <f t="shared" si="356"/>
        <v/>
      </c>
      <c r="OW116" s="43" t="str">
        <f t="shared" si="357"/>
        <v/>
      </c>
      <c r="OX116" s="43" t="str">
        <f t="shared" si="358"/>
        <v/>
      </c>
      <c r="OY116" s="43" t="str">
        <f t="shared" si="359"/>
        <v/>
      </c>
      <c r="OZ116" s="43" t="str">
        <f t="shared" si="360"/>
        <v/>
      </c>
      <c r="PA116" s="43" t="str">
        <f t="shared" si="361"/>
        <v/>
      </c>
      <c r="PB116" s="43" t="str">
        <f t="shared" si="362"/>
        <v/>
      </c>
      <c r="PC116" s="43" t="str">
        <f t="shared" si="363"/>
        <v/>
      </c>
      <c r="PD116" s="43" t="str">
        <f t="shared" si="364"/>
        <v/>
      </c>
      <c r="PE116" s="43" t="str">
        <f t="shared" si="365"/>
        <v/>
      </c>
      <c r="PF116" s="43" t="str">
        <f t="shared" si="366"/>
        <v/>
      </c>
      <c r="PG116" s="43" t="str">
        <f t="shared" si="367"/>
        <v/>
      </c>
      <c r="PH116" s="43" t="str">
        <f t="shared" si="368"/>
        <v/>
      </c>
      <c r="PI116" s="43">
        <f t="shared" si="369"/>
        <v>37</v>
      </c>
      <c r="PJ116" s="43" t="str">
        <f t="shared" si="370"/>
        <v/>
      </c>
      <c r="PK116" s="43" t="str">
        <f t="shared" si="371"/>
        <v/>
      </c>
      <c r="PL116" s="43" t="str">
        <f t="shared" si="372"/>
        <v/>
      </c>
      <c r="PM116" s="43" t="str">
        <f t="shared" si="373"/>
        <v/>
      </c>
      <c r="PN116" s="43" t="str">
        <f t="shared" si="374"/>
        <v/>
      </c>
      <c r="PO116" s="43" t="str">
        <f t="shared" si="375"/>
        <v/>
      </c>
      <c r="PP116" s="43" t="str">
        <f t="shared" si="376"/>
        <v/>
      </c>
      <c r="PQ116" s="43" t="str">
        <f t="shared" si="377"/>
        <v/>
      </c>
      <c r="PR116" s="43" t="str">
        <f t="shared" si="378"/>
        <v/>
      </c>
      <c r="PS116" s="43" t="str">
        <f t="shared" si="379"/>
        <v/>
      </c>
      <c r="PT116" s="43" t="str">
        <f t="shared" si="380"/>
        <v/>
      </c>
      <c r="PU116" s="43" t="str">
        <f t="shared" si="381"/>
        <v/>
      </c>
      <c r="PV116" s="43" t="str">
        <f t="shared" si="382"/>
        <v/>
      </c>
      <c r="PW116" s="43" t="str">
        <f t="shared" si="383"/>
        <v/>
      </c>
      <c r="PX116" s="43" t="str">
        <f t="shared" si="384"/>
        <v/>
      </c>
      <c r="PY116" s="43" t="str">
        <f t="shared" si="385"/>
        <v/>
      </c>
      <c r="PZ116" s="43" t="str">
        <f t="shared" si="386"/>
        <v/>
      </c>
      <c r="QA116" s="43" t="str">
        <f t="shared" si="387"/>
        <v/>
      </c>
      <c r="QB116" s="43" t="str">
        <f t="shared" si="388"/>
        <v/>
      </c>
      <c r="QC116" s="43" t="str">
        <f t="shared" si="389"/>
        <v/>
      </c>
      <c r="QD116" s="43" t="str">
        <f t="shared" si="390"/>
        <v/>
      </c>
      <c r="QE116" s="43" t="str">
        <f t="shared" si="391"/>
        <v/>
      </c>
      <c r="QF116" s="43" t="str">
        <f t="shared" si="392"/>
        <v/>
      </c>
      <c r="QG116" s="43" t="str">
        <f t="shared" si="393"/>
        <v/>
      </c>
      <c r="QH116" s="43" t="str">
        <f t="shared" si="394"/>
        <v/>
      </c>
      <c r="QI116" s="43" t="str">
        <f t="shared" si="395"/>
        <v/>
      </c>
      <c r="QJ116" s="43" t="str">
        <f t="shared" si="396"/>
        <v/>
      </c>
      <c r="QK116" s="43" t="str">
        <f t="shared" si="397"/>
        <v/>
      </c>
      <c r="QL116" s="43" t="str">
        <f t="shared" si="398"/>
        <v>NORMAL</v>
      </c>
      <c r="QM116" s="43" t="str">
        <f t="shared" si="399"/>
        <v/>
      </c>
      <c r="QN116" s="43" t="str">
        <f t="shared" si="400"/>
        <v/>
      </c>
      <c r="QO116" s="43" t="str">
        <f t="shared" si="401"/>
        <v/>
      </c>
      <c r="QP116" s="43" t="str">
        <f t="shared" si="402"/>
        <v/>
      </c>
      <c r="QQ116" s="43" t="str">
        <f t="shared" si="403"/>
        <v/>
      </c>
      <c r="QR116" s="43">
        <f t="shared" si="433"/>
        <v>37</v>
      </c>
      <c r="QS116" s="43"/>
      <c r="QT116" s="21" t="str">
        <f t="shared" si="404"/>
        <v/>
      </c>
      <c r="QU116" s="21" t="str">
        <f t="shared" si="405"/>
        <v/>
      </c>
      <c r="QV116" s="21" t="str">
        <f t="shared" si="406"/>
        <v/>
      </c>
      <c r="QW116" s="21" t="str">
        <f t="shared" si="407"/>
        <v/>
      </c>
      <c r="QX116" s="21" t="str">
        <f t="shared" si="408"/>
        <v/>
      </c>
      <c r="QY116" s="21" t="str">
        <f t="shared" si="409"/>
        <v/>
      </c>
      <c r="QZ116" s="21" t="str">
        <f t="shared" si="410"/>
        <v/>
      </c>
      <c r="RA116" s="21" t="str">
        <f t="shared" si="411"/>
        <v/>
      </c>
      <c r="RB116" s="21" t="str">
        <f t="shared" si="412"/>
        <v/>
      </c>
      <c r="RC116" s="21" t="str">
        <f t="shared" si="413"/>
        <v/>
      </c>
      <c r="RD116" s="21" t="str">
        <f t="shared" si="414"/>
        <v/>
      </c>
      <c r="RE116" s="21" t="str">
        <f t="shared" si="415"/>
        <v/>
      </c>
      <c r="RF116" s="21" t="str">
        <f t="shared" si="416"/>
        <v/>
      </c>
      <c r="RG116" s="21" t="str">
        <f t="shared" si="417"/>
        <v/>
      </c>
      <c r="RH116" s="21" t="str">
        <f t="shared" si="418"/>
        <v/>
      </c>
      <c r="RI116" s="21" t="str">
        <f t="shared" si="419"/>
        <v/>
      </c>
      <c r="RJ116" s="21" t="str">
        <f t="shared" si="420"/>
        <v/>
      </c>
      <c r="RK116" s="21" t="str">
        <f t="shared" si="421"/>
        <v/>
      </c>
      <c r="RL116" s="21" t="str">
        <f t="shared" si="422"/>
        <v/>
      </c>
      <c r="RM116" s="21" t="str">
        <f t="shared" si="423"/>
        <v/>
      </c>
      <c r="RN116" s="21" t="str">
        <f t="shared" si="424"/>
        <v/>
      </c>
      <c r="RO116" s="21" t="str">
        <f t="shared" si="425"/>
        <v/>
      </c>
      <c r="RP116" s="21" t="str">
        <f t="shared" si="426"/>
        <v/>
      </c>
      <c r="RQ116" s="21" t="str">
        <f t="shared" si="427"/>
        <v/>
      </c>
      <c r="RR116" s="21" t="str">
        <f t="shared" si="428"/>
        <v>ADECUADO PARA EDAD GESTACIONAL</v>
      </c>
      <c r="RS116" s="21" t="str">
        <f t="shared" si="429"/>
        <v/>
      </c>
      <c r="RT116" s="21" t="str">
        <f t="shared" si="430"/>
        <v/>
      </c>
      <c r="RU116" s="21" t="str">
        <f t="shared" si="431"/>
        <v/>
      </c>
      <c r="RV116" s="21">
        <f t="shared" si="432"/>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4"/>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15.805479452054794</v>
      </c>
      <c r="O117" s="22">
        <v>44985</v>
      </c>
      <c r="P117" s="214" t="str">
        <f t="shared" si="438"/>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7"/>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9"/>
        <v>CONCERTAR PLAN DE PARTO INMEDIATO</v>
      </c>
      <c r="DV117" s="226" t="str">
        <f t="shared" si="440"/>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1"/>
        <v>TOMA DE HEMOGLOBINA TARDÍA</v>
      </c>
      <c r="EU117" s="25" t="str">
        <f t="shared" si="275"/>
        <v/>
      </c>
      <c r="EV117" s="24"/>
      <c r="EW117" s="24"/>
      <c r="EX117" s="22"/>
      <c r="EY117" s="29" t="str">
        <f t="shared" si="454"/>
        <v>TOMAR EXAMEN</v>
      </c>
      <c r="EZ117" s="25" t="str">
        <f t="shared" ca="1" si="455"/>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2"/>
        <v>PIERDE TOMA DE TAMIZAJE</v>
      </c>
      <c r="FP117" s="22"/>
      <c r="FQ117" s="32"/>
      <c r="FR117" s="29" t="str">
        <f t="shared" ca="1" si="443"/>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3"/>
        <v>8.8571428571428577</v>
      </c>
      <c r="GB117" s="22"/>
      <c r="GC117" s="22"/>
      <c r="GD117" s="29" t="str">
        <f t="shared" ca="1" si="491"/>
        <v>PIERDE TOMA DE TAMIZAJE</v>
      </c>
      <c r="GE117" s="22"/>
      <c r="GF117" s="22"/>
      <c r="GG117" s="29" t="str">
        <f t="shared" ca="1" si="445"/>
        <v>TOMA INMEDIATA DE TAMIZAJE</v>
      </c>
      <c r="GH117" s="22"/>
      <c r="GI117" s="29"/>
      <c r="GJ117" s="22"/>
      <c r="GK117" s="22"/>
      <c r="GL117" s="22"/>
      <c r="GM117" s="22"/>
      <c r="GN117" s="28"/>
      <c r="GO117" s="22"/>
      <c r="GP117" s="29" t="str">
        <f t="shared" si="283"/>
        <v>TOMAR EXAMEN</v>
      </c>
      <c r="GQ117" s="28"/>
      <c r="GR117" s="28"/>
      <c r="GS117" s="22" t="str">
        <f t="shared" si="458"/>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t="str">
        <f t="shared" ca="1" si="289"/>
        <v>**********************MULTIPARIDAD**RIESGO POR EDAD*CESAREAS PREVIAS**************</v>
      </c>
      <c r="HK117" s="21" t="str">
        <f t="shared" si="290"/>
        <v>SIN ANTECEDENTES DE RIESGO</v>
      </c>
      <c r="HL117" s="24" t="str">
        <f t="shared" si="291"/>
        <v>REGISTRE DATO PRESIÓN ARTERIAL MENSUAL</v>
      </c>
      <c r="HM117" s="21" t="e">
        <f t="shared" ca="1" si="292"/>
        <v>#REF!</v>
      </c>
      <c r="HN117" s="30" t="str">
        <f t="shared" si="446"/>
        <v>ACTIVA INGRESO A CPN</v>
      </c>
      <c r="HO117" s="21"/>
      <c r="HP117" s="21"/>
      <c r="HQ117" s="349">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3"/>
        <v>8.8571428571428577</v>
      </c>
      <c r="IA117" s="26"/>
      <c r="IB117" s="26"/>
      <c r="IC117" s="111"/>
      <c r="ID117" s="22"/>
      <c r="IE117" s="22" t="str">
        <f t="shared" ca="1" si="294"/>
        <v/>
      </c>
      <c r="IF117" s="22"/>
      <c r="IG117" s="22">
        <f t="shared" si="295"/>
        <v>45203</v>
      </c>
      <c r="IH117" s="29">
        <f t="shared" ca="1" si="296"/>
        <v>-29</v>
      </c>
      <c r="II117" s="22" t="str">
        <f t="shared" ca="1" si="297"/>
        <v>POSIBLEMENTE NACIO</v>
      </c>
      <c r="IJ117" s="22"/>
      <c r="IK117" s="21"/>
      <c r="IL117" s="21"/>
      <c r="IM117" s="34"/>
      <c r="IN117" s="22"/>
      <c r="IO117" s="21"/>
      <c r="IP117" s="29" t="str">
        <f t="shared" si="490"/>
        <v/>
      </c>
      <c r="IQ117" s="35"/>
      <c r="IR117" s="21"/>
      <c r="IS117" s="21"/>
      <c r="IT117" s="21"/>
      <c r="IU117" s="21"/>
      <c r="IV117" s="21"/>
      <c r="IW117" s="21"/>
      <c r="IX117" s="21"/>
      <c r="IY117" s="21"/>
      <c r="IZ117" s="21"/>
      <c r="JA117" s="21"/>
      <c r="JB117" s="30"/>
      <c r="JC117" s="21"/>
      <c r="JD117" s="36"/>
      <c r="JE117" s="21" t="str">
        <f t="shared" si="492"/>
        <v/>
      </c>
      <c r="JF117" s="30"/>
      <c r="JG117" s="21"/>
      <c r="JH117" s="21"/>
      <c r="JI117" s="21"/>
      <c r="JJ117" s="30"/>
      <c r="JK117" s="22"/>
      <c r="JL117" s="22"/>
      <c r="JM117" s="21"/>
      <c r="JN117" s="36"/>
      <c r="JO117" s="21" t="str">
        <f t="shared" si="493"/>
        <v/>
      </c>
      <c r="JP117" s="22"/>
      <c r="JQ117" s="21"/>
      <c r="JR117" s="21"/>
      <c r="JS117" s="21"/>
      <c r="JT117" s="30"/>
      <c r="JU117" s="22"/>
      <c r="JV117" s="22"/>
      <c r="JW117" s="33"/>
      <c r="JX117" s="28" t="str">
        <f t="shared" si="494"/>
        <v/>
      </c>
      <c r="JY117" s="33"/>
      <c r="JZ117" s="28" t="str">
        <f t="shared" si="495"/>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9"/>
        <v>0</v>
      </c>
      <c r="MI117" s="43" t="str">
        <f t="shared" si="460"/>
        <v/>
      </c>
      <c r="MJ117" s="43" t="str">
        <f t="shared" si="461"/>
        <v/>
      </c>
      <c r="MK117" s="43">
        <f t="shared" si="462"/>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3"/>
        <v>8.8571428571428577</v>
      </c>
      <c r="MN117" s="43">
        <f t="shared" si="464"/>
        <v>2</v>
      </c>
      <c r="MO117" s="43">
        <f t="shared" si="465"/>
        <v>2023</v>
      </c>
      <c r="MP117" s="43" t="str">
        <f t="shared" si="466"/>
        <v>I TRIMESTRE AÑO</v>
      </c>
      <c r="MQ117" s="43">
        <f t="shared" si="467"/>
        <v>14.898160315374506</v>
      </c>
      <c r="MR117" s="43">
        <f t="shared" si="468"/>
        <v>1</v>
      </c>
      <c r="MS117" s="43" t="str">
        <f t="shared" si="469"/>
        <v>DE 14 A 19AÑOS</v>
      </c>
      <c r="MT117" s="43">
        <f t="shared" si="470"/>
        <v>0</v>
      </c>
      <c r="MU117" s="43">
        <f t="shared" si="471"/>
        <v>1</v>
      </c>
      <c r="MV117" s="43">
        <f t="shared" si="472"/>
        <v>1</v>
      </c>
      <c r="MW117" s="43">
        <f t="shared" si="473"/>
        <v>0</v>
      </c>
      <c r="MX117" s="43" t="str">
        <f t="shared" si="474"/>
        <v/>
      </c>
      <c r="MY117" s="43" t="str">
        <f t="shared" ca="1" si="496"/>
        <v/>
      </c>
      <c r="MZ117" s="43" t="str">
        <f t="shared" si="475"/>
        <v/>
      </c>
      <c r="NA117" s="43" t="str">
        <f t="shared" si="476"/>
        <v/>
      </c>
      <c r="NB117" s="43" t="str">
        <f t="shared" si="477"/>
        <v/>
      </c>
      <c r="NC117" s="43" t="str">
        <f t="shared" si="478"/>
        <v/>
      </c>
      <c r="ND117" s="43">
        <f t="shared" ca="1" si="479"/>
        <v>3</v>
      </c>
      <c r="NE117" s="43">
        <f>IF(OR(O117&gt;0,R117&gt;0),SUM(COUNTIF(Tabla1[[#This Row],[AÑOS AL INICIO5 CPN]],"&gt;=40"),COUNTIF(AS117,"0"),COUNTIF(AR117,"SI"),COUNTIF(CC117,"SI"),COUNTIF(BQ117,"&gt;119"),COUNTIF(CI117,"&gt;=35")),"")</f>
        <v>1</v>
      </c>
      <c r="NF117" s="43" t="str">
        <f t="shared" si="480"/>
        <v/>
      </c>
      <c r="NG117" s="43">
        <f t="shared" si="481"/>
        <v>0</v>
      </c>
      <c r="NH117" s="43" t="str">
        <f t="shared" si="482"/>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3"/>
        <v>X</v>
      </c>
      <c r="NM117" s="43" t="str">
        <f t="shared" si="456"/>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4"/>
        <v>I TRIM</v>
      </c>
      <c r="NQ117" s="21" t="str">
        <f t="shared" si="437"/>
        <v/>
      </c>
      <c r="NR117" s="21" t="str">
        <f t="shared" ca="1" si="497"/>
        <v>REVISAR FUM O FECHA SALIDA PROGRAMA</v>
      </c>
      <c r="NS117" s="205">
        <f t="shared" ca="1" si="485"/>
        <v>0</v>
      </c>
      <c r="NT117" s="21">
        <f t="shared" ca="1" si="486"/>
        <v>1</v>
      </c>
      <c r="NU117" s="21" t="str">
        <f t="shared" ca="1" si="487"/>
        <v>POR DEFINIR</v>
      </c>
      <c r="NV117" s="21" t="str">
        <f t="shared" ca="1" si="488"/>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9"/>
        <v>SIN VACUNAR</v>
      </c>
      <c r="NY117" s="43">
        <f>ROW(Tabla1[[#This Row],['# DE TAMIZAJES SIFILIS TOMADOS ]])</f>
        <v>117</v>
      </c>
      <c r="NZ117" s="43" t="str">
        <f t="shared" si="334"/>
        <v>Menor</v>
      </c>
      <c r="OA117" s="43" t="str">
        <f t="shared" si="335"/>
        <v>NORMAL</v>
      </c>
      <c r="OB117" s="43" t="str">
        <f t="shared" si="336"/>
        <v/>
      </c>
      <c r="OC117" s="43" t="str">
        <f t="shared" si="337"/>
        <v/>
      </c>
      <c r="OD117" s="43" t="str">
        <f t="shared" si="338"/>
        <v/>
      </c>
      <c r="OE117" s="43" t="str">
        <f t="shared" si="339"/>
        <v/>
      </c>
      <c r="OF117" s="43" t="str">
        <f t="shared" si="340"/>
        <v/>
      </c>
      <c r="OG117" s="43" t="str">
        <f t="shared" si="341"/>
        <v/>
      </c>
      <c r="OH117" s="43" t="str">
        <f t="shared" si="342"/>
        <v/>
      </c>
      <c r="OI117" s="43" t="str">
        <f t="shared" si="343"/>
        <v/>
      </c>
      <c r="OJ117" s="43" t="str">
        <f t="shared" si="344"/>
        <v/>
      </c>
      <c r="OK117" s="43" t="str">
        <f t="shared" si="345"/>
        <v/>
      </c>
      <c r="OL117" s="43" t="str">
        <f t="shared" si="346"/>
        <v/>
      </c>
      <c r="OM117" s="43" t="str">
        <f t="shared" si="347"/>
        <v/>
      </c>
      <c r="ON117" s="43" t="str">
        <f t="shared" si="348"/>
        <v/>
      </c>
      <c r="OO117" s="43" t="str">
        <f t="shared" si="349"/>
        <v/>
      </c>
      <c r="OP117" s="43" t="str">
        <f t="shared" si="350"/>
        <v/>
      </c>
      <c r="OQ117" s="43" t="str">
        <f t="shared" si="351"/>
        <v/>
      </c>
      <c r="OR117" s="43" t="str">
        <f t="shared" si="352"/>
        <v/>
      </c>
      <c r="OS117" s="43" t="str">
        <f t="shared" si="353"/>
        <v/>
      </c>
      <c r="OT117" s="43" t="str">
        <f t="shared" si="354"/>
        <v/>
      </c>
      <c r="OU117" s="43" t="str">
        <f t="shared" si="355"/>
        <v/>
      </c>
      <c r="OV117" s="110" t="str">
        <f t="shared" si="356"/>
        <v/>
      </c>
      <c r="OW117" s="43" t="str">
        <f t="shared" si="357"/>
        <v/>
      </c>
      <c r="OX117" s="43" t="str">
        <f t="shared" si="358"/>
        <v/>
      </c>
      <c r="OY117" s="43" t="str">
        <f t="shared" si="359"/>
        <v/>
      </c>
      <c r="OZ117" s="43" t="str">
        <f t="shared" si="360"/>
        <v/>
      </c>
      <c r="PA117" s="43" t="str">
        <f t="shared" si="361"/>
        <v/>
      </c>
      <c r="PB117" s="43" t="str">
        <f t="shared" si="362"/>
        <v/>
      </c>
      <c r="PC117" s="43" t="str">
        <f t="shared" si="363"/>
        <v/>
      </c>
      <c r="PD117" s="43" t="str">
        <f t="shared" si="364"/>
        <v/>
      </c>
      <c r="PE117" s="43" t="str">
        <f t="shared" si="365"/>
        <v/>
      </c>
      <c r="PF117" s="43" t="str">
        <f t="shared" si="366"/>
        <v/>
      </c>
      <c r="PG117" s="43" t="str">
        <f t="shared" si="367"/>
        <v/>
      </c>
      <c r="PH117" s="43" t="str">
        <f t="shared" si="368"/>
        <v/>
      </c>
      <c r="PI117" s="43" t="str">
        <f t="shared" si="369"/>
        <v>Menor</v>
      </c>
      <c r="PJ117" s="43" t="str">
        <f t="shared" si="370"/>
        <v>NORMAL</v>
      </c>
      <c r="PK117" s="43" t="str">
        <f t="shared" si="371"/>
        <v/>
      </c>
      <c r="PL117" s="43" t="str">
        <f t="shared" si="372"/>
        <v/>
      </c>
      <c r="PM117" s="43" t="str">
        <f t="shared" si="373"/>
        <v/>
      </c>
      <c r="PN117" s="43" t="str">
        <f t="shared" si="374"/>
        <v/>
      </c>
      <c r="PO117" s="43" t="str">
        <f t="shared" si="375"/>
        <v/>
      </c>
      <c r="PP117" s="43" t="str">
        <f t="shared" si="376"/>
        <v/>
      </c>
      <c r="PQ117" s="43" t="str">
        <f t="shared" si="377"/>
        <v/>
      </c>
      <c r="PR117" s="43" t="str">
        <f t="shared" si="378"/>
        <v/>
      </c>
      <c r="PS117" s="43" t="str">
        <f t="shared" si="379"/>
        <v/>
      </c>
      <c r="PT117" s="43" t="str">
        <f t="shared" si="380"/>
        <v/>
      </c>
      <c r="PU117" s="43" t="str">
        <f t="shared" si="381"/>
        <v/>
      </c>
      <c r="PV117" s="43" t="str">
        <f t="shared" si="382"/>
        <v/>
      </c>
      <c r="PW117" s="43" t="str">
        <f t="shared" si="383"/>
        <v/>
      </c>
      <c r="PX117" s="43" t="str">
        <f t="shared" si="384"/>
        <v/>
      </c>
      <c r="PY117" s="43" t="str">
        <f t="shared" si="385"/>
        <v/>
      </c>
      <c r="PZ117" s="43" t="str">
        <f t="shared" si="386"/>
        <v/>
      </c>
      <c r="QA117" s="43" t="str">
        <f t="shared" si="387"/>
        <v/>
      </c>
      <c r="QB117" s="43" t="str">
        <f t="shared" si="388"/>
        <v/>
      </c>
      <c r="QC117" s="43" t="str">
        <f t="shared" si="389"/>
        <v/>
      </c>
      <c r="QD117" s="43" t="str">
        <f t="shared" si="390"/>
        <v/>
      </c>
      <c r="QE117" s="43" t="str">
        <f t="shared" si="391"/>
        <v/>
      </c>
      <c r="QF117" s="43" t="str">
        <f t="shared" si="392"/>
        <v/>
      </c>
      <c r="QG117" s="43" t="str">
        <f t="shared" si="393"/>
        <v/>
      </c>
      <c r="QH117" s="43" t="str">
        <f t="shared" si="394"/>
        <v/>
      </c>
      <c r="QI117" s="43" t="str">
        <f t="shared" si="395"/>
        <v/>
      </c>
      <c r="QJ117" s="43" t="str">
        <f t="shared" si="396"/>
        <v/>
      </c>
      <c r="QK117" s="43" t="str">
        <f t="shared" si="397"/>
        <v/>
      </c>
      <c r="QL117" s="43" t="str">
        <f t="shared" si="398"/>
        <v/>
      </c>
      <c r="QM117" s="43" t="str">
        <f t="shared" si="399"/>
        <v/>
      </c>
      <c r="QN117" s="43" t="str">
        <f t="shared" si="400"/>
        <v/>
      </c>
      <c r="QO117" s="43" t="str">
        <f t="shared" si="401"/>
        <v/>
      </c>
      <c r="QP117" s="43" t="str">
        <f t="shared" si="402"/>
        <v/>
      </c>
      <c r="QQ117" s="43" t="str">
        <f t="shared" si="403"/>
        <v/>
      </c>
      <c r="QR117" s="43" t="str">
        <f t="shared" si="433"/>
        <v>Menor</v>
      </c>
      <c r="QS117" s="43"/>
      <c r="QT117" s="21" t="str">
        <f t="shared" si="404"/>
        <v/>
      </c>
      <c r="QU117" s="21" t="str">
        <f t="shared" si="405"/>
        <v/>
      </c>
      <c r="QV117" s="21" t="str">
        <f t="shared" si="406"/>
        <v/>
      </c>
      <c r="QW117" s="21" t="str">
        <f t="shared" si="407"/>
        <v/>
      </c>
      <c r="QX117" s="21" t="str">
        <f t="shared" si="408"/>
        <v/>
      </c>
      <c r="QY117" s="21" t="str">
        <f t="shared" si="409"/>
        <v/>
      </c>
      <c r="QZ117" s="21" t="str">
        <f t="shared" si="410"/>
        <v/>
      </c>
      <c r="RA117" s="21" t="str">
        <f t="shared" si="411"/>
        <v/>
      </c>
      <c r="RB117" s="21" t="str">
        <f t="shared" si="412"/>
        <v/>
      </c>
      <c r="RC117" s="21" t="str">
        <f t="shared" si="413"/>
        <v/>
      </c>
      <c r="RD117" s="21" t="str">
        <f t="shared" si="414"/>
        <v/>
      </c>
      <c r="RE117" s="21" t="str">
        <f t="shared" si="415"/>
        <v/>
      </c>
      <c r="RF117" s="21" t="str">
        <f t="shared" si="416"/>
        <v/>
      </c>
      <c r="RG117" s="21" t="str">
        <f t="shared" si="417"/>
        <v/>
      </c>
      <c r="RH117" s="21" t="str">
        <f t="shared" si="418"/>
        <v/>
      </c>
      <c r="RI117" s="21" t="str">
        <f t="shared" si="419"/>
        <v/>
      </c>
      <c r="RJ117" s="21" t="str">
        <f t="shared" si="420"/>
        <v/>
      </c>
      <c r="RK117" s="21" t="str">
        <f t="shared" si="421"/>
        <v/>
      </c>
      <c r="RL117" s="21" t="str">
        <f t="shared" si="422"/>
        <v/>
      </c>
      <c r="RM117" s="21" t="str">
        <f t="shared" si="423"/>
        <v/>
      </c>
      <c r="RN117" s="21" t="str">
        <f t="shared" si="424"/>
        <v/>
      </c>
      <c r="RO117" s="21" t="str">
        <f t="shared" si="425"/>
        <v/>
      </c>
      <c r="RP117" s="21" t="str">
        <f t="shared" si="426"/>
        <v/>
      </c>
      <c r="RQ117" s="21" t="str">
        <f t="shared" si="427"/>
        <v/>
      </c>
      <c r="RR117" s="21" t="str">
        <f t="shared" si="428"/>
        <v/>
      </c>
      <c r="RS117" s="21" t="str">
        <f t="shared" si="429"/>
        <v/>
      </c>
      <c r="RT117" s="21" t="str">
        <f t="shared" si="430"/>
        <v/>
      </c>
      <c r="RU117" s="21" t="str">
        <f t="shared" si="431"/>
        <v/>
      </c>
      <c r="RV117" s="21">
        <f t="shared" si="432"/>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4"/>
        <v>x</v>
      </c>
    </row>
    <row r="118" spans="1:493" s="338" customFormat="1"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22.027397260273972</v>
      </c>
      <c r="O118" s="305">
        <v>44986</v>
      </c>
      <c r="P118" s="307" t="str">
        <f t="shared" si="438"/>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7"/>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9"/>
        <v>CONCERTAR PLAN DE PARTO INMEDIATO</v>
      </c>
      <c r="DV118" s="324" t="str">
        <f t="shared" si="440"/>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1"/>
        <v>TOMA DE HEMOGLOBINA TARDÍA</v>
      </c>
      <c r="EU118" s="319" t="str">
        <f t="shared" si="275"/>
        <v/>
      </c>
      <c r="EV118" s="310"/>
      <c r="EW118" s="310"/>
      <c r="EX118" s="305"/>
      <c r="EY118" s="326" t="str">
        <f t="shared" si="454"/>
        <v>TOMAR EXAMEN</v>
      </c>
      <c r="EZ118" s="319" t="str">
        <f t="shared" ca="1" si="455"/>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2"/>
        <v>PIERDE TOMA DE TAMIZAJE</v>
      </c>
      <c r="FP118" s="305"/>
      <c r="FQ118" s="328"/>
      <c r="FR118" s="326" t="str">
        <f t="shared" ca="1" si="443"/>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3"/>
        <v>NO APLICA-INGRESO TARDIO</v>
      </c>
      <c r="GB118" s="305"/>
      <c r="GC118" s="305"/>
      <c r="GD118" s="326" t="str">
        <f t="shared" ca="1" si="491"/>
        <v>PIERDE TOMA DE TAMIZAJE</v>
      </c>
      <c r="GE118" s="305"/>
      <c r="GF118" s="305"/>
      <c r="GG118" s="326" t="str">
        <f t="shared" ca="1" si="445"/>
        <v>TOMA INMEDIATA DE TAMIZAJE</v>
      </c>
      <c r="GH118" s="305"/>
      <c r="GI118" s="326"/>
      <c r="GJ118" s="305"/>
      <c r="GK118" s="305"/>
      <c r="GL118" s="305"/>
      <c r="GM118" s="305"/>
      <c r="GN118" s="320"/>
      <c r="GO118" s="305"/>
      <c r="GP118" s="326" t="str">
        <f t="shared" si="283"/>
        <v>TOMAR EXAMEN</v>
      </c>
      <c r="GQ118" s="320"/>
      <c r="GR118" s="320"/>
      <c r="GS118" s="305" t="str">
        <f t="shared" si="458"/>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t="str">
        <f t="shared" ca="1" si="289"/>
        <v>***************************************</v>
      </c>
      <c r="HK118" s="309" t="str">
        <f t="shared" si="290"/>
        <v>SIN ANTECEDENTES DE RIESGO</v>
      </c>
      <c r="HL118" s="310" t="str">
        <f t="shared" si="291"/>
        <v>REGISTRE DATO PRESIÓN ARTERIAL MENSUAL</v>
      </c>
      <c r="HM118" s="309" t="e">
        <f t="shared" ca="1" si="292"/>
        <v>#REF!</v>
      </c>
      <c r="HN118" s="329" t="str">
        <f t="shared" si="446"/>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3"/>
        <v>21.571428571428573</v>
      </c>
      <c r="IA118" s="308"/>
      <c r="IB118" s="308"/>
      <c r="IC118" s="330"/>
      <c r="ID118" s="305">
        <v>45006</v>
      </c>
      <c r="IE118" s="305" t="str">
        <f t="shared" ca="1" si="294"/>
        <v>VACUNA APLICADA ENTRE SEMANA 20 Y SEMANA 26</v>
      </c>
      <c r="IF118" s="305"/>
      <c r="IG118" s="305">
        <f t="shared" si="295"/>
        <v>45115</v>
      </c>
      <c r="IH118" s="326">
        <f t="shared" ca="1" si="296"/>
        <v>-117</v>
      </c>
      <c r="II118" s="305" t="str">
        <f t="shared" ca="1" si="297"/>
        <v>POSIBLEMENTE NACIO</v>
      </c>
      <c r="IJ118" s="305"/>
      <c r="IK118" s="309"/>
      <c r="IL118" s="309"/>
      <c r="IM118" s="331"/>
      <c r="IN118" s="350"/>
      <c r="IO118" s="309"/>
      <c r="IP118" s="326" t="str">
        <f t="shared" si="490"/>
        <v/>
      </c>
      <c r="IQ118" s="332"/>
      <c r="IR118" s="309"/>
      <c r="IS118" s="309"/>
      <c r="IT118" s="309"/>
      <c r="IU118" s="309"/>
      <c r="IV118" s="309"/>
      <c r="IW118" s="309"/>
      <c r="IX118" s="309"/>
      <c r="IY118" s="309"/>
      <c r="IZ118" s="309"/>
      <c r="JA118" s="309"/>
      <c r="JB118" s="329"/>
      <c r="JC118" s="309"/>
      <c r="JD118" s="333"/>
      <c r="JE118" s="309" t="str">
        <f t="shared" si="492"/>
        <v/>
      </c>
      <c r="JF118" s="329"/>
      <c r="JG118" s="309"/>
      <c r="JH118" s="309"/>
      <c r="JI118" s="309"/>
      <c r="JJ118" s="329"/>
      <c r="JK118" s="305"/>
      <c r="JL118" s="305"/>
      <c r="JM118" s="309"/>
      <c r="JN118" s="333"/>
      <c r="JO118" s="309" t="str">
        <f t="shared" si="493"/>
        <v/>
      </c>
      <c r="JP118" s="305"/>
      <c r="JQ118" s="309"/>
      <c r="JR118" s="309"/>
      <c r="JS118" s="309"/>
      <c r="JT118" s="329"/>
      <c r="JU118" s="305"/>
      <c r="JV118" s="305"/>
      <c r="JW118" s="334"/>
      <c r="JX118" s="320" t="str">
        <f t="shared" si="494"/>
        <v/>
      </c>
      <c r="JY118" s="334"/>
      <c r="JZ118" s="320" t="str">
        <f t="shared" si="495"/>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9"/>
        <v>0</v>
      </c>
      <c r="MI118" s="43" t="str">
        <f t="shared" si="460"/>
        <v/>
      </c>
      <c r="MJ118" s="43" t="str">
        <f t="shared" si="461"/>
        <v/>
      </c>
      <c r="MK118" s="43">
        <f t="shared" si="462"/>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3"/>
        <v>21.571428571428573</v>
      </c>
      <c r="MN118" s="43">
        <f t="shared" si="464"/>
        <v>3</v>
      </c>
      <c r="MO118" s="43">
        <f t="shared" si="465"/>
        <v>2023</v>
      </c>
      <c r="MP118" s="43" t="str">
        <f t="shared" si="466"/>
        <v>I TRIMESTRE AÑO</v>
      </c>
      <c r="MQ118" s="43">
        <f t="shared" si="467"/>
        <v>21.033180026281208</v>
      </c>
      <c r="MR118" s="43">
        <f t="shared" si="468"/>
        <v>0</v>
      </c>
      <c r="MS118" s="43" t="str">
        <f t="shared" si="469"/>
        <v xml:space="preserve"> DE 20 A 24 AÑOS</v>
      </c>
      <c r="MT118" s="43">
        <f t="shared" si="470"/>
        <v>0</v>
      </c>
      <c r="MU118" s="43">
        <f t="shared" si="471"/>
        <v>0</v>
      </c>
      <c r="MV118" s="43">
        <f t="shared" si="472"/>
        <v>0</v>
      </c>
      <c r="MW118" s="43">
        <f t="shared" si="473"/>
        <v>0</v>
      </c>
      <c r="MX118" s="43" t="str">
        <f t="shared" si="474"/>
        <v/>
      </c>
      <c r="MY118" s="43" t="str">
        <f t="shared" ca="1" si="496"/>
        <v/>
      </c>
      <c r="MZ118" s="43" t="str">
        <f t="shared" si="475"/>
        <v/>
      </c>
      <c r="NA118" s="43" t="str">
        <f t="shared" si="476"/>
        <v/>
      </c>
      <c r="NB118" s="43" t="str">
        <f t="shared" si="477"/>
        <v/>
      </c>
      <c r="NC118" s="43" t="str">
        <f t="shared" si="478"/>
        <v/>
      </c>
      <c r="ND118" s="43">
        <f t="shared" ca="1" si="479"/>
        <v>0</v>
      </c>
      <c r="NE118" s="43">
        <f>IF(OR(O118&gt;0,R118&gt;0),SUM(COUNTIF(Tabla1[[#This Row],[AÑOS AL INICIO5 CPN]],"&gt;=40"),COUNTIF(AS118,"0"),COUNTIF(AR118,"SI"),COUNTIF(CC118,"SI"),COUNTIF(BQ118,"&gt;119"),COUNTIF(CI118,"&gt;=35")),"")</f>
        <v>0</v>
      </c>
      <c r="NF118" s="43">
        <f t="shared" si="480"/>
        <v>24.428571428571427</v>
      </c>
      <c r="NG118" s="43">
        <f t="shared" si="481"/>
        <v>0</v>
      </c>
      <c r="NH118" s="43" t="str">
        <f t="shared" si="482"/>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3"/>
        <v>X</v>
      </c>
      <c r="NM118" s="43" t="str">
        <f t="shared" si="456"/>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4"/>
        <v>II TRIM</v>
      </c>
      <c r="NQ118" s="21" t="str">
        <f t="shared" si="437"/>
        <v/>
      </c>
      <c r="NR118" s="21" t="str">
        <f t="shared" ca="1" si="497"/>
        <v>REVISAR FUM O FECHA SALIDA PROGRAMA</v>
      </c>
      <c r="NS118" s="205">
        <f t="shared" ca="1" si="485"/>
        <v>0</v>
      </c>
      <c r="NT118" s="21">
        <f t="shared" ca="1" si="486"/>
        <v>0</v>
      </c>
      <c r="NU118" s="21" t="str">
        <f t="shared" ca="1" si="487"/>
        <v>POR DEFINIR</v>
      </c>
      <c r="NV118" s="21" t="str">
        <f t="shared" ca="1" si="488"/>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9"/>
        <v>VACUNADA</v>
      </c>
      <c r="NY118" s="43">
        <f>ROW(Tabla1[[#This Row],['# DE TAMIZAJES SIFILIS TOMADOS ]])</f>
        <v>118</v>
      </c>
      <c r="NZ118" s="43">
        <f t="shared" si="334"/>
        <v>21</v>
      </c>
      <c r="OA118" s="43" t="str">
        <f t="shared" si="335"/>
        <v/>
      </c>
      <c r="OB118" s="43" t="str">
        <f t="shared" si="336"/>
        <v/>
      </c>
      <c r="OC118" s="43" t="str">
        <f t="shared" si="337"/>
        <v/>
      </c>
      <c r="OD118" s="43" t="str">
        <f t="shared" si="338"/>
        <v/>
      </c>
      <c r="OE118" s="43" t="str">
        <f t="shared" si="339"/>
        <v/>
      </c>
      <c r="OF118" s="43" t="str">
        <f t="shared" si="340"/>
        <v/>
      </c>
      <c r="OG118" s="43" t="str">
        <f t="shared" si="341"/>
        <v/>
      </c>
      <c r="OH118" s="43" t="str">
        <f t="shared" si="342"/>
        <v/>
      </c>
      <c r="OI118" s="43" t="str">
        <f t="shared" si="343"/>
        <v/>
      </c>
      <c r="OJ118" s="43" t="str">
        <f t="shared" si="344"/>
        <v/>
      </c>
      <c r="OK118" s="43" t="str">
        <f t="shared" si="345"/>
        <v/>
      </c>
      <c r="OL118" s="43" t="str">
        <f t="shared" si="346"/>
        <v/>
      </c>
      <c r="OM118" s="43" t="str">
        <f t="shared" si="347"/>
        <v>SOBREPESO</v>
      </c>
      <c r="ON118" s="43" t="str">
        <f t="shared" si="348"/>
        <v/>
      </c>
      <c r="OO118" s="43" t="str">
        <f t="shared" si="349"/>
        <v/>
      </c>
      <c r="OP118" s="43" t="str">
        <f t="shared" si="350"/>
        <v/>
      </c>
      <c r="OQ118" s="43" t="str">
        <f t="shared" si="351"/>
        <v/>
      </c>
      <c r="OR118" s="43" t="str">
        <f t="shared" si="352"/>
        <v/>
      </c>
      <c r="OS118" s="43" t="str">
        <f t="shared" si="353"/>
        <v/>
      </c>
      <c r="OT118" s="43" t="str">
        <f t="shared" si="354"/>
        <v/>
      </c>
      <c r="OU118" s="43" t="str">
        <f t="shared" si="355"/>
        <v/>
      </c>
      <c r="OV118" s="110" t="str">
        <f t="shared" si="356"/>
        <v/>
      </c>
      <c r="OW118" s="43" t="str">
        <f t="shared" si="357"/>
        <v/>
      </c>
      <c r="OX118" s="43" t="str">
        <f t="shared" si="358"/>
        <v/>
      </c>
      <c r="OY118" s="43" t="str">
        <f t="shared" si="359"/>
        <v/>
      </c>
      <c r="OZ118" s="43" t="str">
        <f t="shared" si="360"/>
        <v/>
      </c>
      <c r="PA118" s="43" t="str">
        <f t="shared" si="361"/>
        <v/>
      </c>
      <c r="PB118" s="43" t="str">
        <f t="shared" si="362"/>
        <v/>
      </c>
      <c r="PC118" s="43" t="str">
        <f t="shared" si="363"/>
        <v/>
      </c>
      <c r="PD118" s="43" t="str">
        <f t="shared" si="364"/>
        <v/>
      </c>
      <c r="PE118" s="43" t="str">
        <f t="shared" si="365"/>
        <v/>
      </c>
      <c r="PF118" s="43" t="str">
        <f t="shared" si="366"/>
        <v/>
      </c>
      <c r="PG118" s="43" t="str">
        <f t="shared" si="367"/>
        <v/>
      </c>
      <c r="PH118" s="43" t="str">
        <f t="shared" si="368"/>
        <v/>
      </c>
      <c r="PI118" s="43">
        <f t="shared" si="369"/>
        <v>30</v>
      </c>
      <c r="PJ118" s="43" t="str">
        <f t="shared" si="370"/>
        <v/>
      </c>
      <c r="PK118" s="43" t="str">
        <f t="shared" si="371"/>
        <v/>
      </c>
      <c r="PL118" s="43" t="str">
        <f t="shared" si="372"/>
        <v/>
      </c>
      <c r="PM118" s="43" t="str">
        <f t="shared" si="373"/>
        <v/>
      </c>
      <c r="PN118" s="43" t="str">
        <f t="shared" si="374"/>
        <v/>
      </c>
      <c r="PO118" s="43" t="str">
        <f t="shared" si="375"/>
        <v/>
      </c>
      <c r="PP118" s="43" t="str">
        <f t="shared" si="376"/>
        <v/>
      </c>
      <c r="PQ118" s="43" t="str">
        <f t="shared" si="377"/>
        <v/>
      </c>
      <c r="PR118" s="43" t="str">
        <f t="shared" si="378"/>
        <v/>
      </c>
      <c r="PS118" s="43" t="str">
        <f t="shared" si="379"/>
        <v/>
      </c>
      <c r="PT118" s="43" t="str">
        <f t="shared" si="380"/>
        <v/>
      </c>
      <c r="PU118" s="43" t="str">
        <f t="shared" si="381"/>
        <v/>
      </c>
      <c r="PV118" s="43" t="str">
        <f t="shared" si="382"/>
        <v/>
      </c>
      <c r="PW118" s="43" t="str">
        <f t="shared" si="383"/>
        <v/>
      </c>
      <c r="PX118" s="43" t="str">
        <f t="shared" si="384"/>
        <v/>
      </c>
      <c r="PY118" s="43" t="str">
        <f t="shared" si="385"/>
        <v/>
      </c>
      <c r="PZ118" s="43" t="str">
        <f t="shared" si="386"/>
        <v/>
      </c>
      <c r="QA118" s="43" t="str">
        <f t="shared" si="387"/>
        <v/>
      </c>
      <c r="QB118" s="43" t="str">
        <f t="shared" si="388"/>
        <v/>
      </c>
      <c r="QC118" s="43" t="str">
        <f t="shared" si="389"/>
        <v/>
      </c>
      <c r="QD118" s="43" t="str">
        <f t="shared" si="390"/>
        <v/>
      </c>
      <c r="QE118" s="43" t="str">
        <f t="shared" si="391"/>
        <v>SOBREPESO</v>
      </c>
      <c r="QF118" s="43" t="str">
        <f t="shared" si="392"/>
        <v/>
      </c>
      <c r="QG118" s="43" t="str">
        <f t="shared" si="393"/>
        <v/>
      </c>
      <c r="QH118" s="43" t="str">
        <f t="shared" si="394"/>
        <v/>
      </c>
      <c r="QI118" s="43" t="str">
        <f t="shared" si="395"/>
        <v/>
      </c>
      <c r="QJ118" s="43" t="str">
        <f t="shared" si="396"/>
        <v/>
      </c>
      <c r="QK118" s="43" t="str">
        <f t="shared" si="397"/>
        <v/>
      </c>
      <c r="QL118" s="43" t="str">
        <f t="shared" si="398"/>
        <v/>
      </c>
      <c r="QM118" s="43" t="str">
        <f t="shared" si="399"/>
        <v/>
      </c>
      <c r="QN118" s="43" t="str">
        <f t="shared" si="400"/>
        <v/>
      </c>
      <c r="QO118" s="43" t="str">
        <f t="shared" si="401"/>
        <v/>
      </c>
      <c r="QP118" s="43" t="str">
        <f t="shared" si="402"/>
        <v/>
      </c>
      <c r="QQ118" s="43" t="str">
        <f t="shared" si="403"/>
        <v/>
      </c>
      <c r="QR118" s="43">
        <f t="shared" si="433"/>
        <v>30</v>
      </c>
      <c r="QS118" s="43"/>
      <c r="QT118" s="21" t="str">
        <f t="shared" si="404"/>
        <v/>
      </c>
      <c r="QU118" s="21" t="str">
        <f t="shared" si="405"/>
        <v/>
      </c>
      <c r="QV118" s="21" t="str">
        <f t="shared" si="406"/>
        <v/>
      </c>
      <c r="QW118" s="21" t="str">
        <f t="shared" si="407"/>
        <v/>
      </c>
      <c r="QX118" s="21" t="str">
        <f t="shared" si="408"/>
        <v/>
      </c>
      <c r="QY118" s="21" t="str">
        <f t="shared" si="409"/>
        <v/>
      </c>
      <c r="QZ118" s="21" t="str">
        <f t="shared" si="410"/>
        <v/>
      </c>
      <c r="RA118" s="21" t="str">
        <f t="shared" si="411"/>
        <v/>
      </c>
      <c r="RB118" s="21" t="str">
        <f t="shared" si="412"/>
        <v/>
      </c>
      <c r="RC118" s="21" t="str">
        <f t="shared" si="413"/>
        <v/>
      </c>
      <c r="RD118" s="21" t="str">
        <f t="shared" si="414"/>
        <v/>
      </c>
      <c r="RE118" s="21" t="str">
        <f t="shared" si="415"/>
        <v/>
      </c>
      <c r="RF118" s="21" t="str">
        <f t="shared" si="416"/>
        <v/>
      </c>
      <c r="RG118" s="21" t="str">
        <f t="shared" si="417"/>
        <v/>
      </c>
      <c r="RH118" s="21" t="str">
        <f t="shared" si="418"/>
        <v/>
      </c>
      <c r="RI118" s="21" t="str">
        <f t="shared" si="419"/>
        <v/>
      </c>
      <c r="RJ118" s="21" t="str">
        <f t="shared" si="420"/>
        <v/>
      </c>
      <c r="RK118" s="21" t="str">
        <f t="shared" si="421"/>
        <v>ADECUADO PARA EDAD GESTACIONAL</v>
      </c>
      <c r="RL118" s="21" t="str">
        <f t="shared" si="422"/>
        <v/>
      </c>
      <c r="RM118" s="21" t="str">
        <f t="shared" si="423"/>
        <v/>
      </c>
      <c r="RN118" s="21" t="str">
        <f t="shared" si="424"/>
        <v/>
      </c>
      <c r="RO118" s="21" t="str">
        <f t="shared" si="425"/>
        <v/>
      </c>
      <c r="RP118" s="21" t="str">
        <f t="shared" si="426"/>
        <v/>
      </c>
      <c r="RQ118" s="21" t="str">
        <f t="shared" si="427"/>
        <v/>
      </c>
      <c r="RR118" s="21" t="str">
        <f t="shared" si="428"/>
        <v/>
      </c>
      <c r="RS118" s="21" t="str">
        <f t="shared" si="429"/>
        <v/>
      </c>
      <c r="RT118" s="21" t="str">
        <f t="shared" si="430"/>
        <v/>
      </c>
      <c r="RU118" s="21" t="str">
        <f t="shared" si="431"/>
        <v/>
      </c>
      <c r="RV118" s="21">
        <f t="shared" si="432"/>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4"/>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42.936986301369863</v>
      </c>
      <c r="O119" s="22">
        <v>44987</v>
      </c>
      <c r="P119" s="214" t="str">
        <f t="shared" si="438"/>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7"/>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9"/>
        <v>SALE SIN PLAN DE PARTO</v>
      </c>
      <c r="DV119" s="226" t="str">
        <f t="shared" si="440"/>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1"/>
        <v>SALE SIN TAMIZAJE HEMOGLOBINA SEM 28</v>
      </c>
      <c r="EU119" s="25" t="str">
        <f t="shared" si="275"/>
        <v/>
      </c>
      <c r="EV119" s="24" t="s">
        <v>866</v>
      </c>
      <c r="EW119" s="24">
        <v>44989</v>
      </c>
      <c r="EX119" s="22"/>
      <c r="EY119" s="29">
        <f t="shared" si="454"/>
        <v>36.714285714285715</v>
      </c>
      <c r="EZ119" s="25" t="str">
        <f t="shared" ca="1" si="455"/>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2"/>
        <v>NO APLICA-INGRESO TARDIO</v>
      </c>
      <c r="FP119" s="22"/>
      <c r="FQ119" s="32"/>
      <c r="FR119" s="29" t="str">
        <f t="shared" ca="1" si="443"/>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3"/>
        <v>REGISTRAR EN III TRIMESTRE</v>
      </c>
      <c r="GB119" s="22"/>
      <c r="GC119" s="22"/>
      <c r="GD119" s="29" t="str">
        <f t="shared" ca="1" si="491"/>
        <v>NO APLICA-INGRESO TARDIO</v>
      </c>
      <c r="GE119" s="22"/>
      <c r="GF119" s="22"/>
      <c r="GG119" s="29" t="str">
        <f t="shared" ca="1" si="445"/>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8"/>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t="str">
        <f t="shared" ca="1" si="289"/>
        <v>*********************MULTIPARIDAD***RIESGO POR EDAD***************</v>
      </c>
      <c r="HK119" s="21" t="str">
        <f t="shared" si="290"/>
        <v>SIN ANTECEDENTES DE RIESGO</v>
      </c>
      <c r="HL119" s="24" t="str">
        <f t="shared" si="291"/>
        <v>REGISTRE DATO PRESIÓN ARTERIAL MENSUAL</v>
      </c>
      <c r="HM119" s="21" t="str">
        <f t="shared" ca="1" si="292"/>
        <v/>
      </c>
      <c r="HN119" s="30" t="str">
        <f t="shared" si="446"/>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3"/>
        <v>36.428571428571431</v>
      </c>
      <c r="IA119" s="26"/>
      <c r="IB119" s="26"/>
      <c r="IC119" s="111"/>
      <c r="ID119" s="22"/>
      <c r="IE119" s="22" t="str">
        <f t="shared" ca="1" si="294"/>
        <v>SALE SIN VACUNA</v>
      </c>
      <c r="IF119" s="22"/>
      <c r="IG119" s="22">
        <f t="shared" si="295"/>
        <v>45012</v>
      </c>
      <c r="IH119" s="29">
        <f t="shared" ca="1" si="296"/>
        <v>-220</v>
      </c>
      <c r="II119" s="22" t="str">
        <f t="shared" ca="1" si="297"/>
        <v>POSIBLEMENTE NACIO</v>
      </c>
      <c r="IJ119" s="22"/>
      <c r="IK119" s="21" t="s">
        <v>898</v>
      </c>
      <c r="IL119" s="21"/>
      <c r="IM119" s="34"/>
      <c r="IN119" s="349">
        <v>45008</v>
      </c>
      <c r="IO119" s="21" t="s">
        <v>1640</v>
      </c>
      <c r="IP119" s="29">
        <f t="shared" si="490"/>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2"/>
        <v>PESO ADECUADO EDAD GESTACIONAL</v>
      </c>
      <c r="JF119" s="30"/>
      <c r="JG119" s="21"/>
      <c r="JH119" s="21"/>
      <c r="JI119" s="21"/>
      <c r="JJ119" s="30"/>
      <c r="JK119" s="22"/>
      <c r="JL119" s="22"/>
      <c r="JM119" s="21"/>
      <c r="JN119" s="36"/>
      <c r="JO119" s="21" t="str">
        <f t="shared" si="493"/>
        <v/>
      </c>
      <c r="JP119" s="22"/>
      <c r="JQ119" s="21"/>
      <c r="JR119" s="21"/>
      <c r="JS119" s="21"/>
      <c r="JT119" s="30"/>
      <c r="JU119" s="22"/>
      <c r="JV119" s="22"/>
      <c r="JW119" s="33"/>
      <c r="JX119" s="28" t="str">
        <f t="shared" si="494"/>
        <v>INASISTENTE</v>
      </c>
      <c r="JY119" s="33"/>
      <c r="JZ119" s="28" t="str">
        <f t="shared" si="495"/>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9"/>
        <v>0</v>
      </c>
      <c r="MI119" s="43" t="str">
        <f t="shared" si="460"/>
        <v/>
      </c>
      <c r="MJ119" s="43" t="str">
        <f t="shared" si="461"/>
        <v/>
      </c>
      <c r="MK119" s="43">
        <f t="shared" si="462"/>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3"/>
        <v>36.428571428571431</v>
      </c>
      <c r="MN119" s="43">
        <f t="shared" si="464"/>
        <v>3</v>
      </c>
      <c r="MO119" s="43">
        <f t="shared" si="465"/>
        <v>2023</v>
      </c>
      <c r="MP119" s="43" t="str">
        <f t="shared" si="466"/>
        <v>I TRIMESTRE AÑO</v>
      </c>
      <c r="MQ119" s="43">
        <f t="shared" si="467"/>
        <v>41.631077529566362</v>
      </c>
      <c r="MR119" s="43">
        <f t="shared" si="468"/>
        <v>2</v>
      </c>
      <c r="MS119" s="43" t="str">
        <f t="shared" si="469"/>
        <v xml:space="preserve"> DE 40 Y MAS</v>
      </c>
      <c r="MT119" s="43">
        <f t="shared" si="470"/>
        <v>0</v>
      </c>
      <c r="MU119" s="43">
        <f t="shared" si="471"/>
        <v>2</v>
      </c>
      <c r="MV119" s="43">
        <f t="shared" si="472"/>
        <v>0</v>
      </c>
      <c r="MW119" s="43">
        <f t="shared" si="473"/>
        <v>0</v>
      </c>
      <c r="MX119" s="43" t="str">
        <f t="shared" si="474"/>
        <v/>
      </c>
      <c r="MY119" s="43" t="str">
        <f t="shared" ca="1" si="496"/>
        <v/>
      </c>
      <c r="MZ119" s="43" t="str">
        <f t="shared" si="475"/>
        <v/>
      </c>
      <c r="NA119" s="43" t="str">
        <f t="shared" si="476"/>
        <v/>
      </c>
      <c r="NB119" s="43" t="str">
        <f t="shared" si="477"/>
        <v/>
      </c>
      <c r="NC119" s="43" t="str">
        <f t="shared" si="478"/>
        <v/>
      </c>
      <c r="ND119" s="43">
        <f t="shared" ca="1" si="479"/>
        <v>4</v>
      </c>
      <c r="NE119" s="43">
        <f>IF(OR(O119&gt;0,R119&gt;0),SUM(COUNTIF(Tabla1[[#This Row],[AÑOS AL INICIO5 CPN]],"&gt;=40"),COUNTIF(AS119,"0"),COUNTIF(AR119,"SI"),COUNTIF(CC119,"SI"),COUNTIF(BQ119,"&gt;119"),COUNTIF(CI119,"&gt;=35")),"")</f>
        <v>1</v>
      </c>
      <c r="NF119" s="43" t="str">
        <f t="shared" si="480"/>
        <v/>
      </c>
      <c r="NG119" s="43">
        <f t="shared" si="481"/>
        <v>0</v>
      </c>
      <c r="NH119" s="43" t="str">
        <f t="shared" si="482"/>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3"/>
        <v>X</v>
      </c>
      <c r="NM119" s="43" t="str">
        <f t="shared" si="456"/>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4"/>
        <v>III TRIM</v>
      </c>
      <c r="NQ119" s="21" t="str">
        <f t="shared" si="437"/>
        <v/>
      </c>
      <c r="NR119" s="21">
        <f t="shared" si="497"/>
        <v>1</v>
      </c>
      <c r="NS119" s="205">
        <f t="shared" ca="1" si="485"/>
        <v>0</v>
      </c>
      <c r="NT119" s="21">
        <f t="shared" ca="1" si="486"/>
        <v>0</v>
      </c>
      <c r="NU119" s="21" t="str">
        <f t="shared" ca="1" si="487"/>
        <v>INCOMPLETO</v>
      </c>
      <c r="NV119" s="21" t="str">
        <f t="shared" ca="1" si="488"/>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9"/>
        <v>SIN VACUNAR</v>
      </c>
      <c r="NY119" s="43">
        <f>ROW(Tabla1[[#This Row],['# DE TAMIZAJES SIFILIS TOMADOS ]])</f>
        <v>119</v>
      </c>
      <c r="NZ119" s="43">
        <f t="shared" si="334"/>
        <v>36</v>
      </c>
      <c r="OA119" s="43" t="str">
        <f t="shared" si="335"/>
        <v/>
      </c>
      <c r="OB119" s="43" t="str">
        <f t="shared" si="336"/>
        <v/>
      </c>
      <c r="OC119" s="43" t="str">
        <f t="shared" si="337"/>
        <v/>
      </c>
      <c r="OD119" s="43" t="str">
        <f t="shared" si="338"/>
        <v/>
      </c>
      <c r="OE119" s="43" t="str">
        <f t="shared" si="339"/>
        <v/>
      </c>
      <c r="OF119" s="43" t="str">
        <f t="shared" si="340"/>
        <v/>
      </c>
      <c r="OG119" s="43" t="str">
        <f t="shared" si="341"/>
        <v/>
      </c>
      <c r="OH119" s="43" t="str">
        <f t="shared" si="342"/>
        <v/>
      </c>
      <c r="OI119" s="43" t="str">
        <f t="shared" si="343"/>
        <v/>
      </c>
      <c r="OJ119" s="43" t="str">
        <f t="shared" si="344"/>
        <v/>
      </c>
      <c r="OK119" s="43" t="str">
        <f t="shared" si="345"/>
        <v/>
      </c>
      <c r="OL119" s="43" t="str">
        <f t="shared" si="346"/>
        <v/>
      </c>
      <c r="OM119" s="43" t="str">
        <f t="shared" si="347"/>
        <v/>
      </c>
      <c r="ON119" s="43" t="str">
        <f t="shared" si="348"/>
        <v/>
      </c>
      <c r="OO119" s="43" t="str">
        <f t="shared" si="349"/>
        <v/>
      </c>
      <c r="OP119" s="43" t="str">
        <f t="shared" si="350"/>
        <v/>
      </c>
      <c r="OQ119" s="43" t="str">
        <f t="shared" si="351"/>
        <v/>
      </c>
      <c r="OR119" s="43" t="str">
        <f t="shared" si="352"/>
        <v/>
      </c>
      <c r="OS119" s="43" t="str">
        <f t="shared" si="353"/>
        <v/>
      </c>
      <c r="OT119" s="43" t="str">
        <f t="shared" si="354"/>
        <v/>
      </c>
      <c r="OU119" s="43" t="str">
        <f t="shared" si="355"/>
        <v/>
      </c>
      <c r="OV119" s="110" t="str">
        <f t="shared" si="356"/>
        <v/>
      </c>
      <c r="OW119" s="43" t="str">
        <f t="shared" si="357"/>
        <v/>
      </c>
      <c r="OX119" s="43" t="str">
        <f t="shared" si="358"/>
        <v/>
      </c>
      <c r="OY119" s="43" t="str">
        <f t="shared" si="359"/>
        <v/>
      </c>
      <c r="OZ119" s="43" t="str">
        <f t="shared" si="360"/>
        <v/>
      </c>
      <c r="PA119" s="43" t="str">
        <f t="shared" si="361"/>
        <v/>
      </c>
      <c r="PB119" s="43" t="str">
        <f t="shared" si="362"/>
        <v>NORMAL</v>
      </c>
      <c r="PC119" s="43" t="str">
        <f t="shared" si="363"/>
        <v/>
      </c>
      <c r="PD119" s="43" t="str">
        <f t="shared" si="364"/>
        <v/>
      </c>
      <c r="PE119" s="43" t="str">
        <f t="shared" si="365"/>
        <v/>
      </c>
      <c r="PF119" s="43" t="str">
        <f t="shared" si="366"/>
        <v/>
      </c>
      <c r="PG119" s="43" t="str">
        <f t="shared" si="367"/>
        <v/>
      </c>
      <c r="PH119" s="43" t="str">
        <f t="shared" si="368"/>
        <v/>
      </c>
      <c r="PI119" s="43">
        <f t="shared" si="369"/>
        <v>36</v>
      </c>
      <c r="PJ119" s="43" t="str">
        <f t="shared" si="370"/>
        <v/>
      </c>
      <c r="PK119" s="43" t="str">
        <f t="shared" si="371"/>
        <v/>
      </c>
      <c r="PL119" s="43" t="str">
        <f t="shared" si="372"/>
        <v/>
      </c>
      <c r="PM119" s="43" t="str">
        <f t="shared" si="373"/>
        <v/>
      </c>
      <c r="PN119" s="43" t="str">
        <f t="shared" si="374"/>
        <v/>
      </c>
      <c r="PO119" s="43" t="str">
        <f t="shared" si="375"/>
        <v/>
      </c>
      <c r="PP119" s="43" t="str">
        <f t="shared" si="376"/>
        <v/>
      </c>
      <c r="PQ119" s="43" t="str">
        <f t="shared" si="377"/>
        <v/>
      </c>
      <c r="PR119" s="43" t="str">
        <f t="shared" si="378"/>
        <v/>
      </c>
      <c r="PS119" s="43" t="str">
        <f t="shared" si="379"/>
        <v/>
      </c>
      <c r="PT119" s="43" t="str">
        <f t="shared" si="380"/>
        <v/>
      </c>
      <c r="PU119" s="43" t="str">
        <f t="shared" si="381"/>
        <v/>
      </c>
      <c r="PV119" s="43" t="str">
        <f t="shared" si="382"/>
        <v/>
      </c>
      <c r="PW119" s="43" t="str">
        <f t="shared" si="383"/>
        <v/>
      </c>
      <c r="PX119" s="43" t="str">
        <f t="shared" si="384"/>
        <v/>
      </c>
      <c r="PY119" s="43" t="str">
        <f t="shared" si="385"/>
        <v/>
      </c>
      <c r="PZ119" s="43" t="str">
        <f t="shared" si="386"/>
        <v/>
      </c>
      <c r="QA119" s="43" t="str">
        <f t="shared" si="387"/>
        <v/>
      </c>
      <c r="QB119" s="43" t="str">
        <f t="shared" si="388"/>
        <v/>
      </c>
      <c r="QC119" s="43" t="str">
        <f t="shared" si="389"/>
        <v/>
      </c>
      <c r="QD119" s="43" t="str">
        <f t="shared" si="390"/>
        <v/>
      </c>
      <c r="QE119" s="43" t="str">
        <f t="shared" si="391"/>
        <v/>
      </c>
      <c r="QF119" s="43" t="str">
        <f t="shared" si="392"/>
        <v/>
      </c>
      <c r="QG119" s="43" t="str">
        <f t="shared" si="393"/>
        <v/>
      </c>
      <c r="QH119" s="43" t="str">
        <f t="shared" si="394"/>
        <v/>
      </c>
      <c r="QI119" s="43" t="str">
        <f t="shared" si="395"/>
        <v/>
      </c>
      <c r="QJ119" s="43" t="str">
        <f t="shared" si="396"/>
        <v/>
      </c>
      <c r="QK119" s="43" t="str">
        <f t="shared" si="397"/>
        <v/>
      </c>
      <c r="QL119" s="43" t="str">
        <f t="shared" si="398"/>
        <v/>
      </c>
      <c r="QM119" s="43" t="str">
        <f t="shared" si="399"/>
        <v/>
      </c>
      <c r="QN119" s="43" t="str">
        <f t="shared" si="400"/>
        <v/>
      </c>
      <c r="QO119" s="43" t="str">
        <f t="shared" si="401"/>
        <v/>
      </c>
      <c r="QP119" s="43" t="str">
        <f t="shared" si="402"/>
        <v/>
      </c>
      <c r="QQ119" s="43" t="str">
        <f t="shared" si="403"/>
        <v/>
      </c>
      <c r="QR119" s="43">
        <f t="shared" si="433"/>
        <v>36</v>
      </c>
      <c r="QS119" s="43"/>
      <c r="QT119" s="21" t="str">
        <f t="shared" si="404"/>
        <v/>
      </c>
      <c r="QU119" s="21" t="str">
        <f t="shared" si="405"/>
        <v/>
      </c>
      <c r="QV119" s="21" t="str">
        <f t="shared" si="406"/>
        <v/>
      </c>
      <c r="QW119" s="21" t="str">
        <f t="shared" si="407"/>
        <v/>
      </c>
      <c r="QX119" s="21" t="str">
        <f t="shared" si="408"/>
        <v/>
      </c>
      <c r="QY119" s="21" t="str">
        <f t="shared" si="409"/>
        <v/>
      </c>
      <c r="QZ119" s="21" t="str">
        <f t="shared" si="410"/>
        <v/>
      </c>
      <c r="RA119" s="21" t="str">
        <f t="shared" si="411"/>
        <v/>
      </c>
      <c r="RB119" s="21" t="str">
        <f t="shared" si="412"/>
        <v/>
      </c>
      <c r="RC119" s="21" t="str">
        <f t="shared" si="413"/>
        <v/>
      </c>
      <c r="RD119" s="21" t="str">
        <f t="shared" si="414"/>
        <v/>
      </c>
      <c r="RE119" s="21" t="str">
        <f t="shared" si="415"/>
        <v/>
      </c>
      <c r="RF119" s="21" t="str">
        <f t="shared" si="416"/>
        <v/>
      </c>
      <c r="RG119" s="21" t="str">
        <f t="shared" si="417"/>
        <v/>
      </c>
      <c r="RH119" s="21" t="str">
        <f t="shared" si="418"/>
        <v/>
      </c>
      <c r="RI119" s="21" t="str">
        <f t="shared" si="419"/>
        <v/>
      </c>
      <c r="RJ119" s="21" t="str">
        <f t="shared" si="420"/>
        <v/>
      </c>
      <c r="RK119" s="21" t="str">
        <f t="shared" si="421"/>
        <v/>
      </c>
      <c r="RL119" s="21" t="str">
        <f t="shared" si="422"/>
        <v/>
      </c>
      <c r="RM119" s="21" t="str">
        <f t="shared" si="423"/>
        <v/>
      </c>
      <c r="RN119" s="21" t="str">
        <f t="shared" si="424"/>
        <v/>
      </c>
      <c r="RO119" s="21" t="str">
        <f t="shared" si="425"/>
        <v/>
      </c>
      <c r="RP119" s="21" t="str">
        <f t="shared" si="426"/>
        <v/>
      </c>
      <c r="RQ119" s="21" t="str">
        <f t="shared" si="427"/>
        <v/>
      </c>
      <c r="RR119" s="21" t="str">
        <f t="shared" si="428"/>
        <v/>
      </c>
      <c r="RS119" s="21" t="str">
        <f t="shared" si="429"/>
        <v/>
      </c>
      <c r="RT119" s="21" t="str">
        <f t="shared" si="430"/>
        <v/>
      </c>
      <c r="RU119" s="21" t="str">
        <f t="shared" si="431"/>
        <v/>
      </c>
      <c r="RV119" s="21">
        <f t="shared" si="432"/>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4"/>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26.835616438356166</v>
      </c>
      <c r="O120" s="22">
        <v>44987</v>
      </c>
      <c r="P120" s="214" t="str">
        <f t="shared" si="438"/>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7"/>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9"/>
        <v>SALE SIN PLAN DE PARTO</v>
      </c>
      <c r="DV120" s="226" t="str">
        <f t="shared" si="440"/>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4">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1"/>
        <v>SALE SIN TAMIZAJE HEMOGLOBINA SEM 28</v>
      </c>
      <c r="EU120" s="25" t="str">
        <f t="shared" si="275"/>
        <v/>
      </c>
      <c r="EV120" s="24" t="s">
        <v>866</v>
      </c>
      <c r="EW120" s="24">
        <v>44989</v>
      </c>
      <c r="EX120" s="22"/>
      <c r="EY120" s="29">
        <f t="shared" si="454"/>
        <v>20.571428571428573</v>
      </c>
      <c r="EZ120" s="25" t="str">
        <f t="shared" ca="1" si="455"/>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2"/>
        <v>20.571428571428573</v>
      </c>
      <c r="FP120" s="22"/>
      <c r="FQ120" s="32"/>
      <c r="FR120" s="29" t="str">
        <f t="shared" ca="1" si="443"/>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3"/>
        <v>REGISTRAR EN II TRIMESTRE</v>
      </c>
      <c r="GB120" s="22" t="s">
        <v>868</v>
      </c>
      <c r="GC120" s="22">
        <v>44989</v>
      </c>
      <c r="GD120" s="29">
        <f t="shared" ca="1" si="491"/>
        <v>20.571428571428573</v>
      </c>
      <c r="GE120" s="22"/>
      <c r="GF120" s="22"/>
      <c r="GG120" s="29" t="str">
        <f t="shared" ca="1" si="445"/>
        <v>PIERDE TOMA DE TAMIZAJE</v>
      </c>
      <c r="GH120" s="22"/>
      <c r="GI120" s="29"/>
      <c r="GJ120" s="22"/>
      <c r="GK120" s="22"/>
      <c r="GL120" s="22"/>
      <c r="GM120" s="22"/>
      <c r="GN120" s="28"/>
      <c r="GO120" s="22"/>
      <c r="GP120" s="29" t="str">
        <f t="shared" si="283"/>
        <v>TOMAR EXAMEN</v>
      </c>
      <c r="GQ120" s="28">
        <v>44989</v>
      </c>
      <c r="GR120" s="28" t="s">
        <v>869</v>
      </c>
      <c r="GS120" s="22" t="str">
        <f t="shared" si="458"/>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t="str">
        <f t="shared" ca="1" si="289"/>
        <v>***************************************</v>
      </c>
      <c r="HK120" s="21" t="str">
        <f t="shared" si="290"/>
        <v>SIN ANTECEDENTES DE RIESGO</v>
      </c>
      <c r="HL120" s="24" t="str">
        <f t="shared" si="291"/>
        <v>APARENTEMENTE NORMAL</v>
      </c>
      <c r="HM120" s="21" t="str">
        <f t="shared" ca="1" si="292"/>
        <v/>
      </c>
      <c r="HN120" s="30" t="str">
        <f t="shared" si="446"/>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3"/>
        <v>20.285714285714285</v>
      </c>
      <c r="IA120" s="26"/>
      <c r="IB120" s="26"/>
      <c r="IC120" s="111"/>
      <c r="ID120" s="22"/>
      <c r="IE120" s="22" t="str">
        <f t="shared" ca="1" si="294"/>
        <v>SALE SIN VACUNA</v>
      </c>
      <c r="IF120" s="22"/>
      <c r="IG120" s="22">
        <f t="shared" si="295"/>
        <v>45125</v>
      </c>
      <c r="IH120" s="29">
        <f t="shared" ca="1" si="296"/>
        <v>-107</v>
      </c>
      <c r="II120" s="22" t="str">
        <f t="shared" ca="1" si="297"/>
        <v>POSIBLEMENTE NACIO</v>
      </c>
      <c r="IJ120" s="22"/>
      <c r="IK120" s="21" t="s">
        <v>898</v>
      </c>
      <c r="IL120" s="21"/>
      <c r="IM120" s="34"/>
      <c r="IN120" s="349">
        <v>45120</v>
      </c>
      <c r="IO120" s="21" t="s">
        <v>1186</v>
      </c>
      <c r="IP120" s="29">
        <f t="shared" si="490"/>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2"/>
        <v>PESO ADECUADO EDAD GESTACIONAL</v>
      </c>
      <c r="JF120" s="30"/>
      <c r="JG120" s="21"/>
      <c r="JH120" s="21"/>
      <c r="JI120" s="21" t="s">
        <v>854</v>
      </c>
      <c r="JJ120" s="30" t="s">
        <v>866</v>
      </c>
      <c r="JK120" s="22"/>
      <c r="JL120" s="22"/>
      <c r="JM120" s="21"/>
      <c r="JN120" s="36"/>
      <c r="JO120" s="21" t="str">
        <f t="shared" si="493"/>
        <v/>
      </c>
      <c r="JP120" s="22"/>
      <c r="JQ120" s="21"/>
      <c r="JR120" s="21"/>
      <c r="JS120" s="21"/>
      <c r="JT120" s="30"/>
      <c r="JU120" s="22"/>
      <c r="JV120" s="22"/>
      <c r="JW120" s="33"/>
      <c r="JX120" s="28" t="str">
        <f t="shared" si="494"/>
        <v>INASISTENTE</v>
      </c>
      <c r="JY120" s="33"/>
      <c r="JZ120" s="28" t="str">
        <f t="shared" si="495"/>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9"/>
        <v>0</v>
      </c>
      <c r="MI120" s="43" t="str">
        <f t="shared" si="460"/>
        <v/>
      </c>
      <c r="MJ120" s="43" t="str">
        <f t="shared" si="461"/>
        <v/>
      </c>
      <c r="MK120" s="43">
        <f t="shared" si="462"/>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3"/>
        <v>20.285714285714285</v>
      </c>
      <c r="MN120" s="43">
        <f t="shared" si="464"/>
        <v>3</v>
      </c>
      <c r="MO120" s="43">
        <f t="shared" si="465"/>
        <v>2023</v>
      </c>
      <c r="MP120" s="43" t="str">
        <f t="shared" si="466"/>
        <v>I TRIMESTRE AÑO</v>
      </c>
      <c r="MQ120" s="43">
        <f t="shared" si="467"/>
        <v>25.774748138414367</v>
      </c>
      <c r="MR120" s="43">
        <f t="shared" si="468"/>
        <v>0</v>
      </c>
      <c r="MS120" s="43" t="str">
        <f t="shared" si="469"/>
        <v xml:space="preserve"> DE 25 A 29 AÑOS</v>
      </c>
      <c r="MT120" s="43">
        <f t="shared" si="470"/>
        <v>0</v>
      </c>
      <c r="MU120" s="43">
        <f t="shared" si="471"/>
        <v>0</v>
      </c>
      <c r="MV120" s="43">
        <f t="shared" si="472"/>
        <v>0</v>
      </c>
      <c r="MW120" s="43">
        <f t="shared" si="473"/>
        <v>0</v>
      </c>
      <c r="MX120" s="43" t="str">
        <f t="shared" si="474"/>
        <v/>
      </c>
      <c r="MY120" s="43" t="str">
        <f t="shared" ca="1" si="496"/>
        <v/>
      </c>
      <c r="MZ120" s="43" t="str">
        <f t="shared" si="475"/>
        <v/>
      </c>
      <c r="NA120" s="43" t="str">
        <f t="shared" si="476"/>
        <v/>
      </c>
      <c r="NB120" s="43" t="str">
        <f t="shared" si="477"/>
        <v/>
      </c>
      <c r="NC120" s="43" t="str">
        <f t="shared" si="478"/>
        <v/>
      </c>
      <c r="ND120" s="43">
        <f t="shared" ca="1" si="479"/>
        <v>0</v>
      </c>
      <c r="NE120" s="43">
        <f>IF(OR(O120&gt;0,R120&gt;0),SUM(COUNTIF(Tabla1[[#This Row],[AÑOS AL INICIO5 CPN]],"&gt;=40"),COUNTIF(AS120,"0"),COUNTIF(AR120,"SI"),COUNTIF(CC120,"SI"),COUNTIF(BQ120,"&gt;119"),COUNTIF(CI120,"&gt;=35")),"")</f>
        <v>0</v>
      </c>
      <c r="NF120" s="43" t="str">
        <f t="shared" si="480"/>
        <v/>
      </c>
      <c r="NG120" s="43">
        <f t="shared" si="481"/>
        <v>0</v>
      </c>
      <c r="NH120" s="43">
        <f t="shared" si="482"/>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3"/>
        <v>28</v>
      </c>
      <c r="NM120" s="43" t="str">
        <f t="shared" si="456"/>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4"/>
        <v>II TRIM</v>
      </c>
      <c r="NQ120" s="21" t="str">
        <f t="shared" si="437"/>
        <v/>
      </c>
      <c r="NR120" s="21">
        <f t="shared" si="497"/>
        <v>2</v>
      </c>
      <c r="NS120" s="205">
        <f t="shared" ca="1" si="485"/>
        <v>1</v>
      </c>
      <c r="NT120" s="21">
        <f t="shared" ca="1" si="486"/>
        <v>1</v>
      </c>
      <c r="NU120" s="21" t="str">
        <f t="shared" ca="1" si="487"/>
        <v>INCOMPLETO</v>
      </c>
      <c r="NV120" s="21" t="str">
        <f t="shared" ca="1" si="488"/>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9"/>
        <v>SIN VACUNAR</v>
      </c>
      <c r="NY120" s="43">
        <f>ROW(Tabla1[[#This Row],['# DE TAMIZAJES SIFILIS TOMADOS ]])</f>
        <v>120</v>
      </c>
      <c r="NZ120" s="43">
        <f t="shared" si="334"/>
        <v>20</v>
      </c>
      <c r="OA120" s="43" t="str">
        <f t="shared" si="335"/>
        <v/>
      </c>
      <c r="OB120" s="43" t="str">
        <f t="shared" si="336"/>
        <v/>
      </c>
      <c r="OC120" s="43" t="str">
        <f t="shared" si="337"/>
        <v/>
      </c>
      <c r="OD120" s="43" t="str">
        <f t="shared" si="338"/>
        <v/>
      </c>
      <c r="OE120" s="43" t="str">
        <f t="shared" si="339"/>
        <v/>
      </c>
      <c r="OF120" s="43" t="str">
        <f t="shared" si="340"/>
        <v/>
      </c>
      <c r="OG120" s="43" t="str">
        <f t="shared" si="341"/>
        <v/>
      </c>
      <c r="OH120" s="43" t="str">
        <f t="shared" si="342"/>
        <v/>
      </c>
      <c r="OI120" s="43" t="str">
        <f t="shared" si="343"/>
        <v/>
      </c>
      <c r="OJ120" s="43" t="str">
        <f t="shared" si="344"/>
        <v/>
      </c>
      <c r="OK120" s="43" t="str">
        <f t="shared" si="345"/>
        <v/>
      </c>
      <c r="OL120" s="43" t="str">
        <f t="shared" si="346"/>
        <v>NORMAL</v>
      </c>
      <c r="OM120" s="43" t="str">
        <f t="shared" si="347"/>
        <v/>
      </c>
      <c r="ON120" s="43" t="str">
        <f t="shared" si="348"/>
        <v/>
      </c>
      <c r="OO120" s="43" t="str">
        <f t="shared" si="349"/>
        <v/>
      </c>
      <c r="OP120" s="43" t="str">
        <f t="shared" si="350"/>
        <v/>
      </c>
      <c r="OQ120" s="43" t="str">
        <f t="shared" si="351"/>
        <v/>
      </c>
      <c r="OR120" s="43" t="str">
        <f t="shared" si="352"/>
        <v/>
      </c>
      <c r="OS120" s="43" t="str">
        <f t="shared" si="353"/>
        <v/>
      </c>
      <c r="OT120" s="43" t="str">
        <f t="shared" si="354"/>
        <v/>
      </c>
      <c r="OU120" s="43" t="str">
        <f t="shared" si="355"/>
        <v/>
      </c>
      <c r="OV120" s="110" t="str">
        <f t="shared" si="356"/>
        <v/>
      </c>
      <c r="OW120" s="43" t="str">
        <f t="shared" si="357"/>
        <v/>
      </c>
      <c r="OX120" s="43" t="str">
        <f t="shared" si="358"/>
        <v/>
      </c>
      <c r="OY120" s="43" t="str">
        <f t="shared" si="359"/>
        <v/>
      </c>
      <c r="OZ120" s="43" t="str">
        <f t="shared" si="360"/>
        <v/>
      </c>
      <c r="PA120" s="43" t="str">
        <f t="shared" si="361"/>
        <v/>
      </c>
      <c r="PB120" s="43" t="str">
        <f t="shared" si="362"/>
        <v/>
      </c>
      <c r="PC120" s="43" t="str">
        <f t="shared" si="363"/>
        <v/>
      </c>
      <c r="PD120" s="43" t="str">
        <f t="shared" si="364"/>
        <v/>
      </c>
      <c r="PE120" s="43" t="str">
        <f t="shared" si="365"/>
        <v/>
      </c>
      <c r="PF120" s="43" t="str">
        <f t="shared" si="366"/>
        <v/>
      </c>
      <c r="PG120" s="43" t="str">
        <f t="shared" si="367"/>
        <v/>
      </c>
      <c r="PH120" s="43" t="str">
        <f t="shared" si="368"/>
        <v/>
      </c>
      <c r="PI120" s="43">
        <f t="shared" si="369"/>
        <v>29</v>
      </c>
      <c r="PJ120" s="43" t="str">
        <f t="shared" si="370"/>
        <v/>
      </c>
      <c r="PK120" s="43" t="str">
        <f t="shared" si="371"/>
        <v/>
      </c>
      <c r="PL120" s="43" t="str">
        <f t="shared" si="372"/>
        <v/>
      </c>
      <c r="PM120" s="43" t="str">
        <f t="shared" si="373"/>
        <v/>
      </c>
      <c r="PN120" s="43" t="str">
        <f t="shared" si="374"/>
        <v/>
      </c>
      <c r="PO120" s="43" t="str">
        <f t="shared" si="375"/>
        <v/>
      </c>
      <c r="PP120" s="43" t="str">
        <f t="shared" si="376"/>
        <v/>
      </c>
      <c r="PQ120" s="43" t="str">
        <f t="shared" si="377"/>
        <v/>
      </c>
      <c r="PR120" s="43" t="str">
        <f t="shared" si="378"/>
        <v/>
      </c>
      <c r="PS120" s="43" t="str">
        <f t="shared" si="379"/>
        <v/>
      </c>
      <c r="PT120" s="43" t="str">
        <f t="shared" si="380"/>
        <v/>
      </c>
      <c r="PU120" s="43" t="str">
        <f t="shared" si="381"/>
        <v/>
      </c>
      <c r="PV120" s="43" t="str">
        <f t="shared" si="382"/>
        <v/>
      </c>
      <c r="PW120" s="43" t="str">
        <f t="shared" si="383"/>
        <v/>
      </c>
      <c r="PX120" s="43" t="str">
        <f t="shared" si="384"/>
        <v/>
      </c>
      <c r="PY120" s="43" t="str">
        <f t="shared" si="385"/>
        <v/>
      </c>
      <c r="PZ120" s="43" t="str">
        <f t="shared" si="386"/>
        <v/>
      </c>
      <c r="QA120" s="43" t="str">
        <f t="shared" si="387"/>
        <v/>
      </c>
      <c r="QB120" s="43" t="str">
        <f t="shared" si="388"/>
        <v/>
      </c>
      <c r="QC120" s="43" t="str">
        <f t="shared" si="389"/>
        <v/>
      </c>
      <c r="QD120" s="43" t="str">
        <f t="shared" si="390"/>
        <v>NORMAL</v>
      </c>
      <c r="QE120" s="43" t="str">
        <f t="shared" si="391"/>
        <v/>
      </c>
      <c r="QF120" s="43" t="str">
        <f t="shared" si="392"/>
        <v/>
      </c>
      <c r="QG120" s="43" t="str">
        <f t="shared" si="393"/>
        <v/>
      </c>
      <c r="QH120" s="43" t="str">
        <f t="shared" si="394"/>
        <v/>
      </c>
      <c r="QI120" s="43" t="str">
        <f t="shared" si="395"/>
        <v/>
      </c>
      <c r="QJ120" s="43" t="str">
        <f t="shared" si="396"/>
        <v/>
      </c>
      <c r="QK120" s="43" t="str">
        <f t="shared" si="397"/>
        <v/>
      </c>
      <c r="QL120" s="43" t="str">
        <f t="shared" si="398"/>
        <v/>
      </c>
      <c r="QM120" s="43" t="str">
        <f t="shared" si="399"/>
        <v/>
      </c>
      <c r="QN120" s="43" t="str">
        <f t="shared" si="400"/>
        <v/>
      </c>
      <c r="QO120" s="43" t="str">
        <f t="shared" si="401"/>
        <v/>
      </c>
      <c r="QP120" s="43" t="str">
        <f t="shared" si="402"/>
        <v/>
      </c>
      <c r="QQ120" s="43" t="str">
        <f t="shared" si="403"/>
        <v/>
      </c>
      <c r="QR120" s="43">
        <f t="shared" si="433"/>
        <v>29</v>
      </c>
      <c r="QS120" s="43"/>
      <c r="QT120" s="21" t="str">
        <f t="shared" si="404"/>
        <v/>
      </c>
      <c r="QU120" s="21" t="str">
        <f t="shared" si="405"/>
        <v/>
      </c>
      <c r="QV120" s="21" t="str">
        <f t="shared" si="406"/>
        <v/>
      </c>
      <c r="QW120" s="21" t="str">
        <f t="shared" si="407"/>
        <v/>
      </c>
      <c r="QX120" s="21" t="str">
        <f t="shared" si="408"/>
        <v/>
      </c>
      <c r="QY120" s="21" t="str">
        <f t="shared" si="409"/>
        <v/>
      </c>
      <c r="QZ120" s="21" t="str">
        <f t="shared" si="410"/>
        <v/>
      </c>
      <c r="RA120" s="21" t="str">
        <f t="shared" si="411"/>
        <v/>
      </c>
      <c r="RB120" s="21" t="str">
        <f t="shared" si="412"/>
        <v/>
      </c>
      <c r="RC120" s="21" t="str">
        <f t="shared" si="413"/>
        <v/>
      </c>
      <c r="RD120" s="21" t="str">
        <f t="shared" si="414"/>
        <v/>
      </c>
      <c r="RE120" s="21" t="str">
        <f t="shared" si="415"/>
        <v/>
      </c>
      <c r="RF120" s="21" t="str">
        <f t="shared" si="416"/>
        <v/>
      </c>
      <c r="RG120" s="21" t="str">
        <f t="shared" si="417"/>
        <v/>
      </c>
      <c r="RH120" s="21" t="str">
        <f t="shared" si="418"/>
        <v/>
      </c>
      <c r="RI120" s="21" t="str">
        <f t="shared" si="419"/>
        <v/>
      </c>
      <c r="RJ120" s="21" t="str">
        <f t="shared" si="420"/>
        <v>ADECUADO PARA EDAD GESTACIONAL</v>
      </c>
      <c r="RK120" s="21" t="str">
        <f t="shared" si="421"/>
        <v/>
      </c>
      <c r="RL120" s="21" t="str">
        <f t="shared" si="422"/>
        <v/>
      </c>
      <c r="RM120" s="21" t="str">
        <f t="shared" si="423"/>
        <v/>
      </c>
      <c r="RN120" s="21" t="str">
        <f t="shared" si="424"/>
        <v/>
      </c>
      <c r="RO120" s="21" t="str">
        <f t="shared" si="425"/>
        <v/>
      </c>
      <c r="RP120" s="21" t="str">
        <f t="shared" si="426"/>
        <v/>
      </c>
      <c r="RQ120" s="21" t="str">
        <f t="shared" si="427"/>
        <v/>
      </c>
      <c r="RR120" s="21" t="str">
        <f t="shared" si="428"/>
        <v/>
      </c>
      <c r="RS120" s="21" t="str">
        <f t="shared" si="429"/>
        <v/>
      </c>
      <c r="RT120" s="21" t="str">
        <f t="shared" si="430"/>
        <v/>
      </c>
      <c r="RU120" s="21" t="str">
        <f t="shared" si="431"/>
        <v/>
      </c>
      <c r="RV120" s="21">
        <f t="shared" si="432"/>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4"/>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17.994520547945207</v>
      </c>
      <c r="O121" s="22">
        <v>44987</v>
      </c>
      <c r="P121" s="214" t="str">
        <f t="shared" si="438"/>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7"/>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9"/>
        <v>CONCERTAR PLAN DE PARTO INMEDIATO</v>
      </c>
      <c r="DV121" s="226" t="str">
        <f t="shared" si="440"/>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1"/>
        <v>TOMA DE HEMOGLOBINA TARDÍA</v>
      </c>
      <c r="EU121" s="25" t="str">
        <f t="shared" si="275"/>
        <v/>
      </c>
      <c r="EV121" s="24" t="s">
        <v>866</v>
      </c>
      <c r="EW121" s="24">
        <v>44987</v>
      </c>
      <c r="EX121" s="22"/>
      <c r="EY121" s="29">
        <f t="shared" si="454"/>
        <v>12.457142857142442</v>
      </c>
      <c r="EZ121" s="25" t="str">
        <f t="shared" ca="1" si="455"/>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2"/>
        <v>PIERDE TOMA DE TAMIZAJE</v>
      </c>
      <c r="FP121" s="22"/>
      <c r="FQ121" s="32"/>
      <c r="FR121" s="29" t="str">
        <f t="shared" ca="1" si="443"/>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3"/>
        <v>12.457142857142442</v>
      </c>
      <c r="GB121" s="22"/>
      <c r="GC121" s="22"/>
      <c r="GD121" s="29" t="str">
        <f t="shared" ca="1" si="491"/>
        <v>PIERDE TOMA DE TAMIZAJE</v>
      </c>
      <c r="GE121" s="22"/>
      <c r="GF121" s="22"/>
      <c r="GG121" s="29" t="str">
        <f t="shared" ca="1" si="445"/>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8"/>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t="str">
        <f t="shared" ca="1" si="289"/>
        <v>**********************MULTIPARIDAD*****************</v>
      </c>
      <c r="HK121" s="21" t="str">
        <f t="shared" si="290"/>
        <v>SIN ANTECEDENTES DE RIESGO</v>
      </c>
      <c r="HL121" s="24" t="str">
        <f t="shared" si="291"/>
        <v>REGISTRE DATO PRESIÓN ARTERIAL MENSUAL</v>
      </c>
      <c r="HM121" s="21" t="e">
        <f t="shared" ca="1" si="292"/>
        <v>#REF!</v>
      </c>
      <c r="HN121" s="30" t="str">
        <f t="shared" si="446"/>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3"/>
        <v>12.457142857142442</v>
      </c>
      <c r="IA121" s="26"/>
      <c r="IB121" s="26"/>
      <c r="IC121" s="111"/>
      <c r="ID121" s="22"/>
      <c r="IE121" s="22" t="str">
        <f t="shared" ca="1" si="294"/>
        <v/>
      </c>
      <c r="IF121" s="22"/>
      <c r="IG121" s="22">
        <f t="shared" si="295"/>
        <v>45179.8</v>
      </c>
      <c r="IH121" s="29">
        <f t="shared" ca="1" si="296"/>
        <v>-52.19999999999709</v>
      </c>
      <c r="II121" s="22" t="str">
        <f t="shared" ca="1" si="297"/>
        <v>POSIBLEMENTE NACIO</v>
      </c>
      <c r="IJ121" s="22"/>
      <c r="IK121" s="21"/>
      <c r="IL121" s="21"/>
      <c r="IM121" s="34"/>
      <c r="IN121" s="349"/>
      <c r="IO121" s="21"/>
      <c r="IP121" s="29" t="str">
        <f t="shared" si="490"/>
        <v/>
      </c>
      <c r="IQ121" s="35"/>
      <c r="IR121" s="21"/>
      <c r="IS121" s="21"/>
      <c r="IT121" s="21"/>
      <c r="IU121" s="21"/>
      <c r="IV121" s="21"/>
      <c r="IW121" s="21"/>
      <c r="IX121" s="21"/>
      <c r="IY121" s="21"/>
      <c r="IZ121" s="21"/>
      <c r="JA121" s="21"/>
      <c r="JB121" s="30"/>
      <c r="JC121" s="21"/>
      <c r="JD121" s="36"/>
      <c r="JE121" s="21" t="str">
        <f t="shared" si="492"/>
        <v/>
      </c>
      <c r="JF121" s="30"/>
      <c r="JG121" s="21"/>
      <c r="JH121" s="21"/>
      <c r="JI121" s="21"/>
      <c r="JJ121" s="30"/>
      <c r="JK121" s="22"/>
      <c r="JL121" s="22"/>
      <c r="JM121" s="21"/>
      <c r="JN121" s="36"/>
      <c r="JO121" s="21" t="str">
        <f t="shared" si="493"/>
        <v/>
      </c>
      <c r="JP121" s="22"/>
      <c r="JQ121" s="21"/>
      <c r="JR121" s="21"/>
      <c r="JS121" s="21"/>
      <c r="JT121" s="30"/>
      <c r="JU121" s="22"/>
      <c r="JV121" s="22"/>
      <c r="JW121" s="33"/>
      <c r="JX121" s="28" t="str">
        <f t="shared" si="494"/>
        <v/>
      </c>
      <c r="JY121" s="33"/>
      <c r="JZ121" s="28" t="str">
        <f t="shared" si="495"/>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9"/>
        <v>0</v>
      </c>
      <c r="MI121" s="43" t="str">
        <f t="shared" si="460"/>
        <v/>
      </c>
      <c r="MJ121" s="43" t="str">
        <f t="shared" si="461"/>
        <v/>
      </c>
      <c r="MK121" s="43">
        <f t="shared" si="462"/>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3"/>
        <v>12.457142857142442</v>
      </c>
      <c r="MN121" s="43">
        <f t="shared" si="464"/>
        <v>3</v>
      </c>
      <c r="MO121" s="43">
        <f t="shared" si="465"/>
        <v>2023</v>
      </c>
      <c r="MP121" s="43" t="str">
        <f t="shared" si="466"/>
        <v>I TRIMESTRE AÑO</v>
      </c>
      <c r="MQ121" s="43">
        <f t="shared" si="467"/>
        <v>17.066360052562416</v>
      </c>
      <c r="MR121" s="43">
        <f t="shared" si="468"/>
        <v>0</v>
      </c>
      <c r="MS121" s="43" t="str">
        <f t="shared" si="469"/>
        <v>DE 14 A 19AÑOS</v>
      </c>
      <c r="MT121" s="43">
        <f t="shared" si="470"/>
        <v>0</v>
      </c>
      <c r="MU121" s="43">
        <f t="shared" si="471"/>
        <v>1</v>
      </c>
      <c r="MV121" s="43">
        <f t="shared" si="472"/>
        <v>0</v>
      </c>
      <c r="MW121" s="43">
        <f t="shared" si="473"/>
        <v>0</v>
      </c>
      <c r="MX121" s="43" t="str">
        <f t="shared" si="474"/>
        <v/>
      </c>
      <c r="MY121" s="43" t="str">
        <f t="shared" ca="1" si="496"/>
        <v/>
      </c>
      <c r="MZ121" s="43" t="str">
        <f t="shared" si="475"/>
        <v/>
      </c>
      <c r="NA121" s="43" t="str">
        <f t="shared" si="476"/>
        <v/>
      </c>
      <c r="NB121" s="43" t="str">
        <f t="shared" si="477"/>
        <v/>
      </c>
      <c r="NC121" s="43" t="str">
        <f t="shared" si="478"/>
        <v/>
      </c>
      <c r="ND121" s="43">
        <f t="shared" ca="1" si="479"/>
        <v>1</v>
      </c>
      <c r="NE121" s="43">
        <f>IF(OR(O121&gt;0,R121&gt;0),SUM(COUNTIF(Tabla1[[#This Row],[AÑOS AL INICIO5 CPN]],"&gt;=40"),COUNTIF(AS121,"0"),COUNTIF(AR121,"SI"),COUNTIF(CC121,"SI"),COUNTIF(BQ121,"&gt;119"),COUNTIF(CI121,"&gt;=35")),"")</f>
        <v>1</v>
      </c>
      <c r="NF121" s="43" t="str">
        <f t="shared" si="480"/>
        <v/>
      </c>
      <c r="NG121" s="43">
        <f t="shared" si="481"/>
        <v>0</v>
      </c>
      <c r="NH121" s="43">
        <f t="shared" si="482"/>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3"/>
        <v>X</v>
      </c>
      <c r="NM121" s="43" t="str">
        <f t="shared" si="456"/>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4"/>
        <v>II TRIM</v>
      </c>
      <c r="NQ121" s="21" t="str">
        <f t="shared" si="437"/>
        <v/>
      </c>
      <c r="NR121" s="21" t="str">
        <f t="shared" ca="1" si="497"/>
        <v>REVISAR FUM O FECHA SALIDA PROGRAMA</v>
      </c>
      <c r="NS121" s="205">
        <f t="shared" ca="1" si="485"/>
        <v>1</v>
      </c>
      <c r="NT121" s="21">
        <f t="shared" ca="1" si="486"/>
        <v>1</v>
      </c>
      <c r="NU121" s="21" t="str">
        <f t="shared" ca="1" si="487"/>
        <v>POR DEFINIR</v>
      </c>
      <c r="NV121" s="21" t="str">
        <f t="shared" ca="1" si="488"/>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9"/>
        <v>SIN VACUNAR</v>
      </c>
      <c r="NY121" s="43">
        <f>ROW(Tabla1[[#This Row],['# DE TAMIZAJES SIFILIS TOMADOS ]])</f>
        <v>121</v>
      </c>
      <c r="NZ121" s="43">
        <f t="shared" si="334"/>
        <v>12</v>
      </c>
      <c r="OA121" s="43" t="str">
        <f t="shared" si="335"/>
        <v/>
      </c>
      <c r="OB121" s="43" t="str">
        <f t="shared" si="336"/>
        <v/>
      </c>
      <c r="OC121" s="43" t="str">
        <f t="shared" si="337"/>
        <v/>
      </c>
      <c r="OD121" s="43" t="str">
        <f t="shared" si="338"/>
        <v>NORMAL</v>
      </c>
      <c r="OE121" s="43" t="str">
        <f t="shared" si="339"/>
        <v/>
      </c>
      <c r="OF121" s="43" t="str">
        <f t="shared" si="340"/>
        <v/>
      </c>
      <c r="OG121" s="43" t="str">
        <f t="shared" si="341"/>
        <v/>
      </c>
      <c r="OH121" s="43" t="str">
        <f t="shared" si="342"/>
        <v/>
      </c>
      <c r="OI121" s="43" t="str">
        <f t="shared" si="343"/>
        <v/>
      </c>
      <c r="OJ121" s="43" t="str">
        <f t="shared" si="344"/>
        <v/>
      </c>
      <c r="OK121" s="43" t="str">
        <f t="shared" si="345"/>
        <v/>
      </c>
      <c r="OL121" s="43" t="str">
        <f t="shared" si="346"/>
        <v/>
      </c>
      <c r="OM121" s="43" t="str">
        <f t="shared" si="347"/>
        <v/>
      </c>
      <c r="ON121" s="43" t="str">
        <f t="shared" si="348"/>
        <v/>
      </c>
      <c r="OO121" s="43" t="str">
        <f t="shared" si="349"/>
        <v/>
      </c>
      <c r="OP121" s="43" t="str">
        <f t="shared" si="350"/>
        <v/>
      </c>
      <c r="OQ121" s="43" t="str">
        <f t="shared" si="351"/>
        <v/>
      </c>
      <c r="OR121" s="43" t="str">
        <f t="shared" si="352"/>
        <v/>
      </c>
      <c r="OS121" s="43" t="str">
        <f t="shared" si="353"/>
        <v/>
      </c>
      <c r="OT121" s="43" t="str">
        <f t="shared" si="354"/>
        <v/>
      </c>
      <c r="OU121" s="43" t="str">
        <f t="shared" si="355"/>
        <v/>
      </c>
      <c r="OV121" s="110" t="str">
        <f t="shared" si="356"/>
        <v/>
      </c>
      <c r="OW121" s="43" t="str">
        <f t="shared" si="357"/>
        <v/>
      </c>
      <c r="OX121" s="43" t="str">
        <f t="shared" si="358"/>
        <v/>
      </c>
      <c r="OY121" s="43" t="str">
        <f t="shared" si="359"/>
        <v/>
      </c>
      <c r="OZ121" s="43" t="str">
        <f t="shared" si="360"/>
        <v/>
      </c>
      <c r="PA121" s="43" t="str">
        <f t="shared" si="361"/>
        <v/>
      </c>
      <c r="PB121" s="43" t="str">
        <f t="shared" si="362"/>
        <v/>
      </c>
      <c r="PC121" s="43" t="str">
        <f t="shared" si="363"/>
        <v/>
      </c>
      <c r="PD121" s="43" t="str">
        <f t="shared" si="364"/>
        <v/>
      </c>
      <c r="PE121" s="43" t="str">
        <f t="shared" si="365"/>
        <v/>
      </c>
      <c r="PF121" s="43" t="str">
        <f t="shared" si="366"/>
        <v/>
      </c>
      <c r="PG121" s="43" t="str">
        <f t="shared" si="367"/>
        <v/>
      </c>
      <c r="PH121" s="43" t="str">
        <f t="shared" si="368"/>
        <v/>
      </c>
      <c r="PI121" s="43">
        <f t="shared" si="369"/>
        <v>12</v>
      </c>
      <c r="PJ121" s="43" t="str">
        <f t="shared" si="370"/>
        <v/>
      </c>
      <c r="PK121" s="43" t="str">
        <f t="shared" si="371"/>
        <v/>
      </c>
      <c r="PL121" s="43" t="str">
        <f t="shared" si="372"/>
        <v/>
      </c>
      <c r="PM121" s="43" t="str">
        <f t="shared" si="373"/>
        <v>NORMAL</v>
      </c>
      <c r="PN121" s="43" t="str">
        <f t="shared" si="374"/>
        <v/>
      </c>
      <c r="PO121" s="43" t="str">
        <f t="shared" si="375"/>
        <v/>
      </c>
      <c r="PP121" s="43" t="str">
        <f t="shared" si="376"/>
        <v/>
      </c>
      <c r="PQ121" s="43" t="str">
        <f t="shared" si="377"/>
        <v/>
      </c>
      <c r="PR121" s="43" t="str">
        <f t="shared" si="378"/>
        <v/>
      </c>
      <c r="PS121" s="43" t="str">
        <f t="shared" si="379"/>
        <v/>
      </c>
      <c r="PT121" s="43" t="str">
        <f t="shared" si="380"/>
        <v/>
      </c>
      <c r="PU121" s="43" t="str">
        <f t="shared" si="381"/>
        <v/>
      </c>
      <c r="PV121" s="43" t="str">
        <f t="shared" si="382"/>
        <v/>
      </c>
      <c r="PW121" s="43" t="str">
        <f t="shared" si="383"/>
        <v/>
      </c>
      <c r="PX121" s="43" t="str">
        <f t="shared" si="384"/>
        <v/>
      </c>
      <c r="PY121" s="43" t="str">
        <f t="shared" si="385"/>
        <v/>
      </c>
      <c r="PZ121" s="43" t="str">
        <f t="shared" si="386"/>
        <v/>
      </c>
      <c r="QA121" s="43" t="str">
        <f t="shared" si="387"/>
        <v/>
      </c>
      <c r="QB121" s="43" t="str">
        <f t="shared" si="388"/>
        <v/>
      </c>
      <c r="QC121" s="43" t="str">
        <f t="shared" si="389"/>
        <v/>
      </c>
      <c r="QD121" s="43" t="str">
        <f t="shared" si="390"/>
        <v/>
      </c>
      <c r="QE121" s="43" t="str">
        <f t="shared" si="391"/>
        <v/>
      </c>
      <c r="QF121" s="43" t="str">
        <f t="shared" si="392"/>
        <v/>
      </c>
      <c r="QG121" s="43" t="str">
        <f t="shared" si="393"/>
        <v/>
      </c>
      <c r="QH121" s="43" t="str">
        <f t="shared" si="394"/>
        <v/>
      </c>
      <c r="QI121" s="43" t="str">
        <f t="shared" si="395"/>
        <v/>
      </c>
      <c r="QJ121" s="43" t="str">
        <f t="shared" si="396"/>
        <v/>
      </c>
      <c r="QK121" s="43" t="str">
        <f t="shared" si="397"/>
        <v/>
      </c>
      <c r="QL121" s="43" t="str">
        <f t="shared" si="398"/>
        <v/>
      </c>
      <c r="QM121" s="43" t="str">
        <f t="shared" si="399"/>
        <v/>
      </c>
      <c r="QN121" s="43" t="str">
        <f t="shared" si="400"/>
        <v/>
      </c>
      <c r="QO121" s="43" t="str">
        <f t="shared" si="401"/>
        <v/>
      </c>
      <c r="QP121" s="43" t="str">
        <f t="shared" si="402"/>
        <v/>
      </c>
      <c r="QQ121" s="43" t="str">
        <f t="shared" si="403"/>
        <v/>
      </c>
      <c r="QR121" s="43" t="str">
        <f t="shared" si="433"/>
        <v>Menor</v>
      </c>
      <c r="QS121" s="43"/>
      <c r="QT121" s="21" t="str">
        <f t="shared" si="404"/>
        <v/>
      </c>
      <c r="QU121" s="21" t="str">
        <f t="shared" si="405"/>
        <v/>
      </c>
      <c r="QV121" s="21" t="str">
        <f t="shared" si="406"/>
        <v/>
      </c>
      <c r="QW121" s="21" t="str">
        <f t="shared" si="407"/>
        <v/>
      </c>
      <c r="QX121" s="21" t="str">
        <f t="shared" si="408"/>
        <v/>
      </c>
      <c r="QY121" s="21" t="str">
        <f t="shared" si="409"/>
        <v/>
      </c>
      <c r="QZ121" s="21" t="str">
        <f t="shared" si="410"/>
        <v/>
      </c>
      <c r="RA121" s="21" t="str">
        <f t="shared" si="411"/>
        <v/>
      </c>
      <c r="RB121" s="21" t="str">
        <f t="shared" si="412"/>
        <v/>
      </c>
      <c r="RC121" s="21" t="str">
        <f t="shared" si="413"/>
        <v/>
      </c>
      <c r="RD121" s="21" t="str">
        <f t="shared" si="414"/>
        <v/>
      </c>
      <c r="RE121" s="21" t="str">
        <f t="shared" si="415"/>
        <v/>
      </c>
      <c r="RF121" s="21" t="str">
        <f t="shared" si="416"/>
        <v/>
      </c>
      <c r="RG121" s="21" t="str">
        <f t="shared" si="417"/>
        <v/>
      </c>
      <c r="RH121" s="21" t="str">
        <f t="shared" si="418"/>
        <v/>
      </c>
      <c r="RI121" s="21" t="str">
        <f t="shared" si="419"/>
        <v/>
      </c>
      <c r="RJ121" s="21" t="str">
        <f t="shared" si="420"/>
        <v/>
      </c>
      <c r="RK121" s="21" t="str">
        <f t="shared" si="421"/>
        <v/>
      </c>
      <c r="RL121" s="21" t="str">
        <f t="shared" si="422"/>
        <v/>
      </c>
      <c r="RM121" s="21" t="str">
        <f t="shared" si="423"/>
        <v/>
      </c>
      <c r="RN121" s="21" t="str">
        <f t="shared" si="424"/>
        <v/>
      </c>
      <c r="RO121" s="21" t="str">
        <f t="shared" si="425"/>
        <v/>
      </c>
      <c r="RP121" s="21" t="str">
        <f t="shared" si="426"/>
        <v/>
      </c>
      <c r="RQ121" s="21" t="str">
        <f t="shared" si="427"/>
        <v/>
      </c>
      <c r="RR121" s="21" t="str">
        <f t="shared" si="428"/>
        <v/>
      </c>
      <c r="RS121" s="21" t="str">
        <f t="shared" si="429"/>
        <v/>
      </c>
      <c r="RT121" s="21" t="str">
        <f t="shared" si="430"/>
        <v/>
      </c>
      <c r="RU121" s="21" t="str">
        <f t="shared" si="431"/>
        <v/>
      </c>
      <c r="RV121" s="21">
        <f t="shared" si="432"/>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4"/>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18.893150684931506</v>
      </c>
      <c r="O122" s="22">
        <v>44988</v>
      </c>
      <c r="P122" s="214" t="str">
        <f t="shared" si="438"/>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41.571428571428569</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7"/>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9"/>
        <v>CONCERTAR PLAN DE PARTO INMEDIATO</v>
      </c>
      <c r="DV122" s="226" t="str">
        <f t="shared" si="440"/>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1"/>
        <v>TOMA DE HEMOGLOBINA TARDÍA</v>
      </c>
      <c r="EU122" s="25" t="str">
        <f t="shared" si="275"/>
        <v/>
      </c>
      <c r="EV122" s="24" t="s">
        <v>1510</v>
      </c>
      <c r="EW122" s="24">
        <v>44988</v>
      </c>
      <c r="EX122" s="22"/>
      <c r="EY122" s="29">
        <f t="shared" si="454"/>
        <v>6.7142857142857144</v>
      </c>
      <c r="EZ122" s="25" t="str">
        <f t="shared" si="455"/>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2"/>
        <v>24.857142857142858</v>
      </c>
      <c r="FP122" s="22"/>
      <c r="FQ122" s="32"/>
      <c r="FR122" s="29" t="str">
        <f t="shared" ca="1" si="443"/>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3"/>
        <v>6.7142857142857144</v>
      </c>
      <c r="GB122" s="22" t="s">
        <v>868</v>
      </c>
      <c r="GC122" s="22">
        <v>45115</v>
      </c>
      <c r="GD122" s="29">
        <f t="shared" ca="1" si="491"/>
        <v>24.857142857142858</v>
      </c>
      <c r="GE122" s="22"/>
      <c r="GF122" s="22"/>
      <c r="GG122" s="29" t="str">
        <f t="shared" ca="1" si="445"/>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8"/>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t="str">
        <f t="shared" ca="1" si="289"/>
        <v>***************************EMBARAZO PROLONGADO************</v>
      </c>
      <c r="HK122" s="21" t="str">
        <f t="shared" si="290"/>
        <v>SIN ANTECEDENTES DE RIESGO</v>
      </c>
      <c r="HL122" s="24" t="str">
        <f t="shared" si="291"/>
        <v>APARENTEMENTE NORMAL</v>
      </c>
      <c r="HM122" s="21" t="e">
        <f t="shared" ca="1" si="292"/>
        <v>#REF!</v>
      </c>
      <c r="HN122" s="30" t="str">
        <f t="shared" si="446"/>
        <v>ACTIVA INGRESO A CPN</v>
      </c>
      <c r="HO122" s="21"/>
      <c r="HP122" s="21"/>
      <c r="HQ122" s="349"/>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3"/>
        <v>6.7142857142857144</v>
      </c>
      <c r="IA122" s="26"/>
      <c r="IB122" s="26"/>
      <c r="IC122" s="111"/>
      <c r="ID122" s="22"/>
      <c r="IE122" s="22" t="str">
        <f t="shared" ca="1" si="294"/>
        <v>INASISTENTE</v>
      </c>
      <c r="IF122" s="22"/>
      <c r="IG122" s="22">
        <f t="shared" si="295"/>
        <v>45221</v>
      </c>
      <c r="IH122" s="29">
        <f t="shared" ca="1" si="296"/>
        <v>-11</v>
      </c>
      <c r="II122" s="22" t="str">
        <f t="shared" ca="1" si="297"/>
        <v>POSIBLEMENTE NACIO</v>
      </c>
      <c r="IJ122" s="22"/>
      <c r="IK122" s="21"/>
      <c r="IL122" s="21"/>
      <c r="IM122" s="34"/>
      <c r="IN122" s="22"/>
      <c r="IO122" s="21"/>
      <c r="IP122" s="29" t="str">
        <f t="shared" si="490"/>
        <v/>
      </c>
      <c r="IQ122" s="35"/>
      <c r="IR122" s="21"/>
      <c r="IS122" s="21"/>
      <c r="IT122" s="21"/>
      <c r="IU122" s="21"/>
      <c r="IV122" s="21"/>
      <c r="IW122" s="21"/>
      <c r="IX122" s="21"/>
      <c r="IY122" s="21"/>
      <c r="IZ122" s="21"/>
      <c r="JA122" s="21"/>
      <c r="JB122" s="30"/>
      <c r="JC122" s="21"/>
      <c r="JD122" s="36"/>
      <c r="JE122" s="21" t="str">
        <f t="shared" si="492"/>
        <v/>
      </c>
      <c r="JF122" s="30"/>
      <c r="JG122" s="21"/>
      <c r="JH122" s="21"/>
      <c r="JI122" s="21"/>
      <c r="JJ122" s="30"/>
      <c r="JK122" s="22"/>
      <c r="JL122" s="22"/>
      <c r="JM122" s="21"/>
      <c r="JN122" s="36"/>
      <c r="JO122" s="21" t="str">
        <f t="shared" si="493"/>
        <v/>
      </c>
      <c r="JP122" s="22"/>
      <c r="JQ122" s="21"/>
      <c r="JR122" s="21"/>
      <c r="JS122" s="21"/>
      <c r="JT122" s="30"/>
      <c r="JU122" s="22"/>
      <c r="JV122" s="22"/>
      <c r="JW122" s="33"/>
      <c r="JX122" s="28" t="str">
        <f t="shared" si="494"/>
        <v/>
      </c>
      <c r="JY122" s="33"/>
      <c r="JZ122" s="28" t="str">
        <f t="shared" si="495"/>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9"/>
        <v>0</v>
      </c>
      <c r="MI122" s="43" t="str">
        <f t="shared" si="460"/>
        <v/>
      </c>
      <c r="MJ122" s="43" t="str">
        <f t="shared" si="461"/>
        <v/>
      </c>
      <c r="MK122" s="43">
        <f t="shared" si="462"/>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3"/>
        <v>6.7142857142857144</v>
      </c>
      <c r="MN122" s="43">
        <f t="shared" si="464"/>
        <v>3</v>
      </c>
      <c r="MO122" s="43">
        <f t="shared" si="465"/>
        <v>2023</v>
      </c>
      <c r="MP122" s="43" t="str">
        <f t="shared" si="466"/>
        <v>I TRIMESTRE AÑO</v>
      </c>
      <c r="MQ122" s="43">
        <f t="shared" si="467"/>
        <v>17.953350854139291</v>
      </c>
      <c r="MR122" s="43">
        <f t="shared" si="468"/>
        <v>0</v>
      </c>
      <c r="MS122" s="43" t="str">
        <f t="shared" si="469"/>
        <v>DE 14 A 19AÑOS</v>
      </c>
      <c r="MT122" s="43">
        <f t="shared" si="470"/>
        <v>0</v>
      </c>
      <c r="MU122" s="43">
        <f t="shared" si="471"/>
        <v>0</v>
      </c>
      <c r="MV122" s="43">
        <f t="shared" si="472"/>
        <v>0</v>
      </c>
      <c r="MW122" s="43">
        <f t="shared" si="473"/>
        <v>0</v>
      </c>
      <c r="MX122" s="43" t="str">
        <f t="shared" si="474"/>
        <v/>
      </c>
      <c r="MY122" s="43">
        <f t="shared" ca="1" si="496"/>
        <v>1</v>
      </c>
      <c r="MZ122" s="43" t="str">
        <f t="shared" si="475"/>
        <v/>
      </c>
      <c r="NA122" s="43" t="str">
        <f t="shared" si="476"/>
        <v/>
      </c>
      <c r="NB122" s="43" t="str">
        <f t="shared" si="477"/>
        <v/>
      </c>
      <c r="NC122" s="43" t="str">
        <f t="shared" si="478"/>
        <v/>
      </c>
      <c r="ND122" s="43">
        <f t="shared" ca="1" si="479"/>
        <v>1</v>
      </c>
      <c r="NE122" s="43">
        <f>IF(OR(O122&gt;0,R122&gt;0),SUM(COUNTIF(Tabla1[[#This Row],[AÑOS AL INICIO5 CPN]],"&gt;=40"),COUNTIF(AS122,"0"),COUNTIF(AR122,"SI"),COUNTIF(CC122,"SI"),COUNTIF(BQ122,"&gt;119"),COUNTIF(CI122,"&gt;=35")),"")</f>
        <v>0</v>
      </c>
      <c r="NF122" s="43" t="str">
        <f t="shared" si="480"/>
        <v/>
      </c>
      <c r="NG122" s="43">
        <f t="shared" si="481"/>
        <v>0</v>
      </c>
      <c r="NH122" s="43" t="str">
        <f t="shared" si="482"/>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3"/>
        <v>X</v>
      </c>
      <c r="NM122" s="43" t="str">
        <f t="shared" si="456"/>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4"/>
        <v>I TRIM</v>
      </c>
      <c r="NQ122" s="21" t="str">
        <f t="shared" si="437"/>
        <v/>
      </c>
      <c r="NR122" s="21">
        <f t="shared" ca="1" si="497"/>
        <v>3</v>
      </c>
      <c r="NS122" s="205">
        <f t="shared" ca="1" si="485"/>
        <v>2</v>
      </c>
      <c r="NT122" s="21">
        <f t="shared" ca="1" si="486"/>
        <v>2</v>
      </c>
      <c r="NU122" s="21" t="str">
        <f t="shared" ca="1" si="487"/>
        <v>INCOMPLETO</v>
      </c>
      <c r="NV122" s="21" t="str">
        <f t="shared" ca="1" si="488"/>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9"/>
        <v>SIN VACUNAR</v>
      </c>
      <c r="NY122" s="43">
        <f>ROW(Tabla1[[#This Row],['# DE TAMIZAJES SIFILIS TOMADOS ]])</f>
        <v>122</v>
      </c>
      <c r="NZ122" s="43" t="str">
        <f t="shared" si="334"/>
        <v>Menor</v>
      </c>
      <c r="OA122" s="43" t="str">
        <f t="shared" si="335"/>
        <v>NORMAL</v>
      </c>
      <c r="OB122" s="43" t="str">
        <f t="shared" si="336"/>
        <v/>
      </c>
      <c r="OC122" s="43" t="str">
        <f t="shared" si="337"/>
        <v/>
      </c>
      <c r="OD122" s="43" t="str">
        <f t="shared" si="338"/>
        <v/>
      </c>
      <c r="OE122" s="43" t="str">
        <f t="shared" si="339"/>
        <v/>
      </c>
      <c r="OF122" s="43" t="str">
        <f t="shared" si="340"/>
        <v/>
      </c>
      <c r="OG122" s="43" t="str">
        <f t="shared" si="341"/>
        <v/>
      </c>
      <c r="OH122" s="43" t="str">
        <f t="shared" si="342"/>
        <v/>
      </c>
      <c r="OI122" s="43" t="str">
        <f t="shared" si="343"/>
        <v/>
      </c>
      <c r="OJ122" s="43" t="str">
        <f t="shared" si="344"/>
        <v/>
      </c>
      <c r="OK122" s="43" t="str">
        <f t="shared" si="345"/>
        <v/>
      </c>
      <c r="OL122" s="43" t="str">
        <f t="shared" si="346"/>
        <v/>
      </c>
      <c r="OM122" s="43" t="str">
        <f t="shared" si="347"/>
        <v/>
      </c>
      <c r="ON122" s="43" t="str">
        <f t="shared" si="348"/>
        <v/>
      </c>
      <c r="OO122" s="43" t="str">
        <f t="shared" si="349"/>
        <v/>
      </c>
      <c r="OP122" s="43" t="str">
        <f t="shared" si="350"/>
        <v/>
      </c>
      <c r="OQ122" s="43" t="str">
        <f t="shared" si="351"/>
        <v/>
      </c>
      <c r="OR122" s="43" t="str">
        <f t="shared" si="352"/>
        <v/>
      </c>
      <c r="OS122" s="43" t="str">
        <f t="shared" si="353"/>
        <v/>
      </c>
      <c r="OT122" s="43" t="str">
        <f t="shared" si="354"/>
        <v/>
      </c>
      <c r="OU122" s="43" t="str">
        <f t="shared" si="355"/>
        <v/>
      </c>
      <c r="OV122" s="110" t="str">
        <f t="shared" si="356"/>
        <v/>
      </c>
      <c r="OW122" s="43" t="str">
        <f t="shared" si="357"/>
        <v/>
      </c>
      <c r="OX122" s="43" t="str">
        <f t="shared" si="358"/>
        <v/>
      </c>
      <c r="OY122" s="43" t="str">
        <f t="shared" si="359"/>
        <v/>
      </c>
      <c r="OZ122" s="43" t="str">
        <f t="shared" si="360"/>
        <v/>
      </c>
      <c r="PA122" s="43" t="str">
        <f t="shared" si="361"/>
        <v/>
      </c>
      <c r="PB122" s="43" t="str">
        <f t="shared" si="362"/>
        <v/>
      </c>
      <c r="PC122" s="43" t="str">
        <f t="shared" si="363"/>
        <v/>
      </c>
      <c r="PD122" s="43" t="str">
        <f t="shared" si="364"/>
        <v/>
      </c>
      <c r="PE122" s="43" t="str">
        <f t="shared" si="365"/>
        <v/>
      </c>
      <c r="PF122" s="43" t="str">
        <f t="shared" si="366"/>
        <v/>
      </c>
      <c r="PG122" s="43" t="str">
        <f t="shared" si="367"/>
        <v/>
      </c>
      <c r="PH122" s="43" t="str">
        <f t="shared" si="368"/>
        <v/>
      </c>
      <c r="PI122" s="43">
        <f t="shared" si="369"/>
        <v>24</v>
      </c>
      <c r="PJ122" s="43" t="str">
        <f t="shared" si="370"/>
        <v/>
      </c>
      <c r="PK122" s="43" t="str">
        <f t="shared" si="371"/>
        <v/>
      </c>
      <c r="PL122" s="43" t="str">
        <f t="shared" si="372"/>
        <v/>
      </c>
      <c r="PM122" s="43" t="str">
        <f t="shared" si="373"/>
        <v/>
      </c>
      <c r="PN122" s="43" t="str">
        <f t="shared" si="374"/>
        <v/>
      </c>
      <c r="PO122" s="43" t="str">
        <f t="shared" si="375"/>
        <v/>
      </c>
      <c r="PP122" s="43" t="str">
        <f t="shared" si="376"/>
        <v/>
      </c>
      <c r="PQ122" s="43" t="str">
        <f t="shared" si="377"/>
        <v/>
      </c>
      <c r="PR122" s="43" t="str">
        <f t="shared" si="378"/>
        <v/>
      </c>
      <c r="PS122" s="43" t="str">
        <f t="shared" si="379"/>
        <v/>
      </c>
      <c r="PT122" s="43" t="str">
        <f t="shared" si="380"/>
        <v/>
      </c>
      <c r="PU122" s="43" t="str">
        <f t="shared" si="381"/>
        <v/>
      </c>
      <c r="PV122" s="43" t="str">
        <f t="shared" si="382"/>
        <v/>
      </c>
      <c r="PW122" s="43" t="str">
        <f t="shared" si="383"/>
        <v/>
      </c>
      <c r="PX122" s="43" t="str">
        <f t="shared" si="384"/>
        <v/>
      </c>
      <c r="PY122" s="43" t="str">
        <f t="shared" si="385"/>
        <v>SOBREPESO</v>
      </c>
      <c r="PZ122" s="43" t="str">
        <f t="shared" si="386"/>
        <v/>
      </c>
      <c r="QA122" s="43" t="str">
        <f t="shared" si="387"/>
        <v/>
      </c>
      <c r="QB122" s="43" t="str">
        <f t="shared" si="388"/>
        <v/>
      </c>
      <c r="QC122" s="43" t="str">
        <f t="shared" si="389"/>
        <v/>
      </c>
      <c r="QD122" s="43" t="str">
        <f t="shared" si="390"/>
        <v/>
      </c>
      <c r="QE122" s="43" t="str">
        <f t="shared" si="391"/>
        <v/>
      </c>
      <c r="QF122" s="43" t="str">
        <f t="shared" si="392"/>
        <v/>
      </c>
      <c r="QG122" s="43" t="str">
        <f t="shared" si="393"/>
        <v/>
      </c>
      <c r="QH122" s="43" t="str">
        <f t="shared" si="394"/>
        <v/>
      </c>
      <c r="QI122" s="43" t="str">
        <f t="shared" si="395"/>
        <v/>
      </c>
      <c r="QJ122" s="43" t="str">
        <f t="shared" si="396"/>
        <v/>
      </c>
      <c r="QK122" s="43" t="str">
        <f t="shared" si="397"/>
        <v/>
      </c>
      <c r="QL122" s="43" t="str">
        <f t="shared" si="398"/>
        <v/>
      </c>
      <c r="QM122" s="43" t="str">
        <f t="shared" si="399"/>
        <v/>
      </c>
      <c r="QN122" s="43" t="str">
        <f t="shared" si="400"/>
        <v/>
      </c>
      <c r="QO122" s="43" t="str">
        <f t="shared" si="401"/>
        <v/>
      </c>
      <c r="QP122" s="43" t="str">
        <f t="shared" si="402"/>
        <v/>
      </c>
      <c r="QQ122" s="43" t="str">
        <f t="shared" si="403"/>
        <v/>
      </c>
      <c r="QR122" s="43">
        <f t="shared" si="433"/>
        <v>24</v>
      </c>
      <c r="QS122" s="43"/>
      <c r="QT122" s="21" t="str">
        <f t="shared" si="404"/>
        <v/>
      </c>
      <c r="QU122" s="21" t="str">
        <f t="shared" si="405"/>
        <v/>
      </c>
      <c r="QV122" s="21" t="str">
        <f t="shared" si="406"/>
        <v/>
      </c>
      <c r="QW122" s="21" t="str">
        <f t="shared" si="407"/>
        <v/>
      </c>
      <c r="QX122" s="21" t="str">
        <f t="shared" si="408"/>
        <v/>
      </c>
      <c r="QY122" s="21" t="str">
        <f t="shared" si="409"/>
        <v/>
      </c>
      <c r="QZ122" s="21" t="str">
        <f t="shared" si="410"/>
        <v/>
      </c>
      <c r="RA122" s="21" t="str">
        <f t="shared" si="411"/>
        <v/>
      </c>
      <c r="RB122" s="21" t="str">
        <f t="shared" si="412"/>
        <v/>
      </c>
      <c r="RC122" s="21" t="str">
        <f t="shared" si="413"/>
        <v/>
      </c>
      <c r="RD122" s="21" t="str">
        <f t="shared" si="414"/>
        <v/>
      </c>
      <c r="RE122" s="21" t="str">
        <f t="shared" si="415"/>
        <v>ALTO PARA EDAD GESTACIONAL</v>
      </c>
      <c r="RF122" s="21" t="str">
        <f t="shared" si="416"/>
        <v/>
      </c>
      <c r="RG122" s="21" t="str">
        <f t="shared" si="417"/>
        <v/>
      </c>
      <c r="RH122" s="21" t="str">
        <f t="shared" si="418"/>
        <v/>
      </c>
      <c r="RI122" s="21" t="str">
        <f t="shared" si="419"/>
        <v/>
      </c>
      <c r="RJ122" s="21" t="str">
        <f t="shared" si="420"/>
        <v/>
      </c>
      <c r="RK122" s="21" t="str">
        <f t="shared" si="421"/>
        <v/>
      </c>
      <c r="RL122" s="21" t="str">
        <f t="shared" si="422"/>
        <v/>
      </c>
      <c r="RM122" s="21" t="str">
        <f t="shared" si="423"/>
        <v/>
      </c>
      <c r="RN122" s="21" t="str">
        <f t="shared" si="424"/>
        <v/>
      </c>
      <c r="RO122" s="21" t="str">
        <f t="shared" si="425"/>
        <v/>
      </c>
      <c r="RP122" s="21" t="str">
        <f t="shared" si="426"/>
        <v/>
      </c>
      <c r="RQ122" s="21" t="str">
        <f t="shared" si="427"/>
        <v/>
      </c>
      <c r="RR122" s="21" t="str">
        <f t="shared" si="428"/>
        <v/>
      </c>
      <c r="RS122" s="21" t="str">
        <f t="shared" si="429"/>
        <v/>
      </c>
      <c r="RT122" s="21" t="str">
        <f t="shared" si="430"/>
        <v/>
      </c>
      <c r="RU122" s="21" t="str">
        <f t="shared" si="431"/>
        <v/>
      </c>
      <c r="RV122" s="21">
        <f t="shared" si="432"/>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4"/>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31.802739726027397</v>
      </c>
      <c r="O123" s="22">
        <v>44989</v>
      </c>
      <c r="P123" s="214" t="str">
        <f t="shared" si="438"/>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7"/>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9"/>
        <v>CONCERTAR PLAN DE PARTO INMEDIATO</v>
      </c>
      <c r="DV123" s="226" t="str">
        <f t="shared" si="440"/>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1"/>
        <v>TOMA DE HEMOGLOBINA TARDÍA</v>
      </c>
      <c r="EU123" s="25" t="str">
        <f t="shared" si="275"/>
        <v/>
      </c>
      <c r="EV123" s="24" t="s">
        <v>866</v>
      </c>
      <c r="EW123" s="24">
        <v>44989</v>
      </c>
      <c r="EX123" s="22"/>
      <c r="EY123" s="29">
        <f t="shared" si="454"/>
        <v>10.857142857142858</v>
      </c>
      <c r="EZ123" s="25" t="str">
        <f t="shared" ca="1" si="455"/>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2"/>
        <v>PIERDE TOMA DE TAMIZAJE</v>
      </c>
      <c r="FP123" s="22"/>
      <c r="FQ123" s="32"/>
      <c r="FR123" s="29" t="str">
        <f t="shared" ca="1" si="443"/>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3"/>
        <v>10.857142857142858</v>
      </c>
      <c r="GB123" s="22"/>
      <c r="GC123" s="22"/>
      <c r="GD123" s="29" t="str">
        <f t="shared" ca="1" si="491"/>
        <v>PIERDE TOMA DE TAMIZAJE</v>
      </c>
      <c r="GE123" s="22"/>
      <c r="GF123" s="22"/>
      <c r="GG123" s="29" t="str">
        <f t="shared" ca="1" si="445"/>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8"/>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t="str">
        <f t="shared" ca="1" si="289"/>
        <v>**********************MULTIPARIDAD*****************</v>
      </c>
      <c r="HK123" s="21" t="str">
        <f t="shared" si="290"/>
        <v>SIN ANTECEDENTES DE RIESGO</v>
      </c>
      <c r="HL123" s="24" t="str">
        <f t="shared" si="291"/>
        <v>APARENTEMENTE NORMAL</v>
      </c>
      <c r="HM123" s="21" t="e">
        <f t="shared" ca="1" si="292"/>
        <v>#REF!</v>
      </c>
      <c r="HN123" s="30" t="str">
        <f t="shared" si="446"/>
        <v>ACTIVA INGRESO A CPN</v>
      </c>
      <c r="HO123" s="21"/>
      <c r="HP123" s="21"/>
      <c r="HQ123" s="349">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3"/>
        <v>18.714285714285715</v>
      </c>
      <c r="IA123" s="26"/>
      <c r="IB123" s="26"/>
      <c r="IC123" s="111"/>
      <c r="ID123" s="22"/>
      <c r="IE123" s="22" t="str">
        <f t="shared" ca="1" si="294"/>
        <v/>
      </c>
      <c r="IF123" s="22"/>
      <c r="IG123" s="22">
        <f t="shared" si="295"/>
        <v>45193</v>
      </c>
      <c r="IH123" s="29">
        <f t="shared" ca="1" si="296"/>
        <v>-39</v>
      </c>
      <c r="II123" s="22" t="str">
        <f t="shared" ca="1" si="297"/>
        <v>POSIBLEMENTE NACIO</v>
      </c>
      <c r="IJ123" s="22"/>
      <c r="IK123" s="21"/>
      <c r="IL123" s="21"/>
      <c r="IM123" s="34"/>
      <c r="IN123" s="22"/>
      <c r="IO123" s="21"/>
      <c r="IP123" s="29" t="str">
        <f t="shared" si="490"/>
        <v/>
      </c>
      <c r="IQ123" s="35"/>
      <c r="IR123" s="21"/>
      <c r="IS123" s="21"/>
      <c r="IT123" s="21"/>
      <c r="IU123" s="21"/>
      <c r="IV123" s="21"/>
      <c r="IW123" s="21"/>
      <c r="IX123" s="21"/>
      <c r="IY123" s="21"/>
      <c r="IZ123" s="21"/>
      <c r="JA123" s="21"/>
      <c r="JB123" s="30"/>
      <c r="JC123" s="21"/>
      <c r="JD123" s="36"/>
      <c r="JE123" s="21" t="str">
        <f t="shared" si="492"/>
        <v/>
      </c>
      <c r="JF123" s="30"/>
      <c r="JG123" s="21"/>
      <c r="JH123" s="21"/>
      <c r="JI123" s="21"/>
      <c r="JJ123" s="30"/>
      <c r="JK123" s="22"/>
      <c r="JL123" s="22"/>
      <c r="JM123" s="21"/>
      <c r="JN123" s="36"/>
      <c r="JO123" s="21" t="str">
        <f t="shared" si="493"/>
        <v/>
      </c>
      <c r="JP123" s="22"/>
      <c r="JQ123" s="21"/>
      <c r="JR123" s="21"/>
      <c r="JS123" s="21"/>
      <c r="JT123" s="30"/>
      <c r="JU123" s="22"/>
      <c r="JV123" s="22"/>
      <c r="JW123" s="33"/>
      <c r="JX123" s="28" t="str">
        <f t="shared" si="494"/>
        <v/>
      </c>
      <c r="JY123" s="33"/>
      <c r="JZ123" s="28" t="str">
        <f t="shared" si="495"/>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9"/>
        <v>0</v>
      </c>
      <c r="MI123" s="43" t="str">
        <f t="shared" si="460"/>
        <v/>
      </c>
      <c r="MJ123" s="43" t="str">
        <f t="shared" si="461"/>
        <v/>
      </c>
      <c r="MK123" s="43">
        <f t="shared" si="462"/>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3"/>
        <v>10.857142857142858</v>
      </c>
      <c r="MN123" s="43">
        <f t="shared" si="464"/>
        <v>3</v>
      </c>
      <c r="MO123" s="43">
        <f t="shared" si="465"/>
        <v>2023</v>
      </c>
      <c r="MP123" s="43" t="str">
        <f t="shared" si="466"/>
        <v>I TRIMESTRE AÑO</v>
      </c>
      <c r="MQ123" s="43">
        <f t="shared" si="467"/>
        <v>30.669623302671923</v>
      </c>
      <c r="MR123" s="43">
        <f t="shared" si="468"/>
        <v>0</v>
      </c>
      <c r="MS123" s="43" t="str">
        <f t="shared" si="469"/>
        <v xml:space="preserve"> DE 30 A 34 AÑOS</v>
      </c>
      <c r="MT123" s="43">
        <f t="shared" si="470"/>
        <v>0</v>
      </c>
      <c r="MU123" s="43">
        <f t="shared" si="471"/>
        <v>1</v>
      </c>
      <c r="MV123" s="43">
        <f t="shared" si="472"/>
        <v>0</v>
      </c>
      <c r="MW123" s="43">
        <f t="shared" si="473"/>
        <v>0</v>
      </c>
      <c r="MX123" s="43" t="str">
        <f t="shared" si="474"/>
        <v/>
      </c>
      <c r="MY123" s="43" t="str">
        <f t="shared" ca="1" si="496"/>
        <v/>
      </c>
      <c r="MZ123" s="43" t="str">
        <f t="shared" si="475"/>
        <v/>
      </c>
      <c r="NA123" s="43" t="str">
        <f t="shared" si="476"/>
        <v/>
      </c>
      <c r="NB123" s="43" t="str">
        <f t="shared" si="477"/>
        <v/>
      </c>
      <c r="NC123" s="43" t="str">
        <f t="shared" si="478"/>
        <v/>
      </c>
      <c r="ND123" s="43">
        <f t="shared" ca="1" si="479"/>
        <v>1</v>
      </c>
      <c r="NE123" s="43">
        <f>IF(OR(O123&gt;0,R123&gt;0),SUM(COUNTIF(Tabla1[[#This Row],[AÑOS AL INICIO5 CPN]],"&gt;=40"),COUNTIF(AS123,"0"),COUNTIF(AR123,"SI"),COUNTIF(CC123,"SI"),COUNTIF(BQ123,"&gt;119"),COUNTIF(CI123,"&gt;=35")),"")</f>
        <v>1</v>
      </c>
      <c r="NF123" s="43" t="str">
        <f t="shared" si="480"/>
        <v/>
      </c>
      <c r="NG123" s="43">
        <f t="shared" si="481"/>
        <v>0</v>
      </c>
      <c r="NH123" s="43" t="str">
        <f t="shared" si="482"/>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3"/>
        <v>X</v>
      </c>
      <c r="NM123" s="43" t="str">
        <f t="shared" si="456"/>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4"/>
        <v>I TRIM</v>
      </c>
      <c r="NQ123" s="21" t="str">
        <f t="shared" si="437"/>
        <v/>
      </c>
      <c r="NR123" s="21" t="str">
        <f t="shared" ca="1" si="497"/>
        <v>REVISAR FUM O FECHA SALIDA PROGRAMA</v>
      </c>
      <c r="NS123" s="205">
        <f t="shared" ca="1" si="485"/>
        <v>1</v>
      </c>
      <c r="NT123" s="21">
        <f t="shared" ca="1" si="486"/>
        <v>1</v>
      </c>
      <c r="NU123" s="21" t="str">
        <f t="shared" ca="1" si="487"/>
        <v>POR DEFINIR</v>
      </c>
      <c r="NV123" s="21" t="str">
        <f t="shared" ca="1" si="488"/>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9"/>
        <v>SIN VACUNAR</v>
      </c>
      <c r="NY123" s="43">
        <f>ROW(Tabla1[[#This Row],['# DE TAMIZAJES SIFILIS TOMADOS ]])</f>
        <v>123</v>
      </c>
      <c r="NZ123" s="43">
        <f t="shared" si="334"/>
        <v>10</v>
      </c>
      <c r="OA123" s="43" t="str">
        <f t="shared" si="335"/>
        <v/>
      </c>
      <c r="OB123" s="43" t="str">
        <f t="shared" si="336"/>
        <v>NORMAL</v>
      </c>
      <c r="OC123" s="43" t="str">
        <f t="shared" si="337"/>
        <v/>
      </c>
      <c r="OD123" s="43" t="str">
        <f t="shared" si="338"/>
        <v/>
      </c>
      <c r="OE123" s="43" t="str">
        <f t="shared" si="339"/>
        <v/>
      </c>
      <c r="OF123" s="43" t="str">
        <f t="shared" si="340"/>
        <v/>
      </c>
      <c r="OG123" s="43" t="str">
        <f t="shared" si="341"/>
        <v/>
      </c>
      <c r="OH123" s="43" t="str">
        <f t="shared" si="342"/>
        <v/>
      </c>
      <c r="OI123" s="43" t="str">
        <f t="shared" si="343"/>
        <v/>
      </c>
      <c r="OJ123" s="43" t="str">
        <f t="shared" si="344"/>
        <v/>
      </c>
      <c r="OK123" s="43" t="str">
        <f t="shared" si="345"/>
        <v/>
      </c>
      <c r="OL123" s="43" t="str">
        <f t="shared" si="346"/>
        <v/>
      </c>
      <c r="OM123" s="43" t="str">
        <f t="shared" si="347"/>
        <v/>
      </c>
      <c r="ON123" s="43" t="str">
        <f t="shared" si="348"/>
        <v/>
      </c>
      <c r="OO123" s="43" t="str">
        <f t="shared" si="349"/>
        <v/>
      </c>
      <c r="OP123" s="43" t="str">
        <f t="shared" si="350"/>
        <v/>
      </c>
      <c r="OQ123" s="43" t="str">
        <f t="shared" si="351"/>
        <v/>
      </c>
      <c r="OR123" s="43" t="str">
        <f t="shared" si="352"/>
        <v/>
      </c>
      <c r="OS123" s="43" t="str">
        <f t="shared" si="353"/>
        <v/>
      </c>
      <c r="OT123" s="43" t="str">
        <f t="shared" si="354"/>
        <v/>
      </c>
      <c r="OU123" s="43" t="str">
        <f t="shared" si="355"/>
        <v/>
      </c>
      <c r="OV123" s="110" t="str">
        <f t="shared" si="356"/>
        <v/>
      </c>
      <c r="OW123" s="43" t="str">
        <f t="shared" si="357"/>
        <v/>
      </c>
      <c r="OX123" s="43" t="str">
        <f t="shared" si="358"/>
        <v/>
      </c>
      <c r="OY123" s="43" t="str">
        <f t="shared" si="359"/>
        <v/>
      </c>
      <c r="OZ123" s="43" t="str">
        <f t="shared" si="360"/>
        <v/>
      </c>
      <c r="PA123" s="43" t="str">
        <f t="shared" si="361"/>
        <v/>
      </c>
      <c r="PB123" s="43" t="str">
        <f t="shared" si="362"/>
        <v/>
      </c>
      <c r="PC123" s="43" t="str">
        <f t="shared" si="363"/>
        <v/>
      </c>
      <c r="PD123" s="43" t="str">
        <f t="shared" si="364"/>
        <v/>
      </c>
      <c r="PE123" s="43" t="str">
        <f t="shared" si="365"/>
        <v/>
      </c>
      <c r="PF123" s="43" t="str">
        <f t="shared" si="366"/>
        <v/>
      </c>
      <c r="PG123" s="43" t="str">
        <f t="shared" si="367"/>
        <v/>
      </c>
      <c r="PH123" s="43" t="str">
        <f t="shared" si="368"/>
        <v/>
      </c>
      <c r="PI123" s="43">
        <f t="shared" si="369"/>
        <v>24</v>
      </c>
      <c r="PJ123" s="43" t="str">
        <f t="shared" si="370"/>
        <v/>
      </c>
      <c r="PK123" s="43" t="str">
        <f t="shared" si="371"/>
        <v/>
      </c>
      <c r="PL123" s="43" t="str">
        <f t="shared" si="372"/>
        <v/>
      </c>
      <c r="PM123" s="43" t="str">
        <f t="shared" si="373"/>
        <v/>
      </c>
      <c r="PN123" s="43" t="str">
        <f t="shared" si="374"/>
        <v/>
      </c>
      <c r="PO123" s="43" t="str">
        <f t="shared" si="375"/>
        <v/>
      </c>
      <c r="PP123" s="43" t="str">
        <f t="shared" si="376"/>
        <v/>
      </c>
      <c r="PQ123" s="43" t="str">
        <f t="shared" si="377"/>
        <v/>
      </c>
      <c r="PR123" s="43" t="str">
        <f t="shared" si="378"/>
        <v/>
      </c>
      <c r="PS123" s="43" t="str">
        <f t="shared" si="379"/>
        <v/>
      </c>
      <c r="PT123" s="43" t="str">
        <f t="shared" si="380"/>
        <v/>
      </c>
      <c r="PU123" s="43" t="str">
        <f t="shared" si="381"/>
        <v/>
      </c>
      <c r="PV123" s="43" t="str">
        <f t="shared" si="382"/>
        <v/>
      </c>
      <c r="PW123" s="43" t="str">
        <f t="shared" si="383"/>
        <v/>
      </c>
      <c r="PX123" s="43" t="str">
        <f t="shared" si="384"/>
        <v/>
      </c>
      <c r="PY123" s="43" t="str">
        <f t="shared" si="385"/>
        <v>NORMAL</v>
      </c>
      <c r="PZ123" s="43" t="str">
        <f t="shared" si="386"/>
        <v/>
      </c>
      <c r="QA123" s="43" t="str">
        <f t="shared" si="387"/>
        <v/>
      </c>
      <c r="QB123" s="43" t="str">
        <f t="shared" si="388"/>
        <v/>
      </c>
      <c r="QC123" s="43" t="str">
        <f t="shared" si="389"/>
        <v/>
      </c>
      <c r="QD123" s="43" t="str">
        <f t="shared" si="390"/>
        <v/>
      </c>
      <c r="QE123" s="43" t="str">
        <f t="shared" si="391"/>
        <v/>
      </c>
      <c r="QF123" s="43" t="str">
        <f t="shared" si="392"/>
        <v/>
      </c>
      <c r="QG123" s="43" t="str">
        <f t="shared" si="393"/>
        <v/>
      </c>
      <c r="QH123" s="43" t="str">
        <f t="shared" si="394"/>
        <v/>
      </c>
      <c r="QI123" s="43" t="str">
        <f t="shared" si="395"/>
        <v/>
      </c>
      <c r="QJ123" s="43" t="str">
        <f t="shared" si="396"/>
        <v/>
      </c>
      <c r="QK123" s="43" t="str">
        <f t="shared" si="397"/>
        <v/>
      </c>
      <c r="QL123" s="43" t="str">
        <f t="shared" si="398"/>
        <v/>
      </c>
      <c r="QM123" s="43" t="str">
        <f t="shared" si="399"/>
        <v/>
      </c>
      <c r="QN123" s="43" t="str">
        <f t="shared" si="400"/>
        <v/>
      </c>
      <c r="QO123" s="43" t="str">
        <f t="shared" si="401"/>
        <v/>
      </c>
      <c r="QP123" s="43" t="str">
        <f t="shared" si="402"/>
        <v/>
      </c>
      <c r="QQ123" s="43" t="str">
        <f t="shared" si="403"/>
        <v/>
      </c>
      <c r="QR123" s="43">
        <f t="shared" si="433"/>
        <v>24</v>
      </c>
      <c r="QS123" s="43"/>
      <c r="QT123" s="21" t="str">
        <f t="shared" si="404"/>
        <v/>
      </c>
      <c r="QU123" s="21" t="str">
        <f t="shared" si="405"/>
        <v/>
      </c>
      <c r="QV123" s="21" t="str">
        <f t="shared" si="406"/>
        <v/>
      </c>
      <c r="QW123" s="21" t="str">
        <f t="shared" si="407"/>
        <v/>
      </c>
      <c r="QX123" s="21" t="str">
        <f t="shared" si="408"/>
        <v/>
      </c>
      <c r="QY123" s="21" t="str">
        <f t="shared" si="409"/>
        <v/>
      </c>
      <c r="QZ123" s="21" t="str">
        <f t="shared" si="410"/>
        <v/>
      </c>
      <c r="RA123" s="21" t="str">
        <f t="shared" si="411"/>
        <v/>
      </c>
      <c r="RB123" s="21" t="str">
        <f t="shared" si="412"/>
        <v/>
      </c>
      <c r="RC123" s="21" t="str">
        <f t="shared" si="413"/>
        <v/>
      </c>
      <c r="RD123" s="21" t="str">
        <f t="shared" si="414"/>
        <v/>
      </c>
      <c r="RE123" s="21" t="str">
        <f t="shared" si="415"/>
        <v>ADECUADO PARA EDAD GESTACIONAL</v>
      </c>
      <c r="RF123" s="21" t="str">
        <f t="shared" si="416"/>
        <v/>
      </c>
      <c r="RG123" s="21" t="str">
        <f t="shared" si="417"/>
        <v/>
      </c>
      <c r="RH123" s="21" t="str">
        <f t="shared" si="418"/>
        <v/>
      </c>
      <c r="RI123" s="21" t="str">
        <f t="shared" si="419"/>
        <v/>
      </c>
      <c r="RJ123" s="21" t="str">
        <f t="shared" si="420"/>
        <v/>
      </c>
      <c r="RK123" s="21" t="str">
        <f t="shared" si="421"/>
        <v/>
      </c>
      <c r="RL123" s="21" t="str">
        <f t="shared" si="422"/>
        <v/>
      </c>
      <c r="RM123" s="21" t="str">
        <f t="shared" si="423"/>
        <v/>
      </c>
      <c r="RN123" s="21" t="str">
        <f t="shared" si="424"/>
        <v/>
      </c>
      <c r="RO123" s="21" t="str">
        <f t="shared" si="425"/>
        <v/>
      </c>
      <c r="RP123" s="21" t="str">
        <f t="shared" si="426"/>
        <v/>
      </c>
      <c r="RQ123" s="21" t="str">
        <f t="shared" si="427"/>
        <v/>
      </c>
      <c r="RR123" s="21" t="str">
        <f t="shared" si="428"/>
        <v/>
      </c>
      <c r="RS123" s="21" t="str">
        <f t="shared" si="429"/>
        <v/>
      </c>
      <c r="RT123" s="21" t="str">
        <f t="shared" si="430"/>
        <v/>
      </c>
      <c r="RU123" s="21" t="str">
        <f t="shared" si="431"/>
        <v/>
      </c>
      <c r="RV123" s="21">
        <f t="shared" si="432"/>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4"/>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23.909589041095892</v>
      </c>
      <c r="O124" s="22">
        <v>44993</v>
      </c>
      <c r="P124" s="214" t="str">
        <f t="shared" si="438"/>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39.857142857142854</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7"/>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9"/>
        <v>CONCERTAR PLAN DE PARTO INMEDIATO</v>
      </c>
      <c r="DV124" s="226" t="str">
        <f t="shared" si="440"/>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4">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1"/>
        <v>TOMA DE HEMOGLOBINA TARDÍA</v>
      </c>
      <c r="EU124" s="25" t="str">
        <f t="shared" si="275"/>
        <v/>
      </c>
      <c r="EV124" s="24" t="s">
        <v>866</v>
      </c>
      <c r="EW124" s="24">
        <v>44993</v>
      </c>
      <c r="EX124" s="22"/>
      <c r="EY124" s="29">
        <f t="shared" si="454"/>
        <v>5.7142857142857144</v>
      </c>
      <c r="EZ124" s="25" t="str">
        <f t="shared" ca="1" si="455"/>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2"/>
        <v>PIERDE TOMA DE TAMIZAJE</v>
      </c>
      <c r="FP124" s="22"/>
      <c r="FQ124" s="32"/>
      <c r="FR124" s="29" t="str">
        <f t="shared" ca="1" si="443"/>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3"/>
        <v>5.7142857142857144</v>
      </c>
      <c r="GB124" s="22"/>
      <c r="GC124" s="22"/>
      <c r="GD124" s="29" t="str">
        <f t="shared" ca="1" si="491"/>
        <v>PIERDE TOMA DE TAMIZAJE</v>
      </c>
      <c r="GE124" s="22"/>
      <c r="GF124" s="22"/>
      <c r="GG124" s="29" t="str">
        <f t="shared" ca="1" si="445"/>
        <v>TOMA INMEDIATA DE TAMIZAJE</v>
      </c>
      <c r="GH124" s="22"/>
      <c r="GI124" s="29"/>
      <c r="GJ124" s="22"/>
      <c r="GK124" s="22"/>
      <c r="GL124" s="22"/>
      <c r="GM124" s="22"/>
      <c r="GN124" s="28"/>
      <c r="GO124" s="22"/>
      <c r="GP124" s="29" t="str">
        <f t="shared" si="283"/>
        <v>TOMAR EXAMEN</v>
      </c>
      <c r="GQ124" s="28"/>
      <c r="GR124" s="28"/>
      <c r="GS124" s="22" t="str">
        <f t="shared" si="458"/>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t="str">
        <f t="shared" ca="1" si="289"/>
        <v>**********************MULTIPARIDAD*****************</v>
      </c>
      <c r="HK124" s="21" t="str">
        <f t="shared" si="290"/>
        <v>SIN ANTECEDENTES DE RIESGO</v>
      </c>
      <c r="HL124" s="24" t="str">
        <f t="shared" si="291"/>
        <v>REGISTRE DATO PRESIÓN ARTERIAL MENSUAL</v>
      </c>
      <c r="HM124" s="21" t="e">
        <f t="shared" ca="1" si="292"/>
        <v>#REF!</v>
      </c>
      <c r="HN124" s="30" t="str">
        <f t="shared" si="446"/>
        <v>ACTIVA INGRESO A CPN</v>
      </c>
      <c r="HO124" s="21"/>
      <c r="HP124" s="21"/>
      <c r="HQ124" s="349">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3"/>
        <v>PENDIENTE CONSULTA</v>
      </c>
      <c r="IA124" s="26"/>
      <c r="IB124" s="26"/>
      <c r="IC124" s="111"/>
      <c r="ID124" s="22"/>
      <c r="IE124" s="22" t="str">
        <f t="shared" ca="1" si="294"/>
        <v>INASISTENTE</v>
      </c>
      <c r="IF124" s="22"/>
      <c r="IG124" s="22">
        <f t="shared" si="295"/>
        <v>45233</v>
      </c>
      <c r="IH124" s="29">
        <f t="shared" ca="1" si="296"/>
        <v>1</v>
      </c>
      <c r="II124" s="22" t="str">
        <f t="shared" ca="1" si="297"/>
        <v>SEMANA DE PARTO</v>
      </c>
      <c r="IJ124" s="22"/>
      <c r="IK124" s="21"/>
      <c r="IL124" s="21"/>
      <c r="IM124" s="34"/>
      <c r="IN124" s="22"/>
      <c r="IO124" s="21"/>
      <c r="IP124" s="29" t="str">
        <f t="shared" si="490"/>
        <v/>
      </c>
      <c r="IQ124" s="35"/>
      <c r="IR124" s="21"/>
      <c r="IS124" s="21"/>
      <c r="IT124" s="21"/>
      <c r="IU124" s="21"/>
      <c r="IV124" s="21"/>
      <c r="IW124" s="21"/>
      <c r="IX124" s="21"/>
      <c r="IY124" s="21"/>
      <c r="IZ124" s="21"/>
      <c r="JA124" s="21"/>
      <c r="JB124" s="30"/>
      <c r="JC124" s="21"/>
      <c r="JD124" s="36"/>
      <c r="JE124" s="21" t="str">
        <f t="shared" si="492"/>
        <v/>
      </c>
      <c r="JF124" s="30"/>
      <c r="JG124" s="21"/>
      <c r="JH124" s="21"/>
      <c r="JI124" s="21"/>
      <c r="JJ124" s="30"/>
      <c r="JK124" s="22"/>
      <c r="JL124" s="22"/>
      <c r="JM124" s="21"/>
      <c r="JN124" s="36"/>
      <c r="JO124" s="21" t="str">
        <f t="shared" si="493"/>
        <v/>
      </c>
      <c r="JP124" s="22"/>
      <c r="JQ124" s="21"/>
      <c r="JR124" s="21"/>
      <c r="JS124" s="21"/>
      <c r="JT124" s="30"/>
      <c r="JU124" s="22"/>
      <c r="JV124" s="22"/>
      <c r="JW124" s="33"/>
      <c r="JX124" s="28" t="str">
        <f t="shared" si="494"/>
        <v/>
      </c>
      <c r="JY124" s="33"/>
      <c r="JZ124" s="28" t="str">
        <f t="shared" si="495"/>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9"/>
        <v>0</v>
      </c>
      <c r="MI124" s="43" t="str">
        <f t="shared" si="460"/>
        <v/>
      </c>
      <c r="MJ124" s="43" t="str">
        <f t="shared" si="461"/>
        <v/>
      </c>
      <c r="MK124" s="43">
        <f t="shared" si="462"/>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3"/>
        <v>5.7142857142857144</v>
      </c>
      <c r="MN124" s="43">
        <f t="shared" si="464"/>
        <v>3</v>
      </c>
      <c r="MO124" s="43">
        <f t="shared" si="465"/>
        <v>2023</v>
      </c>
      <c r="MP124" s="43" t="str">
        <f t="shared" si="466"/>
        <v>I TRIMESTRE AÑO</v>
      </c>
      <c r="MQ124" s="43">
        <f t="shared" si="467"/>
        <v>22.905716162943495</v>
      </c>
      <c r="MR124" s="43">
        <f t="shared" si="468"/>
        <v>0</v>
      </c>
      <c r="MS124" s="43" t="str">
        <f t="shared" si="469"/>
        <v xml:space="preserve"> DE 20 A 24 AÑOS</v>
      </c>
      <c r="MT124" s="43">
        <f t="shared" si="470"/>
        <v>0</v>
      </c>
      <c r="MU124" s="43">
        <f t="shared" si="471"/>
        <v>1</v>
      </c>
      <c r="MV124" s="43">
        <f t="shared" si="472"/>
        <v>0</v>
      </c>
      <c r="MW124" s="43">
        <f t="shared" si="473"/>
        <v>0</v>
      </c>
      <c r="MX124" s="43" t="str">
        <f t="shared" si="474"/>
        <v/>
      </c>
      <c r="MY124" s="43" t="str">
        <f t="shared" ca="1" si="496"/>
        <v/>
      </c>
      <c r="MZ124" s="43" t="str">
        <f t="shared" si="475"/>
        <v/>
      </c>
      <c r="NA124" s="43" t="str">
        <f t="shared" si="476"/>
        <v/>
      </c>
      <c r="NB124" s="43" t="str">
        <f t="shared" si="477"/>
        <v/>
      </c>
      <c r="NC124" s="43" t="str">
        <f t="shared" si="478"/>
        <v/>
      </c>
      <c r="ND124" s="43">
        <f t="shared" ca="1" si="479"/>
        <v>1</v>
      </c>
      <c r="NE124" s="43">
        <f>IF(OR(O124&gt;0,R124&gt;0),SUM(COUNTIF(Tabla1[[#This Row],[AÑOS AL INICIO5 CPN]],"&gt;=40"),COUNTIF(AS124,"0"),COUNTIF(AR124,"SI"),COUNTIF(CC124,"SI"),COUNTIF(BQ124,"&gt;119"),COUNTIF(CI124,"&gt;=35")),"")</f>
        <v>1</v>
      </c>
      <c r="NF124" s="43" t="str">
        <f t="shared" si="480"/>
        <v/>
      </c>
      <c r="NG124" s="43">
        <f t="shared" si="481"/>
        <v>0</v>
      </c>
      <c r="NH124" s="43">
        <f t="shared" si="482"/>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3"/>
        <v>X</v>
      </c>
      <c r="NM124" s="43" t="str">
        <f t="shared" si="456"/>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4"/>
        <v>I TRIM</v>
      </c>
      <c r="NQ124" s="21" t="str">
        <f t="shared" si="437"/>
        <v/>
      </c>
      <c r="NR124" s="21">
        <f t="shared" ca="1" si="497"/>
        <v>3</v>
      </c>
      <c r="NS124" s="205">
        <f t="shared" ca="1" si="485"/>
        <v>1</v>
      </c>
      <c r="NT124" s="21">
        <f t="shared" ca="1" si="486"/>
        <v>1</v>
      </c>
      <c r="NU124" s="21" t="str">
        <f t="shared" ca="1" si="487"/>
        <v>INCOMPLETO</v>
      </c>
      <c r="NV124" s="21" t="str">
        <f t="shared" ca="1" si="488"/>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9"/>
        <v>SIN VACUNAR</v>
      </c>
      <c r="NY124" s="43">
        <f>ROW(Tabla1[[#This Row],['# DE TAMIZAJES SIFILIS TOMADOS ]])</f>
        <v>124</v>
      </c>
      <c r="NZ124" s="43" t="str">
        <f t="shared" si="334"/>
        <v>Menor</v>
      </c>
      <c r="OA124" s="43" t="str">
        <f t="shared" si="335"/>
        <v>NORMAL</v>
      </c>
      <c r="OB124" s="43" t="str">
        <f t="shared" si="336"/>
        <v/>
      </c>
      <c r="OC124" s="43" t="str">
        <f t="shared" si="337"/>
        <v/>
      </c>
      <c r="OD124" s="43" t="str">
        <f t="shared" si="338"/>
        <v/>
      </c>
      <c r="OE124" s="43" t="str">
        <f t="shared" si="339"/>
        <v/>
      </c>
      <c r="OF124" s="43" t="str">
        <f t="shared" si="340"/>
        <v/>
      </c>
      <c r="OG124" s="43" t="str">
        <f t="shared" si="341"/>
        <v/>
      </c>
      <c r="OH124" s="43" t="str">
        <f t="shared" si="342"/>
        <v/>
      </c>
      <c r="OI124" s="43" t="str">
        <f t="shared" si="343"/>
        <v/>
      </c>
      <c r="OJ124" s="43" t="str">
        <f t="shared" si="344"/>
        <v/>
      </c>
      <c r="OK124" s="43" t="str">
        <f t="shared" si="345"/>
        <v/>
      </c>
      <c r="OL124" s="43" t="str">
        <f t="shared" si="346"/>
        <v/>
      </c>
      <c r="OM124" s="43" t="str">
        <f t="shared" si="347"/>
        <v/>
      </c>
      <c r="ON124" s="43" t="str">
        <f t="shared" si="348"/>
        <v/>
      </c>
      <c r="OO124" s="43" t="str">
        <f t="shared" si="349"/>
        <v/>
      </c>
      <c r="OP124" s="43" t="str">
        <f t="shared" si="350"/>
        <v/>
      </c>
      <c r="OQ124" s="43" t="str">
        <f t="shared" si="351"/>
        <v/>
      </c>
      <c r="OR124" s="43" t="str">
        <f t="shared" si="352"/>
        <v/>
      </c>
      <c r="OS124" s="43" t="str">
        <f t="shared" si="353"/>
        <v/>
      </c>
      <c r="OT124" s="43" t="str">
        <f t="shared" si="354"/>
        <v/>
      </c>
      <c r="OU124" s="43" t="str">
        <f t="shared" si="355"/>
        <v/>
      </c>
      <c r="OV124" s="110" t="str">
        <f t="shared" si="356"/>
        <v/>
      </c>
      <c r="OW124" s="43" t="str">
        <f t="shared" si="357"/>
        <v/>
      </c>
      <c r="OX124" s="43" t="str">
        <f t="shared" si="358"/>
        <v/>
      </c>
      <c r="OY124" s="43" t="str">
        <f t="shared" si="359"/>
        <v/>
      </c>
      <c r="OZ124" s="43" t="str">
        <f t="shared" si="360"/>
        <v/>
      </c>
      <c r="PA124" s="43" t="str">
        <f t="shared" si="361"/>
        <v/>
      </c>
      <c r="PB124" s="43" t="str">
        <f t="shared" si="362"/>
        <v/>
      </c>
      <c r="PC124" s="43" t="str">
        <f t="shared" si="363"/>
        <v/>
      </c>
      <c r="PD124" s="43" t="str">
        <f t="shared" si="364"/>
        <v/>
      </c>
      <c r="PE124" s="43" t="str">
        <f t="shared" si="365"/>
        <v/>
      </c>
      <c r="PF124" s="43" t="str">
        <f t="shared" si="366"/>
        <v/>
      </c>
      <c r="PG124" s="43" t="str">
        <f t="shared" si="367"/>
        <v/>
      </c>
      <c r="PH124" s="43" t="str">
        <f t="shared" si="368"/>
        <v/>
      </c>
      <c r="PI124" s="43" t="str">
        <f t="shared" si="369"/>
        <v>Menor</v>
      </c>
      <c r="PJ124" s="43" t="str">
        <f t="shared" si="370"/>
        <v/>
      </c>
      <c r="PK124" s="43" t="str">
        <f t="shared" si="371"/>
        <v/>
      </c>
      <c r="PL124" s="43" t="str">
        <f t="shared" si="372"/>
        <v/>
      </c>
      <c r="PM124" s="43" t="str">
        <f t="shared" si="373"/>
        <v/>
      </c>
      <c r="PN124" s="43" t="str">
        <f t="shared" si="374"/>
        <v/>
      </c>
      <c r="PO124" s="43" t="str">
        <f t="shared" si="375"/>
        <v/>
      </c>
      <c r="PP124" s="43" t="str">
        <f t="shared" si="376"/>
        <v/>
      </c>
      <c r="PQ124" s="43" t="str">
        <f t="shared" si="377"/>
        <v/>
      </c>
      <c r="PR124" s="43" t="str">
        <f t="shared" si="378"/>
        <v/>
      </c>
      <c r="PS124" s="43" t="str">
        <f t="shared" si="379"/>
        <v/>
      </c>
      <c r="PT124" s="43" t="str">
        <f t="shared" si="380"/>
        <v/>
      </c>
      <c r="PU124" s="43" t="str">
        <f t="shared" si="381"/>
        <v/>
      </c>
      <c r="PV124" s="43" t="str">
        <f t="shared" si="382"/>
        <v/>
      </c>
      <c r="PW124" s="43" t="str">
        <f t="shared" si="383"/>
        <v/>
      </c>
      <c r="PX124" s="43" t="str">
        <f t="shared" si="384"/>
        <v/>
      </c>
      <c r="PY124" s="43" t="str">
        <f t="shared" si="385"/>
        <v/>
      </c>
      <c r="PZ124" s="43" t="str">
        <f t="shared" si="386"/>
        <v/>
      </c>
      <c r="QA124" s="43" t="str">
        <f t="shared" si="387"/>
        <v/>
      </c>
      <c r="QB124" s="43" t="str">
        <f t="shared" si="388"/>
        <v/>
      </c>
      <c r="QC124" s="43" t="str">
        <f t="shared" si="389"/>
        <v/>
      </c>
      <c r="QD124" s="43" t="str">
        <f t="shared" si="390"/>
        <v/>
      </c>
      <c r="QE124" s="43" t="str">
        <f t="shared" si="391"/>
        <v/>
      </c>
      <c r="QF124" s="43" t="str">
        <f t="shared" si="392"/>
        <v/>
      </c>
      <c r="QG124" s="43" t="str">
        <f t="shared" si="393"/>
        <v/>
      </c>
      <c r="QH124" s="43" t="str">
        <f t="shared" si="394"/>
        <v/>
      </c>
      <c r="QI124" s="43" t="str">
        <f t="shared" si="395"/>
        <v/>
      </c>
      <c r="QJ124" s="43" t="str">
        <f t="shared" si="396"/>
        <v/>
      </c>
      <c r="QK124" s="43" t="str">
        <f t="shared" si="397"/>
        <v/>
      </c>
      <c r="QL124" s="43" t="str">
        <f t="shared" si="398"/>
        <v/>
      </c>
      <c r="QM124" s="43" t="str">
        <f t="shared" si="399"/>
        <v/>
      </c>
      <c r="QN124" s="43" t="str">
        <f t="shared" si="400"/>
        <v/>
      </c>
      <c r="QO124" s="43" t="str">
        <f t="shared" si="401"/>
        <v/>
      </c>
      <c r="QP124" s="43" t="str">
        <f t="shared" si="402"/>
        <v/>
      </c>
      <c r="QQ124" s="43" t="str">
        <f t="shared" si="403"/>
        <v/>
      </c>
      <c r="QR124" s="43" t="str">
        <f t="shared" si="433"/>
        <v>Menor</v>
      </c>
      <c r="QS124" s="43"/>
      <c r="QT124" s="21" t="str">
        <f t="shared" si="404"/>
        <v/>
      </c>
      <c r="QU124" s="21" t="str">
        <f t="shared" si="405"/>
        <v/>
      </c>
      <c r="QV124" s="21" t="str">
        <f t="shared" si="406"/>
        <v/>
      </c>
      <c r="QW124" s="21" t="str">
        <f t="shared" si="407"/>
        <v/>
      </c>
      <c r="QX124" s="21" t="str">
        <f t="shared" si="408"/>
        <v/>
      </c>
      <c r="QY124" s="21" t="str">
        <f t="shared" si="409"/>
        <v/>
      </c>
      <c r="QZ124" s="21" t="str">
        <f t="shared" si="410"/>
        <v/>
      </c>
      <c r="RA124" s="21" t="str">
        <f t="shared" si="411"/>
        <v/>
      </c>
      <c r="RB124" s="21" t="str">
        <f t="shared" si="412"/>
        <v/>
      </c>
      <c r="RC124" s="21" t="str">
        <f t="shared" si="413"/>
        <v/>
      </c>
      <c r="RD124" s="21" t="str">
        <f t="shared" si="414"/>
        <v/>
      </c>
      <c r="RE124" s="21" t="str">
        <f t="shared" si="415"/>
        <v/>
      </c>
      <c r="RF124" s="21" t="str">
        <f t="shared" si="416"/>
        <v/>
      </c>
      <c r="RG124" s="21" t="str">
        <f t="shared" si="417"/>
        <v/>
      </c>
      <c r="RH124" s="21" t="str">
        <f t="shared" si="418"/>
        <v/>
      </c>
      <c r="RI124" s="21" t="str">
        <f t="shared" si="419"/>
        <v/>
      </c>
      <c r="RJ124" s="21" t="str">
        <f t="shared" si="420"/>
        <v/>
      </c>
      <c r="RK124" s="21" t="str">
        <f t="shared" si="421"/>
        <v/>
      </c>
      <c r="RL124" s="21" t="str">
        <f t="shared" si="422"/>
        <v/>
      </c>
      <c r="RM124" s="21" t="str">
        <f t="shared" si="423"/>
        <v/>
      </c>
      <c r="RN124" s="21" t="str">
        <f t="shared" si="424"/>
        <v/>
      </c>
      <c r="RO124" s="21" t="str">
        <f t="shared" si="425"/>
        <v/>
      </c>
      <c r="RP124" s="21" t="str">
        <f t="shared" si="426"/>
        <v/>
      </c>
      <c r="RQ124" s="21" t="str">
        <f t="shared" si="427"/>
        <v/>
      </c>
      <c r="RR124" s="21" t="str">
        <f t="shared" si="428"/>
        <v/>
      </c>
      <c r="RS124" s="21" t="str">
        <f t="shared" si="429"/>
        <v/>
      </c>
      <c r="RT124" s="21" t="str">
        <f t="shared" si="430"/>
        <v/>
      </c>
      <c r="RU124" s="21" t="str">
        <f t="shared" si="431"/>
        <v/>
      </c>
      <c r="RV124" s="21">
        <f t="shared" si="432"/>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4"/>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28.402739726027399</v>
      </c>
      <c r="O125" s="22">
        <v>44985</v>
      </c>
      <c r="P125" s="214" t="str">
        <f t="shared" si="438"/>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9"/>
        <v>CONCERTAR PLAN DE PARTO INMEDIATO</v>
      </c>
      <c r="DV125" s="226" t="str">
        <f t="shared" si="440"/>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1"/>
        <v>24.142857142857142</v>
      </c>
      <c r="EU125" s="25" t="str">
        <f t="shared" si="275"/>
        <v>NO DAR SULFATO FERROSO</v>
      </c>
      <c r="EV125" s="24" t="s">
        <v>1510</v>
      </c>
      <c r="EW125" s="32">
        <v>44985</v>
      </c>
      <c r="EX125" s="22"/>
      <c r="EY125" s="29">
        <f t="shared" si="454"/>
        <v>6.7142857142857144</v>
      </c>
      <c r="EZ125" s="25" t="str">
        <f t="shared" si="455"/>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2"/>
        <v>24.714285714285715</v>
      </c>
      <c r="FP125" s="22"/>
      <c r="FQ125" s="32"/>
      <c r="FR125" s="29" t="str">
        <f t="shared" ca="1" si="443"/>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8">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1"/>
        <v>PIERDE TOMA DE TAMIZAJE</v>
      </c>
      <c r="GE125" s="22"/>
      <c r="GF125" s="22"/>
      <c r="GG125" s="29" t="str">
        <f t="shared" ca="1" si="445"/>
        <v>TOMA INMEDIATA DE TAMIZAJE</v>
      </c>
      <c r="GH125" s="22"/>
      <c r="GI125" s="29"/>
      <c r="GJ125" s="22"/>
      <c r="GK125" s="22"/>
      <c r="GL125" s="22"/>
      <c r="GM125" s="22"/>
      <c r="GN125" s="28"/>
      <c r="GO125" s="22"/>
      <c r="GP125" s="29" t="str">
        <f t="shared" si="283"/>
        <v>TOMAR EXAMEN</v>
      </c>
      <c r="GQ125" s="28" t="s">
        <v>869</v>
      </c>
      <c r="GR125" s="28" t="s">
        <v>869</v>
      </c>
      <c r="GS125" s="22" t="str">
        <f t="shared" si="458"/>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t="str">
        <f t="shared" ca="1" si="289"/>
        <v>*************************CESAREAS PREVIAS**EMBARAZO PROLONGADO************</v>
      </c>
      <c r="HK125" s="21" t="str">
        <f t="shared" si="290"/>
        <v>SIN ANTECEDENTES DE RIESGO</v>
      </c>
      <c r="HL125" s="24" t="str">
        <f t="shared" si="291"/>
        <v>APARENTEMENTE NORMAL</v>
      </c>
      <c r="HM125" s="21" t="e">
        <f t="shared" ca="1" si="292"/>
        <v>#REF!</v>
      </c>
      <c r="HN125" s="30" t="str">
        <f t="shared" si="446"/>
        <v>ACTIVA INGRESO A CPN</v>
      </c>
      <c r="HO125" s="21"/>
      <c r="HP125" s="21"/>
      <c r="HQ125" s="349">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3"/>
        <v>4.2857142857142856</v>
      </c>
      <c r="IA125" s="26"/>
      <c r="IB125" s="26"/>
      <c r="IC125" s="111"/>
      <c r="ID125" s="22"/>
      <c r="IE125" s="22" t="str">
        <f t="shared" ca="1" si="294"/>
        <v>INASISTENTE</v>
      </c>
      <c r="IF125" s="22"/>
      <c r="IG125" s="22">
        <f t="shared" si="295"/>
        <v>45218</v>
      </c>
      <c r="IH125" s="29">
        <f t="shared" ca="1" si="296"/>
        <v>-14</v>
      </c>
      <c r="II125" s="22" t="str">
        <f t="shared" ca="1" si="297"/>
        <v>POSIBLEMENTE NACIO</v>
      </c>
      <c r="IJ125" s="22"/>
      <c r="IK125" s="21"/>
      <c r="IL125" s="21"/>
      <c r="IM125" s="34"/>
      <c r="IN125" s="22"/>
      <c r="IO125" s="21"/>
      <c r="IP125" s="29" t="str">
        <f t="shared" si="490"/>
        <v/>
      </c>
      <c r="IQ125" s="35"/>
      <c r="IR125" s="21"/>
      <c r="IS125" s="21"/>
      <c r="IT125" s="21"/>
      <c r="IU125" s="21"/>
      <c r="IV125" s="21"/>
      <c r="IW125" s="21"/>
      <c r="IX125" s="21"/>
      <c r="IY125" s="21"/>
      <c r="IZ125" s="21"/>
      <c r="JA125" s="21"/>
      <c r="JB125" s="30"/>
      <c r="JC125" s="21"/>
      <c r="JD125" s="36"/>
      <c r="JE125" s="21" t="str">
        <f t="shared" si="492"/>
        <v/>
      </c>
      <c r="JF125" s="30"/>
      <c r="JG125" s="21"/>
      <c r="JH125" s="21"/>
      <c r="JI125" s="21"/>
      <c r="JJ125" s="30"/>
      <c r="JK125" s="22"/>
      <c r="JL125" s="22"/>
      <c r="JM125" s="21"/>
      <c r="JN125" s="36"/>
      <c r="JO125" s="21" t="str">
        <f t="shared" si="493"/>
        <v/>
      </c>
      <c r="JP125" s="22"/>
      <c r="JQ125" s="21"/>
      <c r="JR125" s="21"/>
      <c r="JS125" s="21"/>
      <c r="JT125" s="30"/>
      <c r="JU125" s="22"/>
      <c r="JV125" s="22"/>
      <c r="JW125" s="33"/>
      <c r="JX125" s="28" t="str">
        <f t="shared" si="494"/>
        <v/>
      </c>
      <c r="JY125" s="33"/>
      <c r="JZ125" s="28" t="str">
        <f t="shared" si="495"/>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9"/>
        <v>0</v>
      </c>
      <c r="MI125" s="43" t="str">
        <f t="shared" si="460"/>
        <v/>
      </c>
      <c r="MJ125" s="43" t="str">
        <f t="shared" si="461"/>
        <v/>
      </c>
      <c r="MK125" s="43">
        <f t="shared" si="462"/>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3"/>
        <v>6.7142857142857144</v>
      </c>
      <c r="MN125" s="43">
        <f t="shared" si="464"/>
        <v>2</v>
      </c>
      <c r="MO125" s="43">
        <f t="shared" si="465"/>
        <v>2023</v>
      </c>
      <c r="MP125" s="43" t="str">
        <f t="shared" si="466"/>
        <v>I TRIMESTRE AÑO</v>
      </c>
      <c r="MQ125" s="43">
        <f t="shared" si="467"/>
        <v>27.302343407796759</v>
      </c>
      <c r="MR125" s="43">
        <f t="shared" si="468"/>
        <v>0</v>
      </c>
      <c r="MS125" s="43" t="str">
        <f t="shared" si="469"/>
        <v xml:space="preserve"> DE 25 A 29 AÑOS</v>
      </c>
      <c r="MT125" s="43">
        <f t="shared" si="470"/>
        <v>0</v>
      </c>
      <c r="MU125" s="43">
        <f t="shared" si="471"/>
        <v>0</v>
      </c>
      <c r="MV125" s="43">
        <f t="shared" si="472"/>
        <v>1</v>
      </c>
      <c r="MW125" s="43">
        <f t="shared" si="473"/>
        <v>0</v>
      </c>
      <c r="MX125" s="43" t="str">
        <f t="shared" si="474"/>
        <v/>
      </c>
      <c r="MY125" s="43">
        <f t="shared" ca="1" si="496"/>
        <v>1</v>
      </c>
      <c r="MZ125" s="43" t="str">
        <f t="shared" si="475"/>
        <v/>
      </c>
      <c r="NA125" s="43" t="str">
        <f t="shared" si="476"/>
        <v/>
      </c>
      <c r="NB125" s="43" t="str">
        <f t="shared" si="477"/>
        <v/>
      </c>
      <c r="NC125" s="43" t="str">
        <f t="shared" si="478"/>
        <v/>
      </c>
      <c r="ND125" s="43">
        <f t="shared" ca="1" si="479"/>
        <v>2</v>
      </c>
      <c r="NE125" s="43">
        <f>IF(OR(O125&gt;0,R125&gt;0),SUM(COUNTIF(Tabla1[[#This Row],[AÑOS AL INICIO5 CPN]],"&gt;=40"),COUNTIF(AS125,"0"),COUNTIF(AR125,"SI"),COUNTIF(CC125,"SI"),COUNTIF(BQ125,"&gt;119"),COUNTIF(CI125,"&gt;=35")),"")</f>
        <v>0</v>
      </c>
      <c r="NF125" s="43" t="str">
        <f t="shared" si="480"/>
        <v/>
      </c>
      <c r="NG125" s="43">
        <f t="shared" si="481"/>
        <v>0</v>
      </c>
      <c r="NH125" s="43">
        <f t="shared" si="482"/>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3"/>
        <v>12</v>
      </c>
      <c r="NM125" s="43" t="str">
        <f t="shared" si="456"/>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4"/>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7"/>
        <v>3</v>
      </c>
      <c r="NS125" s="205">
        <f t="shared" ca="1" si="485"/>
        <v>2</v>
      </c>
      <c r="NT125" s="21">
        <f t="shared" ca="1" si="486"/>
        <v>1</v>
      </c>
      <c r="NU125" s="21" t="str">
        <f t="shared" ca="1" si="487"/>
        <v>INCOMPLETO</v>
      </c>
      <c r="NV125" s="21" t="str">
        <f t="shared" ca="1" si="488"/>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9"/>
        <v>SIN VACUNAR</v>
      </c>
      <c r="NY125" s="43">
        <f>ROW(Tabla1[[#This Row],['# DE TAMIZAJES SIFILIS TOMADOS ]])</f>
        <v>125</v>
      </c>
      <c r="NZ125" s="43" t="str">
        <f t="shared" si="334"/>
        <v>Menor</v>
      </c>
      <c r="OA125" s="43" t="str">
        <f t="shared" si="335"/>
        <v>SOBREPESO</v>
      </c>
      <c r="OB125" s="43" t="str">
        <f t="shared" si="336"/>
        <v/>
      </c>
      <c r="OC125" s="43" t="str">
        <f t="shared" si="337"/>
        <v/>
      </c>
      <c r="OD125" s="43" t="str">
        <f t="shared" si="338"/>
        <v/>
      </c>
      <c r="OE125" s="43" t="str">
        <f t="shared" si="339"/>
        <v/>
      </c>
      <c r="OF125" s="43" t="str">
        <f t="shared" si="340"/>
        <v/>
      </c>
      <c r="OG125" s="43" t="str">
        <f t="shared" si="341"/>
        <v/>
      </c>
      <c r="OH125" s="43" t="str">
        <f t="shared" si="342"/>
        <v/>
      </c>
      <c r="OI125" s="43" t="str">
        <f t="shared" si="343"/>
        <v/>
      </c>
      <c r="OJ125" s="43" t="str">
        <f t="shared" si="344"/>
        <v/>
      </c>
      <c r="OK125" s="43" t="str">
        <f t="shared" si="345"/>
        <v/>
      </c>
      <c r="OL125" s="43" t="str">
        <f t="shared" si="346"/>
        <v/>
      </c>
      <c r="OM125" s="43" t="str">
        <f t="shared" si="347"/>
        <v/>
      </c>
      <c r="ON125" s="43" t="str">
        <f t="shared" si="348"/>
        <v/>
      </c>
      <c r="OO125" s="43" t="str">
        <f t="shared" si="349"/>
        <v/>
      </c>
      <c r="OP125" s="43" t="str">
        <f t="shared" si="350"/>
        <v/>
      </c>
      <c r="OQ125" s="43" t="str">
        <f t="shared" si="351"/>
        <v/>
      </c>
      <c r="OR125" s="43" t="str">
        <f t="shared" si="352"/>
        <v/>
      </c>
      <c r="OS125" s="43" t="str">
        <f t="shared" si="353"/>
        <v/>
      </c>
      <c r="OT125" s="43" t="str">
        <f t="shared" si="354"/>
        <v/>
      </c>
      <c r="OU125" s="43" t="str">
        <f t="shared" si="355"/>
        <v/>
      </c>
      <c r="OV125" s="110" t="str">
        <f t="shared" si="356"/>
        <v/>
      </c>
      <c r="OW125" s="43" t="str">
        <f t="shared" si="357"/>
        <v/>
      </c>
      <c r="OX125" s="43" t="str">
        <f t="shared" si="358"/>
        <v/>
      </c>
      <c r="OY125" s="43" t="str">
        <f t="shared" si="359"/>
        <v/>
      </c>
      <c r="OZ125" s="43" t="str">
        <f t="shared" si="360"/>
        <v/>
      </c>
      <c r="PA125" s="43" t="str">
        <f t="shared" si="361"/>
        <v/>
      </c>
      <c r="PB125" s="43" t="str">
        <f t="shared" si="362"/>
        <v/>
      </c>
      <c r="PC125" s="43" t="str">
        <f t="shared" si="363"/>
        <v/>
      </c>
      <c r="PD125" s="43" t="str">
        <f t="shared" si="364"/>
        <v/>
      </c>
      <c r="PE125" s="43" t="str">
        <f t="shared" si="365"/>
        <v/>
      </c>
      <c r="PF125" s="43" t="str">
        <f t="shared" si="366"/>
        <v/>
      </c>
      <c r="PG125" s="43" t="str">
        <f t="shared" si="367"/>
        <v/>
      </c>
      <c r="PH125" s="43" t="str">
        <f t="shared" si="368"/>
        <v/>
      </c>
      <c r="PI125" s="43">
        <f t="shared" si="369"/>
        <v>29</v>
      </c>
      <c r="PJ125" s="43" t="str">
        <f t="shared" si="370"/>
        <v/>
      </c>
      <c r="PK125" s="43" t="str">
        <f t="shared" si="371"/>
        <v/>
      </c>
      <c r="PL125" s="43" t="str">
        <f t="shared" si="372"/>
        <v/>
      </c>
      <c r="PM125" s="43" t="str">
        <f t="shared" si="373"/>
        <v/>
      </c>
      <c r="PN125" s="43" t="str">
        <f t="shared" si="374"/>
        <v/>
      </c>
      <c r="PO125" s="43" t="str">
        <f t="shared" si="375"/>
        <v/>
      </c>
      <c r="PP125" s="43" t="str">
        <f t="shared" si="376"/>
        <v/>
      </c>
      <c r="PQ125" s="43" t="str">
        <f t="shared" si="377"/>
        <v/>
      </c>
      <c r="PR125" s="43" t="str">
        <f t="shared" si="378"/>
        <v/>
      </c>
      <c r="PS125" s="43" t="str">
        <f t="shared" si="379"/>
        <v/>
      </c>
      <c r="PT125" s="43" t="str">
        <f t="shared" si="380"/>
        <v/>
      </c>
      <c r="PU125" s="43" t="str">
        <f t="shared" si="381"/>
        <v/>
      </c>
      <c r="PV125" s="43" t="str">
        <f t="shared" si="382"/>
        <v/>
      </c>
      <c r="PW125" s="43" t="str">
        <f t="shared" si="383"/>
        <v/>
      </c>
      <c r="PX125" s="43" t="str">
        <f t="shared" si="384"/>
        <v/>
      </c>
      <c r="PY125" s="43" t="str">
        <f t="shared" si="385"/>
        <v/>
      </c>
      <c r="PZ125" s="43" t="str">
        <f t="shared" si="386"/>
        <v/>
      </c>
      <c r="QA125" s="43" t="str">
        <f t="shared" si="387"/>
        <v/>
      </c>
      <c r="QB125" s="43" t="str">
        <f t="shared" si="388"/>
        <v/>
      </c>
      <c r="QC125" s="43" t="str">
        <f t="shared" si="389"/>
        <v/>
      </c>
      <c r="QD125" s="43" t="str">
        <f t="shared" si="390"/>
        <v>SOBREPESO</v>
      </c>
      <c r="QE125" s="43" t="str">
        <f t="shared" si="391"/>
        <v/>
      </c>
      <c r="QF125" s="43" t="str">
        <f t="shared" si="392"/>
        <v/>
      </c>
      <c r="QG125" s="43" t="str">
        <f t="shared" si="393"/>
        <v/>
      </c>
      <c r="QH125" s="43" t="str">
        <f t="shared" si="394"/>
        <v/>
      </c>
      <c r="QI125" s="43" t="str">
        <f t="shared" si="395"/>
        <v/>
      </c>
      <c r="QJ125" s="43" t="str">
        <f t="shared" si="396"/>
        <v/>
      </c>
      <c r="QK125" s="43" t="str">
        <f t="shared" si="397"/>
        <v/>
      </c>
      <c r="QL125" s="43" t="str">
        <f t="shared" si="398"/>
        <v/>
      </c>
      <c r="QM125" s="43" t="str">
        <f t="shared" si="399"/>
        <v/>
      </c>
      <c r="QN125" s="43" t="str">
        <f t="shared" si="400"/>
        <v/>
      </c>
      <c r="QO125" s="43" t="str">
        <f t="shared" si="401"/>
        <v/>
      </c>
      <c r="QP125" s="43" t="str">
        <f t="shared" si="402"/>
        <v/>
      </c>
      <c r="QQ125" s="43" t="str">
        <f t="shared" si="403"/>
        <v/>
      </c>
      <c r="QR125" s="43">
        <f t="shared" si="433"/>
        <v>29</v>
      </c>
      <c r="QS125" s="43"/>
      <c r="QT125" s="21" t="str">
        <f t="shared" si="404"/>
        <v/>
      </c>
      <c r="QU125" s="21" t="str">
        <f t="shared" si="405"/>
        <v/>
      </c>
      <c r="QV125" s="21" t="str">
        <f t="shared" si="406"/>
        <v/>
      </c>
      <c r="QW125" s="21" t="str">
        <f t="shared" si="407"/>
        <v/>
      </c>
      <c r="QX125" s="21" t="str">
        <f t="shared" si="408"/>
        <v/>
      </c>
      <c r="QY125" s="21" t="str">
        <f t="shared" si="409"/>
        <v/>
      </c>
      <c r="QZ125" s="21" t="str">
        <f t="shared" si="410"/>
        <v/>
      </c>
      <c r="RA125" s="21" t="str">
        <f t="shared" si="411"/>
        <v/>
      </c>
      <c r="RB125" s="21" t="str">
        <f t="shared" si="412"/>
        <v/>
      </c>
      <c r="RC125" s="21" t="str">
        <f t="shared" si="413"/>
        <v/>
      </c>
      <c r="RD125" s="21" t="str">
        <f t="shared" si="414"/>
        <v/>
      </c>
      <c r="RE125" s="21" t="str">
        <f t="shared" si="415"/>
        <v/>
      </c>
      <c r="RF125" s="21" t="str">
        <f t="shared" si="416"/>
        <v/>
      </c>
      <c r="RG125" s="21" t="str">
        <f t="shared" si="417"/>
        <v/>
      </c>
      <c r="RH125" s="21" t="str">
        <f t="shared" si="418"/>
        <v/>
      </c>
      <c r="RI125" s="21" t="str">
        <f t="shared" si="419"/>
        <v/>
      </c>
      <c r="RJ125" s="21" t="str">
        <f t="shared" si="420"/>
        <v>ALTO PARA EDAD GESTACIONAL</v>
      </c>
      <c r="RK125" s="21" t="str">
        <f t="shared" si="421"/>
        <v/>
      </c>
      <c r="RL125" s="21" t="str">
        <f t="shared" si="422"/>
        <v/>
      </c>
      <c r="RM125" s="21" t="str">
        <f t="shared" si="423"/>
        <v/>
      </c>
      <c r="RN125" s="21" t="str">
        <f t="shared" si="424"/>
        <v/>
      </c>
      <c r="RO125" s="21" t="str">
        <f t="shared" si="425"/>
        <v/>
      </c>
      <c r="RP125" s="21" t="str">
        <f t="shared" si="426"/>
        <v/>
      </c>
      <c r="RQ125" s="21" t="str">
        <f t="shared" si="427"/>
        <v/>
      </c>
      <c r="RR125" s="21" t="str">
        <f t="shared" si="428"/>
        <v/>
      </c>
      <c r="RS125" s="21" t="str">
        <f t="shared" si="429"/>
        <v/>
      </c>
      <c r="RT125" s="21" t="str">
        <f t="shared" si="430"/>
        <v/>
      </c>
      <c r="RU125" s="21" t="str">
        <f t="shared" si="431"/>
        <v/>
      </c>
      <c r="RV125" s="21">
        <f t="shared" si="432"/>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4"/>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19.002739726027396</v>
      </c>
      <c r="O126" s="22">
        <v>44992</v>
      </c>
      <c r="P126" s="214" t="str">
        <f t="shared" si="438"/>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9">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9"/>
        <v>CONCERTAR PLAN DE PARTO INMEDIATO</v>
      </c>
      <c r="DV126" s="226" t="str">
        <f t="shared" si="440"/>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1"/>
        <v>TOMA DE HEMOGLOBINA TARDÍA</v>
      </c>
      <c r="EU126" s="25" t="str">
        <f t="shared" si="275"/>
        <v/>
      </c>
      <c r="EV126" s="24" t="s">
        <v>866</v>
      </c>
      <c r="EW126" s="24">
        <v>44995</v>
      </c>
      <c r="EX126" s="22"/>
      <c r="EY126" s="29">
        <f t="shared" si="454"/>
        <v>13.142857142857142</v>
      </c>
      <c r="EZ126" s="25" t="str">
        <f t="shared" ca="1" si="455"/>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2"/>
        <v>13.142857142857142</v>
      </c>
      <c r="FP126" s="22" t="s">
        <v>867</v>
      </c>
      <c r="FQ126" s="32">
        <v>45126</v>
      </c>
      <c r="FR126" s="29">
        <f t="shared" ca="1" si="443"/>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8"/>
        <v>12.714285714285714</v>
      </c>
      <c r="GB126" s="22" t="s">
        <v>868</v>
      </c>
      <c r="GC126" s="22">
        <v>44995</v>
      </c>
      <c r="GD126" s="29">
        <f t="shared" ca="1" si="491"/>
        <v>13.142857142857142</v>
      </c>
      <c r="GE126" s="22"/>
      <c r="GF126" s="22"/>
      <c r="GG126" s="29" t="str">
        <f t="shared" ca="1" si="445"/>
        <v>TOMA INMEDIATA DE TAMIZAJE</v>
      </c>
      <c r="GH126" s="22"/>
      <c r="GI126" s="29"/>
      <c r="GJ126" s="22"/>
      <c r="GK126" s="22"/>
      <c r="GL126" s="22"/>
      <c r="GM126" s="22"/>
      <c r="GN126" s="28"/>
      <c r="GO126" s="22"/>
      <c r="GP126" s="29" t="str">
        <f t="shared" si="283"/>
        <v>TOMAR EXAMEN</v>
      </c>
      <c r="GQ126" s="28" t="s">
        <v>869</v>
      </c>
      <c r="GR126" s="28" t="s">
        <v>869</v>
      </c>
      <c r="GS126" s="22" t="str">
        <f t="shared" si="458"/>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t="str">
        <f t="shared" ca="1" si="289"/>
        <v>**********************MULTIPARIDAD*****************</v>
      </c>
      <c r="HK126" s="21" t="str">
        <f t="shared" si="290"/>
        <v>SIN ANTECEDENTES DE RIESGO</v>
      </c>
      <c r="HL126" s="24" t="str">
        <f t="shared" si="291"/>
        <v>APARENTEMENTE NORMAL</v>
      </c>
      <c r="HM126" s="21" t="e">
        <f t="shared" ca="1" si="292"/>
        <v>#REF!</v>
      </c>
      <c r="HN126" s="30" t="str">
        <f t="shared" si="446"/>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3"/>
        <v>13.142857142857142</v>
      </c>
      <c r="IA126" s="26"/>
      <c r="IB126" s="26"/>
      <c r="IC126" s="111"/>
      <c r="ID126" s="22"/>
      <c r="IE126" s="22" t="str">
        <f t="shared" ca="1" si="294"/>
        <v/>
      </c>
      <c r="IF126" s="22"/>
      <c r="IG126" s="22">
        <f t="shared" si="295"/>
        <v>45183</v>
      </c>
      <c r="IH126" s="29">
        <f t="shared" ca="1" si="296"/>
        <v>-49</v>
      </c>
      <c r="II126" s="22" t="str">
        <f t="shared" ca="1" si="297"/>
        <v>POSIBLEMENTE NACIO</v>
      </c>
      <c r="IJ126" s="22"/>
      <c r="IK126" s="21"/>
      <c r="IL126" s="21"/>
      <c r="IM126" s="34"/>
      <c r="IN126" s="349"/>
      <c r="IO126" s="21"/>
      <c r="IP126" s="29" t="str">
        <f t="shared" si="490"/>
        <v/>
      </c>
      <c r="IQ126" s="35"/>
      <c r="IR126" s="21"/>
      <c r="IS126" s="21"/>
      <c r="IT126" s="21"/>
      <c r="IU126" s="21"/>
      <c r="IV126" s="21"/>
      <c r="IW126" s="21"/>
      <c r="IX126" s="21"/>
      <c r="IY126" s="21"/>
      <c r="IZ126" s="21"/>
      <c r="JA126" s="21"/>
      <c r="JB126" s="30"/>
      <c r="JC126" s="21"/>
      <c r="JD126" s="36"/>
      <c r="JE126" s="21" t="str">
        <f t="shared" si="492"/>
        <v/>
      </c>
      <c r="JF126" s="30"/>
      <c r="JG126" s="21"/>
      <c r="JH126" s="21"/>
      <c r="JI126" s="21"/>
      <c r="JJ126" s="30"/>
      <c r="JK126" s="22"/>
      <c r="JL126" s="22"/>
      <c r="JM126" s="21"/>
      <c r="JN126" s="36"/>
      <c r="JO126" s="21" t="str">
        <f t="shared" si="493"/>
        <v/>
      </c>
      <c r="JP126" s="22"/>
      <c r="JQ126" s="21"/>
      <c r="JR126" s="21"/>
      <c r="JS126" s="21"/>
      <c r="JT126" s="30"/>
      <c r="JU126" s="22"/>
      <c r="JV126" s="22"/>
      <c r="JW126" s="33"/>
      <c r="JX126" s="28" t="str">
        <f t="shared" si="494"/>
        <v/>
      </c>
      <c r="JY126" s="33"/>
      <c r="JZ126" s="28" t="str">
        <f t="shared" si="495"/>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9"/>
        <v>0</v>
      </c>
      <c r="MI126" s="43" t="str">
        <f t="shared" si="460"/>
        <v/>
      </c>
      <c r="MJ126" s="43" t="str">
        <f t="shared" si="461"/>
        <v/>
      </c>
      <c r="MK126" s="43">
        <f t="shared" si="462"/>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3"/>
        <v>12.714285714285714</v>
      </c>
      <c r="MN126" s="43">
        <f t="shared" si="464"/>
        <v>3</v>
      </c>
      <c r="MO126" s="43">
        <f t="shared" si="465"/>
        <v>2023</v>
      </c>
      <c r="MP126" s="43" t="str">
        <f t="shared" si="466"/>
        <v>I TRIMESTRE AÑO</v>
      </c>
      <c r="MQ126" s="43">
        <f t="shared" si="467"/>
        <v>18.073806395094174</v>
      </c>
      <c r="MR126" s="43">
        <f t="shared" si="468"/>
        <v>0</v>
      </c>
      <c r="MS126" s="43" t="str">
        <f t="shared" si="469"/>
        <v>DE 14 A 19AÑOS</v>
      </c>
      <c r="MT126" s="43">
        <f t="shared" si="470"/>
        <v>0</v>
      </c>
      <c r="MU126" s="43">
        <f t="shared" si="471"/>
        <v>1</v>
      </c>
      <c r="MV126" s="43">
        <f t="shared" si="472"/>
        <v>0</v>
      </c>
      <c r="MW126" s="43">
        <f t="shared" si="473"/>
        <v>0</v>
      </c>
      <c r="MX126" s="43" t="str">
        <f t="shared" si="474"/>
        <v/>
      </c>
      <c r="MY126" s="43" t="str">
        <f t="shared" ca="1" si="496"/>
        <v/>
      </c>
      <c r="MZ126" s="43" t="str">
        <f t="shared" si="475"/>
        <v/>
      </c>
      <c r="NA126" s="43" t="str">
        <f t="shared" si="476"/>
        <v/>
      </c>
      <c r="NB126" s="43" t="str">
        <f t="shared" si="477"/>
        <v/>
      </c>
      <c r="NC126" s="43" t="str">
        <f t="shared" si="478"/>
        <v/>
      </c>
      <c r="ND126" s="43">
        <f t="shared" ca="1" si="479"/>
        <v>1</v>
      </c>
      <c r="NE126" s="43">
        <f>IF(OR(O126&gt;0,R126&gt;0),SUM(COUNTIF(Tabla1[[#This Row],[AÑOS AL INICIO5 CPN]],"&gt;=40"),COUNTIF(AS126,"0"),COUNTIF(AR126,"SI"),COUNTIF(CC126,"SI"),COUNTIF(BQ126,"&gt;119"),COUNTIF(CI126,"&gt;=35")),"")</f>
        <v>0</v>
      </c>
      <c r="NF126" s="43" t="str">
        <f t="shared" si="480"/>
        <v/>
      </c>
      <c r="NG126" s="43">
        <f t="shared" si="481"/>
        <v>0</v>
      </c>
      <c r="NH126" s="43">
        <f t="shared" si="482"/>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3"/>
        <v>X</v>
      </c>
      <c r="NM126" s="43" t="str">
        <f t="shared" si="456"/>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4"/>
        <v>II TRIM</v>
      </c>
      <c r="NQ126" s="21" t="str">
        <f t="shared" ref="NQ126:NQ141" si="500">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7"/>
        <v>REVISAR FUM O FECHA SALIDA PROGRAMA</v>
      </c>
      <c r="NS126" s="205">
        <f t="shared" ca="1" si="485"/>
        <v>2</v>
      </c>
      <c r="NT126" s="21">
        <f t="shared" ca="1" si="486"/>
        <v>2</v>
      </c>
      <c r="NU126" s="21" t="str">
        <f t="shared" ca="1" si="487"/>
        <v>POR DEFINIR</v>
      </c>
      <c r="NV126" s="21" t="str">
        <f t="shared" ca="1" si="488"/>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9"/>
        <v>SIN VACUNAR</v>
      </c>
      <c r="NY126" s="43">
        <f>ROW(Tabla1[[#This Row],['# DE TAMIZAJES SIFILIS TOMADOS ]])</f>
        <v>126</v>
      </c>
      <c r="NZ126" s="43">
        <f t="shared" si="334"/>
        <v>12</v>
      </c>
      <c r="OA126" s="43" t="str">
        <f t="shared" si="335"/>
        <v/>
      </c>
      <c r="OB126" s="43" t="str">
        <f t="shared" si="336"/>
        <v/>
      </c>
      <c r="OC126" s="43" t="str">
        <f t="shared" si="337"/>
        <v/>
      </c>
      <c r="OD126" s="43" t="str">
        <f t="shared" si="338"/>
        <v>SOBREPESO</v>
      </c>
      <c r="OE126" s="43" t="str">
        <f t="shared" si="339"/>
        <v/>
      </c>
      <c r="OF126" s="43" t="str">
        <f t="shared" si="340"/>
        <v/>
      </c>
      <c r="OG126" s="43" t="str">
        <f t="shared" si="341"/>
        <v/>
      </c>
      <c r="OH126" s="43" t="str">
        <f t="shared" si="342"/>
        <v/>
      </c>
      <c r="OI126" s="43" t="str">
        <f t="shared" si="343"/>
        <v/>
      </c>
      <c r="OJ126" s="43" t="str">
        <f t="shared" si="344"/>
        <v/>
      </c>
      <c r="OK126" s="43" t="str">
        <f t="shared" si="345"/>
        <v/>
      </c>
      <c r="OL126" s="43" t="str">
        <f t="shared" si="346"/>
        <v/>
      </c>
      <c r="OM126" s="43" t="str">
        <f t="shared" si="347"/>
        <v/>
      </c>
      <c r="ON126" s="43" t="str">
        <f t="shared" si="348"/>
        <v/>
      </c>
      <c r="OO126" s="43" t="str">
        <f t="shared" si="349"/>
        <v/>
      </c>
      <c r="OP126" s="43" t="str">
        <f t="shared" si="350"/>
        <v/>
      </c>
      <c r="OQ126" s="43" t="str">
        <f t="shared" si="351"/>
        <v/>
      </c>
      <c r="OR126" s="43" t="str">
        <f t="shared" si="352"/>
        <v/>
      </c>
      <c r="OS126" s="43" t="str">
        <f t="shared" si="353"/>
        <v/>
      </c>
      <c r="OT126" s="43" t="str">
        <f t="shared" si="354"/>
        <v/>
      </c>
      <c r="OU126" s="43" t="str">
        <f t="shared" si="355"/>
        <v/>
      </c>
      <c r="OV126" s="110" t="str">
        <f t="shared" si="356"/>
        <v/>
      </c>
      <c r="OW126" s="43" t="str">
        <f t="shared" si="357"/>
        <v/>
      </c>
      <c r="OX126" s="43" t="str">
        <f t="shared" si="358"/>
        <v/>
      </c>
      <c r="OY126" s="43" t="str">
        <f t="shared" si="359"/>
        <v/>
      </c>
      <c r="OZ126" s="43" t="str">
        <f t="shared" si="360"/>
        <v/>
      </c>
      <c r="PA126" s="43" t="str">
        <f t="shared" si="361"/>
        <v/>
      </c>
      <c r="PB126" s="43" t="str">
        <f t="shared" si="362"/>
        <v/>
      </c>
      <c r="PC126" s="43" t="str">
        <f t="shared" si="363"/>
        <v/>
      </c>
      <c r="PD126" s="43" t="str">
        <f t="shared" si="364"/>
        <v/>
      </c>
      <c r="PE126" s="43" t="str">
        <f t="shared" si="365"/>
        <v/>
      </c>
      <c r="PF126" s="43" t="str">
        <f t="shared" si="366"/>
        <v/>
      </c>
      <c r="PG126" s="43" t="str">
        <f t="shared" si="367"/>
        <v/>
      </c>
      <c r="PH126" s="43" t="str">
        <f t="shared" si="368"/>
        <v/>
      </c>
      <c r="PI126" s="43">
        <f t="shared" si="369"/>
        <v>31</v>
      </c>
      <c r="PJ126" s="43" t="str">
        <f t="shared" si="370"/>
        <v/>
      </c>
      <c r="PK126" s="43" t="str">
        <f t="shared" si="371"/>
        <v/>
      </c>
      <c r="PL126" s="43" t="str">
        <f t="shared" si="372"/>
        <v/>
      </c>
      <c r="PM126" s="43" t="str">
        <f t="shared" si="373"/>
        <v/>
      </c>
      <c r="PN126" s="43" t="str">
        <f t="shared" si="374"/>
        <v/>
      </c>
      <c r="PO126" s="43" t="str">
        <f t="shared" si="375"/>
        <v/>
      </c>
      <c r="PP126" s="43" t="str">
        <f t="shared" si="376"/>
        <v/>
      </c>
      <c r="PQ126" s="43" t="str">
        <f t="shared" si="377"/>
        <v/>
      </c>
      <c r="PR126" s="43" t="str">
        <f t="shared" si="378"/>
        <v/>
      </c>
      <c r="PS126" s="43" t="str">
        <f t="shared" si="379"/>
        <v/>
      </c>
      <c r="PT126" s="43" t="str">
        <f t="shared" si="380"/>
        <v/>
      </c>
      <c r="PU126" s="43" t="str">
        <f t="shared" si="381"/>
        <v/>
      </c>
      <c r="PV126" s="43" t="str">
        <f t="shared" si="382"/>
        <v/>
      </c>
      <c r="PW126" s="43" t="str">
        <f t="shared" si="383"/>
        <v/>
      </c>
      <c r="PX126" s="43" t="str">
        <f t="shared" si="384"/>
        <v/>
      </c>
      <c r="PY126" s="43" t="str">
        <f t="shared" si="385"/>
        <v/>
      </c>
      <c r="PZ126" s="43" t="str">
        <f t="shared" si="386"/>
        <v/>
      </c>
      <c r="QA126" s="43" t="str">
        <f t="shared" si="387"/>
        <v/>
      </c>
      <c r="QB126" s="43" t="str">
        <f t="shared" si="388"/>
        <v/>
      </c>
      <c r="QC126" s="43" t="str">
        <f t="shared" si="389"/>
        <v/>
      </c>
      <c r="QD126" s="43" t="str">
        <f t="shared" si="390"/>
        <v/>
      </c>
      <c r="QE126" s="43" t="str">
        <f t="shared" si="391"/>
        <v/>
      </c>
      <c r="QF126" s="43" t="str">
        <f t="shared" si="392"/>
        <v>NORMAL</v>
      </c>
      <c r="QG126" s="43" t="str">
        <f t="shared" si="393"/>
        <v/>
      </c>
      <c r="QH126" s="43" t="str">
        <f t="shared" si="394"/>
        <v/>
      </c>
      <c r="QI126" s="43" t="str">
        <f t="shared" si="395"/>
        <v/>
      </c>
      <c r="QJ126" s="43" t="str">
        <f t="shared" si="396"/>
        <v/>
      </c>
      <c r="QK126" s="43" t="str">
        <f t="shared" si="397"/>
        <v/>
      </c>
      <c r="QL126" s="43" t="str">
        <f t="shared" si="398"/>
        <v/>
      </c>
      <c r="QM126" s="43" t="str">
        <f t="shared" si="399"/>
        <v/>
      </c>
      <c r="QN126" s="43" t="str">
        <f t="shared" si="400"/>
        <v/>
      </c>
      <c r="QO126" s="43" t="str">
        <f t="shared" si="401"/>
        <v/>
      </c>
      <c r="QP126" s="43" t="str">
        <f t="shared" si="402"/>
        <v/>
      </c>
      <c r="QQ126" s="43" t="str">
        <f t="shared" si="403"/>
        <v/>
      </c>
      <c r="QR126" s="43">
        <f t="shared" si="433"/>
        <v>31</v>
      </c>
      <c r="QS126" s="43"/>
      <c r="QT126" s="21" t="str">
        <f t="shared" si="404"/>
        <v/>
      </c>
      <c r="QU126" s="21" t="str">
        <f t="shared" si="405"/>
        <v/>
      </c>
      <c r="QV126" s="21" t="str">
        <f t="shared" si="406"/>
        <v/>
      </c>
      <c r="QW126" s="21" t="str">
        <f t="shared" si="407"/>
        <v/>
      </c>
      <c r="QX126" s="21" t="str">
        <f t="shared" si="408"/>
        <v/>
      </c>
      <c r="QY126" s="21" t="str">
        <f t="shared" si="409"/>
        <v/>
      </c>
      <c r="QZ126" s="21" t="str">
        <f t="shared" si="410"/>
        <v/>
      </c>
      <c r="RA126" s="21" t="str">
        <f t="shared" si="411"/>
        <v/>
      </c>
      <c r="RB126" s="21" t="str">
        <f t="shared" si="412"/>
        <v/>
      </c>
      <c r="RC126" s="21" t="str">
        <f t="shared" si="413"/>
        <v/>
      </c>
      <c r="RD126" s="21" t="str">
        <f t="shared" si="414"/>
        <v/>
      </c>
      <c r="RE126" s="21" t="str">
        <f t="shared" si="415"/>
        <v/>
      </c>
      <c r="RF126" s="21" t="str">
        <f t="shared" si="416"/>
        <v/>
      </c>
      <c r="RG126" s="21" t="str">
        <f t="shared" si="417"/>
        <v/>
      </c>
      <c r="RH126" s="21" t="str">
        <f t="shared" si="418"/>
        <v/>
      </c>
      <c r="RI126" s="21" t="str">
        <f t="shared" si="419"/>
        <v/>
      </c>
      <c r="RJ126" s="21" t="str">
        <f t="shared" si="420"/>
        <v/>
      </c>
      <c r="RK126" s="21" t="str">
        <f t="shared" si="421"/>
        <v/>
      </c>
      <c r="RL126" s="21" t="str">
        <f t="shared" si="422"/>
        <v>ALTO PARA EDAD GESTACIONAL</v>
      </c>
      <c r="RM126" s="21" t="str">
        <f t="shared" si="423"/>
        <v/>
      </c>
      <c r="RN126" s="21" t="str">
        <f t="shared" si="424"/>
        <v/>
      </c>
      <c r="RO126" s="21" t="str">
        <f t="shared" si="425"/>
        <v/>
      </c>
      <c r="RP126" s="21" t="str">
        <f t="shared" si="426"/>
        <v/>
      </c>
      <c r="RQ126" s="21" t="str">
        <f t="shared" si="427"/>
        <v/>
      </c>
      <c r="RR126" s="21" t="str">
        <f t="shared" si="428"/>
        <v/>
      </c>
      <c r="RS126" s="21" t="str">
        <f t="shared" si="429"/>
        <v/>
      </c>
      <c r="RT126" s="21" t="str">
        <f t="shared" si="430"/>
        <v/>
      </c>
      <c r="RU126" s="21" t="str">
        <f t="shared" si="431"/>
        <v/>
      </c>
      <c r="RV126" s="21">
        <f t="shared" si="432"/>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4"/>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20.849315068493151</v>
      </c>
      <c r="O127" s="22">
        <v>44894</v>
      </c>
      <c r="P127" s="214" t="str">
        <f t="shared" si="438"/>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9"/>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9"/>
        <v>SALE SIN PLAN DE PARTO</v>
      </c>
      <c r="DV127" s="226" t="str">
        <f t="shared" si="440"/>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1"/>
        <v>SALE SIN TAMIZAJE HEMOGLOBINA SEM 28</v>
      </c>
      <c r="EU127" s="25" t="str">
        <f t="shared" si="275"/>
        <v/>
      </c>
      <c r="EV127" s="24"/>
      <c r="EW127" s="24"/>
      <c r="EX127" s="22"/>
      <c r="EY127" s="29" t="str">
        <f t="shared" si="454"/>
        <v>TOMAR EXAMEN</v>
      </c>
      <c r="EZ127" s="25" t="str">
        <f t="shared" ca="1" si="455"/>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2"/>
        <v>PIERDE TOMA DE TAMIZAJE</v>
      </c>
      <c r="FP127" s="22"/>
      <c r="FQ127" s="32"/>
      <c r="FR127" s="29" t="str">
        <f t="shared" ca="1" si="443"/>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8"/>
        <v>NO APLICA-INGRESO TARDIO</v>
      </c>
      <c r="GB127" s="22"/>
      <c r="GC127" s="22"/>
      <c r="GD127" s="29" t="str">
        <f t="shared" ca="1" si="491"/>
        <v>PIERDE TOMA DE TAMIZAJE</v>
      </c>
      <c r="GE127" s="22"/>
      <c r="GF127" s="22"/>
      <c r="GG127" s="29" t="str">
        <f t="shared" ca="1" si="445"/>
        <v>PIERDE TOMA DE TAMIZAJE</v>
      </c>
      <c r="GH127" s="22"/>
      <c r="GI127" s="29"/>
      <c r="GJ127" s="22"/>
      <c r="GK127" s="22"/>
      <c r="GL127" s="22"/>
      <c r="GM127" s="22"/>
      <c r="GN127" s="28"/>
      <c r="GO127" s="22"/>
      <c r="GP127" s="29" t="str">
        <f t="shared" si="283"/>
        <v>TOMAR EXAMEN</v>
      </c>
      <c r="GQ127" s="28"/>
      <c r="GR127" s="28"/>
      <c r="GS127" s="22" t="str">
        <f t="shared" si="458"/>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t="str">
        <f t="shared" ca="1" si="289"/>
        <v>**********************MULTIPARIDAD*****************</v>
      </c>
      <c r="HK127" s="21" t="str">
        <f t="shared" si="290"/>
        <v>SIN ANTECEDENTES DE RIESGO</v>
      </c>
      <c r="HL127" s="24" t="str">
        <f t="shared" si="291"/>
        <v>REGISTRE DATO PRESIÓN ARTERIAL MENSUAL</v>
      </c>
      <c r="HM127" s="21" t="str">
        <f t="shared" ca="1" si="292"/>
        <v/>
      </c>
      <c r="HN127" s="30" t="str">
        <f t="shared" si="446"/>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3"/>
        <v>PENDIENTE CONSULTA</v>
      </c>
      <c r="IA127" s="26"/>
      <c r="IB127" s="26"/>
      <c r="IC127" s="111"/>
      <c r="ID127" s="22">
        <v>44898</v>
      </c>
      <c r="IE127" s="22" t="str">
        <f t="shared" ca="1" si="294"/>
        <v>VACUNA APLICADA ENTRE SEMANA 20 Y SEMANA 26</v>
      </c>
      <c r="IF127" s="22"/>
      <c r="IG127" s="22">
        <f t="shared" si="295"/>
        <v>45023</v>
      </c>
      <c r="IH127" s="29">
        <f t="shared" ca="1" si="296"/>
        <v>-209</v>
      </c>
      <c r="II127" s="22" t="str">
        <f t="shared" ca="1" si="297"/>
        <v>POSIBLEMENTE NACIO</v>
      </c>
      <c r="IJ127" s="22"/>
      <c r="IK127" s="21" t="s">
        <v>898</v>
      </c>
      <c r="IL127" s="21"/>
      <c r="IM127" s="34"/>
      <c r="IN127" s="349">
        <v>45015</v>
      </c>
      <c r="IO127" s="21" t="s">
        <v>1640</v>
      </c>
      <c r="IP127" s="29">
        <f t="shared" si="490"/>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2"/>
        <v>PESO ADECUADO EDAD GESTACIONAL</v>
      </c>
      <c r="JF127" s="30"/>
      <c r="JG127" s="21"/>
      <c r="JH127" s="21"/>
      <c r="JI127" s="21"/>
      <c r="JJ127" s="30"/>
      <c r="JK127" s="22"/>
      <c r="JL127" s="22"/>
      <c r="JM127" s="21"/>
      <c r="JN127" s="36"/>
      <c r="JO127" s="21" t="str">
        <f t="shared" si="493"/>
        <v/>
      </c>
      <c r="JP127" s="22"/>
      <c r="JQ127" s="21"/>
      <c r="JR127" s="21"/>
      <c r="JS127" s="21"/>
      <c r="JT127" s="30"/>
      <c r="JU127" s="22"/>
      <c r="JV127" s="22"/>
      <c r="JW127" s="33"/>
      <c r="JX127" s="28" t="str">
        <f t="shared" si="494"/>
        <v>INASISTENTE</v>
      </c>
      <c r="JY127" s="33"/>
      <c r="JZ127" s="28" t="str">
        <f t="shared" si="495"/>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9"/>
        <v>0</v>
      </c>
      <c r="MI127" s="43" t="str">
        <f t="shared" si="460"/>
        <v/>
      </c>
      <c r="MJ127" s="43" t="str">
        <f t="shared" si="461"/>
        <v/>
      </c>
      <c r="MK127" s="43">
        <f t="shared" si="462"/>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3"/>
        <v>21.571428571428573</v>
      </c>
      <c r="MN127" s="43">
        <f t="shared" si="464"/>
        <v>11</v>
      </c>
      <c r="MO127" s="43">
        <f t="shared" si="465"/>
        <v>2022</v>
      </c>
      <c r="MP127" s="43" t="str">
        <f t="shared" si="466"/>
        <v>IV TRIMESTRE AÑO</v>
      </c>
      <c r="MQ127" s="43">
        <f t="shared" si="467"/>
        <v>19.623302671922907</v>
      </c>
      <c r="MR127" s="43">
        <f t="shared" si="468"/>
        <v>0</v>
      </c>
      <c r="MS127" s="43" t="str">
        <f t="shared" si="469"/>
        <v>DE 14 A 19AÑOS</v>
      </c>
      <c r="MT127" s="43">
        <f t="shared" si="470"/>
        <v>0</v>
      </c>
      <c r="MU127" s="43">
        <f t="shared" si="471"/>
        <v>1</v>
      </c>
      <c r="MV127" s="43">
        <f t="shared" si="472"/>
        <v>0</v>
      </c>
      <c r="MW127" s="43">
        <f t="shared" si="473"/>
        <v>0</v>
      </c>
      <c r="MX127" s="43" t="str">
        <f t="shared" si="474"/>
        <v/>
      </c>
      <c r="MY127" s="43" t="str">
        <f t="shared" ca="1" si="496"/>
        <v/>
      </c>
      <c r="MZ127" s="43" t="str">
        <f t="shared" si="475"/>
        <v/>
      </c>
      <c r="NA127" s="43" t="str">
        <f t="shared" si="476"/>
        <v/>
      </c>
      <c r="NB127" s="43" t="str">
        <f t="shared" si="477"/>
        <v/>
      </c>
      <c r="NC127" s="43" t="str">
        <f t="shared" si="478"/>
        <v/>
      </c>
      <c r="ND127" s="43">
        <f t="shared" ca="1" si="479"/>
        <v>1</v>
      </c>
      <c r="NE127" s="43">
        <f>IF(OR(O127&gt;0,R127&gt;0),SUM(COUNTIF(Tabla1[[#This Row],[AÑOS AL INICIO5 CPN]],"&gt;=40"),COUNTIF(AS127,"0"),COUNTIF(AR127,"SI"),COUNTIF(CC127,"SI"),COUNTIF(BQ127,"&gt;119"),COUNTIF(CI127,"&gt;=35")),"")</f>
        <v>1</v>
      </c>
      <c r="NF127" s="43">
        <f t="shared" si="480"/>
        <v>22.142857142857142</v>
      </c>
      <c r="NG127" s="43">
        <f t="shared" si="481"/>
        <v>0</v>
      </c>
      <c r="NH127" s="43">
        <f t="shared" si="482"/>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3"/>
        <v>X</v>
      </c>
      <c r="NM127" s="43" t="str">
        <f t="shared" si="456"/>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4"/>
        <v>II TRIM</v>
      </c>
      <c r="NQ127" s="21" t="str">
        <f t="shared" si="500"/>
        <v/>
      </c>
      <c r="NR127" s="21">
        <f t="shared" si="497"/>
        <v>2</v>
      </c>
      <c r="NS127" s="205">
        <f t="shared" ca="1" si="485"/>
        <v>0</v>
      </c>
      <c r="NT127" s="21">
        <f t="shared" ca="1" si="486"/>
        <v>0</v>
      </c>
      <c r="NU127" s="21" t="str">
        <f t="shared" ca="1" si="487"/>
        <v>INCOMPLETO</v>
      </c>
      <c r="NV127" s="21" t="str">
        <f t="shared" ca="1" si="488"/>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9"/>
        <v>VACUNADA</v>
      </c>
      <c r="NY127" s="43">
        <f>ROW(Tabla1[[#This Row],['# DE TAMIZAJES SIFILIS TOMADOS ]])</f>
        <v>127</v>
      </c>
      <c r="NZ127" s="43">
        <f t="shared" si="334"/>
        <v>21</v>
      </c>
      <c r="OA127" s="43" t="str">
        <f t="shared" si="335"/>
        <v/>
      </c>
      <c r="OB127" s="43" t="str">
        <f t="shared" si="336"/>
        <v/>
      </c>
      <c r="OC127" s="43" t="str">
        <f t="shared" si="337"/>
        <v/>
      </c>
      <c r="OD127" s="43" t="str">
        <f t="shared" si="338"/>
        <v/>
      </c>
      <c r="OE127" s="43" t="str">
        <f t="shared" si="339"/>
        <v/>
      </c>
      <c r="OF127" s="43" t="str">
        <f t="shared" si="340"/>
        <v/>
      </c>
      <c r="OG127" s="43" t="str">
        <f t="shared" si="341"/>
        <v/>
      </c>
      <c r="OH127" s="43" t="str">
        <f t="shared" si="342"/>
        <v/>
      </c>
      <c r="OI127" s="43" t="str">
        <f t="shared" si="343"/>
        <v/>
      </c>
      <c r="OJ127" s="43" t="str">
        <f t="shared" si="344"/>
        <v/>
      </c>
      <c r="OK127" s="43" t="str">
        <f t="shared" si="345"/>
        <v/>
      </c>
      <c r="OL127" s="43" t="str">
        <f t="shared" si="346"/>
        <v/>
      </c>
      <c r="OM127" s="43" t="str">
        <f t="shared" si="347"/>
        <v>NORMAL</v>
      </c>
      <c r="ON127" s="43" t="str">
        <f t="shared" si="348"/>
        <v/>
      </c>
      <c r="OO127" s="43" t="str">
        <f t="shared" si="349"/>
        <v/>
      </c>
      <c r="OP127" s="43" t="str">
        <f t="shared" si="350"/>
        <v/>
      </c>
      <c r="OQ127" s="43" t="str">
        <f t="shared" si="351"/>
        <v/>
      </c>
      <c r="OR127" s="43" t="str">
        <f t="shared" si="352"/>
        <v/>
      </c>
      <c r="OS127" s="43" t="str">
        <f t="shared" si="353"/>
        <v/>
      </c>
      <c r="OT127" s="43" t="str">
        <f t="shared" si="354"/>
        <v/>
      </c>
      <c r="OU127" s="43" t="str">
        <f t="shared" si="355"/>
        <v/>
      </c>
      <c r="OV127" s="110" t="str">
        <f t="shared" si="356"/>
        <v/>
      </c>
      <c r="OW127" s="43" t="str">
        <f t="shared" si="357"/>
        <v/>
      </c>
      <c r="OX127" s="43" t="str">
        <f t="shared" si="358"/>
        <v/>
      </c>
      <c r="OY127" s="43" t="str">
        <f t="shared" si="359"/>
        <v/>
      </c>
      <c r="OZ127" s="43" t="str">
        <f t="shared" si="360"/>
        <v/>
      </c>
      <c r="PA127" s="43" t="str">
        <f t="shared" si="361"/>
        <v/>
      </c>
      <c r="PB127" s="43" t="str">
        <f t="shared" si="362"/>
        <v/>
      </c>
      <c r="PC127" s="43" t="str">
        <f t="shared" si="363"/>
        <v/>
      </c>
      <c r="PD127" s="43" t="str">
        <f t="shared" si="364"/>
        <v/>
      </c>
      <c r="PE127" s="43" t="str">
        <f t="shared" si="365"/>
        <v/>
      </c>
      <c r="PF127" s="43" t="str">
        <f t="shared" si="366"/>
        <v/>
      </c>
      <c r="PG127" s="43" t="str">
        <f t="shared" si="367"/>
        <v/>
      </c>
      <c r="PH127" s="43" t="str">
        <f t="shared" si="368"/>
        <v/>
      </c>
      <c r="PI127" s="43">
        <f t="shared" si="369"/>
        <v>33</v>
      </c>
      <c r="PJ127" s="43" t="str">
        <f t="shared" si="370"/>
        <v/>
      </c>
      <c r="PK127" s="43" t="str">
        <f t="shared" si="371"/>
        <v/>
      </c>
      <c r="PL127" s="43" t="str">
        <f t="shared" si="372"/>
        <v/>
      </c>
      <c r="PM127" s="43" t="str">
        <f t="shared" si="373"/>
        <v/>
      </c>
      <c r="PN127" s="43" t="str">
        <f t="shared" si="374"/>
        <v/>
      </c>
      <c r="PO127" s="43" t="str">
        <f t="shared" si="375"/>
        <v/>
      </c>
      <c r="PP127" s="43" t="str">
        <f t="shared" si="376"/>
        <v/>
      </c>
      <c r="PQ127" s="43" t="str">
        <f t="shared" si="377"/>
        <v/>
      </c>
      <c r="PR127" s="43" t="str">
        <f t="shared" si="378"/>
        <v/>
      </c>
      <c r="PS127" s="43" t="str">
        <f t="shared" si="379"/>
        <v/>
      </c>
      <c r="PT127" s="43" t="str">
        <f t="shared" si="380"/>
        <v/>
      </c>
      <c r="PU127" s="43" t="str">
        <f t="shared" si="381"/>
        <v/>
      </c>
      <c r="PV127" s="43" t="str">
        <f t="shared" si="382"/>
        <v/>
      </c>
      <c r="PW127" s="43" t="str">
        <f t="shared" si="383"/>
        <v/>
      </c>
      <c r="PX127" s="43" t="str">
        <f t="shared" si="384"/>
        <v/>
      </c>
      <c r="PY127" s="43" t="str">
        <f t="shared" si="385"/>
        <v/>
      </c>
      <c r="PZ127" s="43" t="str">
        <f t="shared" si="386"/>
        <v/>
      </c>
      <c r="QA127" s="43" t="str">
        <f t="shared" si="387"/>
        <v/>
      </c>
      <c r="QB127" s="43" t="str">
        <f t="shared" si="388"/>
        <v/>
      </c>
      <c r="QC127" s="43" t="str">
        <f t="shared" si="389"/>
        <v/>
      </c>
      <c r="QD127" s="43" t="str">
        <f t="shared" si="390"/>
        <v/>
      </c>
      <c r="QE127" s="43" t="str">
        <f t="shared" si="391"/>
        <v/>
      </c>
      <c r="QF127" s="43" t="str">
        <f t="shared" si="392"/>
        <v/>
      </c>
      <c r="QG127" s="43" t="str">
        <f t="shared" si="393"/>
        <v/>
      </c>
      <c r="QH127" s="43" t="str">
        <f t="shared" si="394"/>
        <v/>
      </c>
      <c r="QI127" s="43" t="str">
        <f t="shared" si="395"/>
        <v/>
      </c>
      <c r="QJ127" s="43" t="str">
        <f t="shared" si="396"/>
        <v/>
      </c>
      <c r="QK127" s="43" t="str">
        <f t="shared" si="397"/>
        <v/>
      </c>
      <c r="QL127" s="43" t="str">
        <f t="shared" si="398"/>
        <v/>
      </c>
      <c r="QM127" s="43" t="str">
        <f t="shared" si="399"/>
        <v/>
      </c>
      <c r="QN127" s="43" t="str">
        <f t="shared" si="400"/>
        <v/>
      </c>
      <c r="QO127" s="43" t="str">
        <f t="shared" si="401"/>
        <v/>
      </c>
      <c r="QP127" s="43" t="str">
        <f t="shared" si="402"/>
        <v/>
      </c>
      <c r="QQ127" s="43" t="str">
        <f t="shared" si="403"/>
        <v/>
      </c>
      <c r="QR127" s="43">
        <f t="shared" si="433"/>
        <v>33</v>
      </c>
      <c r="QS127" s="43"/>
      <c r="QT127" s="21" t="str">
        <f t="shared" si="404"/>
        <v/>
      </c>
      <c r="QU127" s="21" t="str">
        <f t="shared" si="405"/>
        <v/>
      </c>
      <c r="QV127" s="21" t="str">
        <f t="shared" si="406"/>
        <v/>
      </c>
      <c r="QW127" s="21" t="str">
        <f t="shared" si="407"/>
        <v/>
      </c>
      <c r="QX127" s="21" t="str">
        <f t="shared" si="408"/>
        <v/>
      </c>
      <c r="QY127" s="21" t="str">
        <f t="shared" si="409"/>
        <v/>
      </c>
      <c r="QZ127" s="21" t="str">
        <f t="shared" si="410"/>
        <v/>
      </c>
      <c r="RA127" s="21" t="str">
        <f t="shared" si="411"/>
        <v/>
      </c>
      <c r="RB127" s="21" t="str">
        <f t="shared" si="412"/>
        <v/>
      </c>
      <c r="RC127" s="21" t="str">
        <f t="shared" si="413"/>
        <v/>
      </c>
      <c r="RD127" s="21" t="str">
        <f t="shared" si="414"/>
        <v/>
      </c>
      <c r="RE127" s="21" t="str">
        <f t="shared" si="415"/>
        <v/>
      </c>
      <c r="RF127" s="21" t="str">
        <f t="shared" si="416"/>
        <v/>
      </c>
      <c r="RG127" s="21" t="str">
        <f t="shared" si="417"/>
        <v/>
      </c>
      <c r="RH127" s="21" t="str">
        <f t="shared" si="418"/>
        <v/>
      </c>
      <c r="RI127" s="21" t="str">
        <f t="shared" si="419"/>
        <v/>
      </c>
      <c r="RJ127" s="21" t="str">
        <f t="shared" si="420"/>
        <v/>
      </c>
      <c r="RK127" s="21" t="str">
        <f t="shared" si="421"/>
        <v/>
      </c>
      <c r="RL127" s="21" t="str">
        <f t="shared" si="422"/>
        <v/>
      </c>
      <c r="RM127" s="21" t="str">
        <f t="shared" si="423"/>
        <v/>
      </c>
      <c r="RN127" s="21" t="str">
        <f t="shared" si="424"/>
        <v/>
      </c>
      <c r="RO127" s="21" t="str">
        <f t="shared" si="425"/>
        <v/>
      </c>
      <c r="RP127" s="21" t="str">
        <f t="shared" si="426"/>
        <v/>
      </c>
      <c r="RQ127" s="21" t="str">
        <f t="shared" si="427"/>
        <v/>
      </c>
      <c r="RR127" s="21" t="str">
        <f t="shared" si="428"/>
        <v/>
      </c>
      <c r="RS127" s="21" t="str">
        <f t="shared" si="429"/>
        <v/>
      </c>
      <c r="RT127" s="21" t="str">
        <f t="shared" si="430"/>
        <v/>
      </c>
      <c r="RU127" s="21" t="str">
        <f t="shared" si="431"/>
        <v/>
      </c>
      <c r="RV127" s="21">
        <f t="shared" si="432"/>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4"/>
        <v>1</v>
      </c>
    </row>
    <row r="128" spans="1:493" s="338" customFormat="1"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21.432876712328767</v>
      </c>
      <c r="O128" s="305">
        <v>44995</v>
      </c>
      <c r="P128" s="307" t="str">
        <f t="shared" si="438"/>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9"/>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9"/>
        <v>CONCERTAR PLAN DE PARTO INMEDIATO</v>
      </c>
      <c r="DV128" s="324" t="str">
        <f t="shared" si="440"/>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1"/>
        <v>34.428571428571431</v>
      </c>
      <c r="EU128" s="319" t="str">
        <f t="shared" si="275"/>
        <v>NORMAL- SUMINISTRAR SULFATO FERROSO</v>
      </c>
      <c r="EV128" s="310" t="s">
        <v>866</v>
      </c>
      <c r="EW128" s="328">
        <v>44998</v>
      </c>
      <c r="EX128" s="305"/>
      <c r="EY128" s="326">
        <f t="shared" si="454"/>
        <v>17.714285714285715</v>
      </c>
      <c r="EZ128" s="319" t="str">
        <f t="shared" ca="1" si="455"/>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2"/>
        <v>17.285714285714285</v>
      </c>
      <c r="FP128" s="305" t="s">
        <v>867</v>
      </c>
      <c r="FQ128" s="328">
        <v>45066</v>
      </c>
      <c r="FR128" s="326">
        <f t="shared" ca="1" si="443"/>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8"/>
        <v>REGISTRAR EN II TRIMESTRE</v>
      </c>
      <c r="GB128" s="305" t="s">
        <v>868</v>
      </c>
      <c r="GC128" s="305">
        <v>44995</v>
      </c>
      <c r="GD128" s="326">
        <f t="shared" ca="1" si="491"/>
        <v>17.285714285714285</v>
      </c>
      <c r="GE128" s="305" t="s">
        <v>868</v>
      </c>
      <c r="GF128" s="305">
        <v>45145</v>
      </c>
      <c r="GG128" s="326">
        <f t="shared" ca="1" si="445"/>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8"/>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t="str">
        <f t="shared" ca="1" si="289"/>
        <v>*************RCIU*********MULTIPARIDAD***CESAREAS PREVIAS**************</v>
      </c>
      <c r="HK128" s="309" t="str">
        <f t="shared" si="290"/>
        <v>SIN ANTECEDENTES DE RIESGO</v>
      </c>
      <c r="HL128" s="310" t="str">
        <f t="shared" si="291"/>
        <v>APARENTEMENTE NORMAL</v>
      </c>
      <c r="HM128" s="309" t="e">
        <f t="shared" ca="1" si="292"/>
        <v>#REF!</v>
      </c>
      <c r="HN128" s="329" t="str">
        <f t="shared" si="446"/>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3"/>
        <v>17.285714285714285</v>
      </c>
      <c r="IA128" s="308"/>
      <c r="IB128" s="308"/>
      <c r="IC128" s="330">
        <v>45121</v>
      </c>
      <c r="ID128" s="305">
        <v>45027</v>
      </c>
      <c r="IE128" s="305" t="str">
        <f t="shared" ca="1" si="294"/>
        <v>VACUNA APLICADA ENTRE SEMANA 20 Y SEMANA 26</v>
      </c>
      <c r="IF128" s="305"/>
      <c r="IG128" s="305">
        <f t="shared" si="295"/>
        <v>45154</v>
      </c>
      <c r="IH128" s="326">
        <f t="shared" ca="1" si="296"/>
        <v>-78</v>
      </c>
      <c r="II128" s="305" t="str">
        <f t="shared" ca="1" si="297"/>
        <v>POSIBLEMENTE NACIO</v>
      </c>
      <c r="IJ128" s="305"/>
      <c r="IK128" s="309"/>
      <c r="IL128" s="309"/>
      <c r="IM128" s="331"/>
      <c r="IN128" s="350"/>
      <c r="IO128" s="309"/>
      <c r="IP128" s="326" t="str">
        <f t="shared" si="490"/>
        <v/>
      </c>
      <c r="IQ128" s="332"/>
      <c r="IR128" s="309"/>
      <c r="IS128" s="309"/>
      <c r="IT128" s="309"/>
      <c r="IU128" s="309"/>
      <c r="IV128" s="309"/>
      <c r="IW128" s="309"/>
      <c r="IX128" s="309"/>
      <c r="IY128" s="309"/>
      <c r="IZ128" s="309"/>
      <c r="JA128" s="309"/>
      <c r="JB128" s="329"/>
      <c r="JC128" s="309"/>
      <c r="JD128" s="333"/>
      <c r="JE128" s="309" t="str">
        <f t="shared" si="492"/>
        <v/>
      </c>
      <c r="JF128" s="329"/>
      <c r="JG128" s="309"/>
      <c r="JH128" s="309"/>
      <c r="JI128" s="309"/>
      <c r="JJ128" s="329"/>
      <c r="JK128" s="305"/>
      <c r="JL128" s="305"/>
      <c r="JM128" s="309"/>
      <c r="JN128" s="333"/>
      <c r="JO128" s="309" t="str">
        <f t="shared" si="493"/>
        <v/>
      </c>
      <c r="JP128" s="305"/>
      <c r="JQ128" s="309"/>
      <c r="JR128" s="309"/>
      <c r="JS128" s="309"/>
      <c r="JT128" s="329"/>
      <c r="JU128" s="305"/>
      <c r="JV128" s="305"/>
      <c r="JW128" s="334"/>
      <c r="JX128" s="320" t="str">
        <f t="shared" si="494"/>
        <v/>
      </c>
      <c r="JY128" s="334"/>
      <c r="JZ128" s="320" t="str">
        <f t="shared" si="495"/>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9"/>
        <v>0</v>
      </c>
      <c r="MI128" s="43" t="str">
        <f t="shared" si="460"/>
        <v/>
      </c>
      <c r="MJ128" s="43" t="str">
        <f t="shared" si="461"/>
        <v/>
      </c>
      <c r="MK128" s="43">
        <f t="shared" si="462"/>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3"/>
        <v>17.285714285714285</v>
      </c>
      <c r="MN128" s="43">
        <f t="shared" si="464"/>
        <v>3</v>
      </c>
      <c r="MO128" s="43">
        <f t="shared" si="465"/>
        <v>2023</v>
      </c>
      <c r="MP128" s="43" t="str">
        <f t="shared" si="466"/>
        <v>I TRIMESTRE AÑO</v>
      </c>
      <c r="MQ128" s="43">
        <f t="shared" si="467"/>
        <v>20.471966710468681</v>
      </c>
      <c r="MR128" s="43">
        <f t="shared" si="468"/>
        <v>0</v>
      </c>
      <c r="MS128" s="43" t="str">
        <f t="shared" si="469"/>
        <v xml:space="preserve"> DE 20 A 24 AÑOS</v>
      </c>
      <c r="MT128" s="43">
        <f t="shared" si="470"/>
        <v>0</v>
      </c>
      <c r="MU128" s="43">
        <f t="shared" si="471"/>
        <v>1</v>
      </c>
      <c r="MV128" s="43">
        <f t="shared" si="472"/>
        <v>1</v>
      </c>
      <c r="MW128" s="43">
        <f t="shared" si="473"/>
        <v>0</v>
      </c>
      <c r="MX128" s="43" t="str">
        <f t="shared" si="474"/>
        <v/>
      </c>
      <c r="MY128" s="43" t="str">
        <f t="shared" ca="1" si="496"/>
        <v/>
      </c>
      <c r="MZ128" s="43" t="str">
        <f t="shared" si="475"/>
        <v/>
      </c>
      <c r="NA128" s="43">
        <f t="shared" si="476"/>
        <v>0</v>
      </c>
      <c r="NB128" s="43" t="str">
        <f t="shared" si="477"/>
        <v/>
      </c>
      <c r="NC128" s="43" t="str">
        <f t="shared" si="478"/>
        <v/>
      </c>
      <c r="ND128" s="43">
        <f t="shared" ca="1" si="479"/>
        <v>5</v>
      </c>
      <c r="NE128" s="43">
        <f>IF(OR(O128&gt;0,R128&gt;0),SUM(COUNTIF(Tabla1[[#This Row],[AÑOS AL INICIO5 CPN]],"&gt;=40"),COUNTIF(AS128,"0"),COUNTIF(AR128,"SI"),COUNTIF(CC128,"SI"),COUNTIF(BQ128,"&gt;119"),COUNTIF(CI128,"&gt;=35")),"")</f>
        <v>0</v>
      </c>
      <c r="NF128" s="43">
        <f t="shared" si="480"/>
        <v>21.857142857142858</v>
      </c>
      <c r="NG128" s="43">
        <f t="shared" si="481"/>
        <v>0</v>
      </c>
      <c r="NH128" s="43">
        <f t="shared" si="482"/>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3"/>
        <v>X</v>
      </c>
      <c r="NM128" s="43" t="str">
        <f t="shared" ref="NM128:NM159" si="501">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4"/>
        <v>II TRIM</v>
      </c>
      <c r="NQ128" s="21" t="str">
        <f t="shared" si="500"/>
        <v/>
      </c>
      <c r="NR128" s="21" t="str">
        <f t="shared" ca="1" si="497"/>
        <v>REVISAR FUM O FECHA SALIDA PROGRAMA</v>
      </c>
      <c r="NS128" s="205">
        <f t="shared" ca="1" si="485"/>
        <v>2</v>
      </c>
      <c r="NT128" s="21">
        <f t="shared" ca="1" si="486"/>
        <v>2</v>
      </c>
      <c r="NU128" s="21" t="str">
        <f t="shared" ca="1" si="487"/>
        <v>POR DEFINIR</v>
      </c>
      <c r="NV128" s="21" t="str">
        <f t="shared" ca="1" si="488"/>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9"/>
        <v>VACUNADA</v>
      </c>
      <c r="NY128" s="43">
        <f>ROW(Tabla1[[#This Row],['# DE TAMIZAJES SIFILIS TOMADOS ]])</f>
        <v>128</v>
      </c>
      <c r="NZ128" s="43">
        <f t="shared" si="334"/>
        <v>17</v>
      </c>
      <c r="OA128" s="43" t="str">
        <f t="shared" si="335"/>
        <v/>
      </c>
      <c r="OB128" s="43" t="str">
        <f t="shared" si="336"/>
        <v/>
      </c>
      <c r="OC128" s="43" t="str">
        <f t="shared" si="337"/>
        <v/>
      </c>
      <c r="OD128" s="43" t="str">
        <f t="shared" si="338"/>
        <v/>
      </c>
      <c r="OE128" s="43" t="str">
        <f t="shared" si="339"/>
        <v/>
      </c>
      <c r="OF128" s="43" t="str">
        <f t="shared" si="340"/>
        <v/>
      </c>
      <c r="OG128" s="43" t="str">
        <f t="shared" si="341"/>
        <v/>
      </c>
      <c r="OH128" s="43" t="str">
        <f t="shared" si="342"/>
        <v/>
      </c>
      <c r="OI128" s="43" t="str">
        <f t="shared" si="343"/>
        <v>NORMAL</v>
      </c>
      <c r="OJ128" s="43" t="str">
        <f t="shared" si="344"/>
        <v/>
      </c>
      <c r="OK128" s="43" t="str">
        <f t="shared" si="345"/>
        <v/>
      </c>
      <c r="OL128" s="43" t="str">
        <f t="shared" si="346"/>
        <v/>
      </c>
      <c r="OM128" s="43" t="str">
        <f t="shared" si="347"/>
        <v/>
      </c>
      <c r="ON128" s="43" t="str">
        <f t="shared" si="348"/>
        <v/>
      </c>
      <c r="OO128" s="43" t="str">
        <f t="shared" si="349"/>
        <v/>
      </c>
      <c r="OP128" s="43" t="str">
        <f t="shared" si="350"/>
        <v/>
      </c>
      <c r="OQ128" s="43" t="str">
        <f t="shared" si="351"/>
        <v/>
      </c>
      <c r="OR128" s="43" t="str">
        <f t="shared" si="352"/>
        <v/>
      </c>
      <c r="OS128" s="43" t="str">
        <f t="shared" si="353"/>
        <v/>
      </c>
      <c r="OT128" s="43" t="str">
        <f t="shared" si="354"/>
        <v/>
      </c>
      <c r="OU128" s="43" t="str">
        <f t="shared" si="355"/>
        <v/>
      </c>
      <c r="OV128" s="110" t="str">
        <f t="shared" si="356"/>
        <v/>
      </c>
      <c r="OW128" s="43" t="str">
        <f t="shared" si="357"/>
        <v/>
      </c>
      <c r="OX128" s="43" t="str">
        <f t="shared" si="358"/>
        <v/>
      </c>
      <c r="OY128" s="43" t="str">
        <f t="shared" si="359"/>
        <v/>
      </c>
      <c r="OZ128" s="43" t="str">
        <f t="shared" si="360"/>
        <v/>
      </c>
      <c r="PA128" s="43" t="str">
        <f t="shared" si="361"/>
        <v/>
      </c>
      <c r="PB128" s="43" t="str">
        <f t="shared" si="362"/>
        <v/>
      </c>
      <c r="PC128" s="43" t="str">
        <f t="shared" si="363"/>
        <v/>
      </c>
      <c r="PD128" s="43" t="str">
        <f t="shared" si="364"/>
        <v/>
      </c>
      <c r="PE128" s="43" t="str">
        <f t="shared" si="365"/>
        <v/>
      </c>
      <c r="PF128" s="43" t="str">
        <f t="shared" si="366"/>
        <v/>
      </c>
      <c r="PG128" s="43" t="str">
        <f t="shared" si="367"/>
        <v/>
      </c>
      <c r="PH128" s="43" t="str">
        <f t="shared" si="368"/>
        <v/>
      </c>
      <c r="PI128" s="43">
        <f t="shared" si="369"/>
        <v>33</v>
      </c>
      <c r="PJ128" s="43" t="str">
        <f t="shared" si="370"/>
        <v/>
      </c>
      <c r="PK128" s="43" t="str">
        <f t="shared" si="371"/>
        <v/>
      </c>
      <c r="PL128" s="43" t="str">
        <f t="shared" si="372"/>
        <v/>
      </c>
      <c r="PM128" s="43" t="str">
        <f t="shared" si="373"/>
        <v/>
      </c>
      <c r="PN128" s="43" t="str">
        <f t="shared" si="374"/>
        <v/>
      </c>
      <c r="PO128" s="43" t="str">
        <f t="shared" si="375"/>
        <v/>
      </c>
      <c r="PP128" s="43" t="str">
        <f t="shared" si="376"/>
        <v/>
      </c>
      <c r="PQ128" s="43" t="str">
        <f t="shared" si="377"/>
        <v/>
      </c>
      <c r="PR128" s="43" t="str">
        <f t="shared" si="378"/>
        <v/>
      </c>
      <c r="PS128" s="43" t="str">
        <f t="shared" si="379"/>
        <v/>
      </c>
      <c r="PT128" s="43" t="str">
        <f t="shared" si="380"/>
        <v/>
      </c>
      <c r="PU128" s="43" t="str">
        <f t="shared" si="381"/>
        <v/>
      </c>
      <c r="PV128" s="43" t="str">
        <f t="shared" si="382"/>
        <v/>
      </c>
      <c r="PW128" s="43" t="str">
        <f t="shared" si="383"/>
        <v/>
      </c>
      <c r="PX128" s="43" t="str">
        <f t="shared" si="384"/>
        <v/>
      </c>
      <c r="PY128" s="43" t="str">
        <f t="shared" si="385"/>
        <v/>
      </c>
      <c r="PZ128" s="43" t="str">
        <f t="shared" si="386"/>
        <v/>
      </c>
      <c r="QA128" s="43" t="str">
        <f t="shared" si="387"/>
        <v/>
      </c>
      <c r="QB128" s="43" t="str">
        <f t="shared" si="388"/>
        <v/>
      </c>
      <c r="QC128" s="43" t="str">
        <f t="shared" si="389"/>
        <v/>
      </c>
      <c r="QD128" s="43" t="str">
        <f t="shared" si="390"/>
        <v/>
      </c>
      <c r="QE128" s="43" t="str">
        <f t="shared" si="391"/>
        <v/>
      </c>
      <c r="QF128" s="43" t="str">
        <f t="shared" si="392"/>
        <v/>
      </c>
      <c r="QG128" s="43" t="str">
        <f t="shared" si="393"/>
        <v/>
      </c>
      <c r="QH128" s="43" t="str">
        <f t="shared" si="394"/>
        <v>SOBREPESO</v>
      </c>
      <c r="QI128" s="43" t="str">
        <f t="shared" si="395"/>
        <v/>
      </c>
      <c r="QJ128" s="43" t="str">
        <f t="shared" si="396"/>
        <v/>
      </c>
      <c r="QK128" s="43" t="str">
        <f t="shared" si="397"/>
        <v/>
      </c>
      <c r="QL128" s="43" t="str">
        <f t="shared" si="398"/>
        <v/>
      </c>
      <c r="QM128" s="43" t="str">
        <f t="shared" si="399"/>
        <v/>
      </c>
      <c r="QN128" s="43" t="str">
        <f t="shared" si="400"/>
        <v/>
      </c>
      <c r="QO128" s="43" t="str">
        <f t="shared" si="401"/>
        <v/>
      </c>
      <c r="QP128" s="43" t="str">
        <f t="shared" si="402"/>
        <v/>
      </c>
      <c r="QQ128" s="43" t="str">
        <f t="shared" si="403"/>
        <v/>
      </c>
      <c r="QR128" s="43">
        <f t="shared" si="433"/>
        <v>33</v>
      </c>
      <c r="QS128" s="43"/>
      <c r="QT128" s="21" t="str">
        <f t="shared" si="404"/>
        <v/>
      </c>
      <c r="QU128" s="21" t="str">
        <f t="shared" si="405"/>
        <v/>
      </c>
      <c r="QV128" s="21" t="str">
        <f t="shared" si="406"/>
        <v/>
      </c>
      <c r="QW128" s="21" t="str">
        <f t="shared" si="407"/>
        <v/>
      </c>
      <c r="QX128" s="21" t="str">
        <f t="shared" si="408"/>
        <v/>
      </c>
      <c r="QY128" s="21" t="str">
        <f t="shared" si="409"/>
        <v/>
      </c>
      <c r="QZ128" s="21" t="str">
        <f t="shared" si="410"/>
        <v/>
      </c>
      <c r="RA128" s="21" t="str">
        <f t="shared" si="411"/>
        <v/>
      </c>
      <c r="RB128" s="21" t="str">
        <f t="shared" si="412"/>
        <v/>
      </c>
      <c r="RC128" s="21" t="str">
        <f t="shared" si="413"/>
        <v/>
      </c>
      <c r="RD128" s="21" t="str">
        <f t="shared" si="414"/>
        <v/>
      </c>
      <c r="RE128" s="21" t="str">
        <f t="shared" si="415"/>
        <v/>
      </c>
      <c r="RF128" s="21" t="str">
        <f t="shared" si="416"/>
        <v/>
      </c>
      <c r="RG128" s="21" t="str">
        <f t="shared" si="417"/>
        <v/>
      </c>
      <c r="RH128" s="21" t="str">
        <f t="shared" si="418"/>
        <v/>
      </c>
      <c r="RI128" s="21" t="str">
        <f t="shared" si="419"/>
        <v/>
      </c>
      <c r="RJ128" s="21" t="str">
        <f t="shared" si="420"/>
        <v/>
      </c>
      <c r="RK128" s="21" t="str">
        <f t="shared" si="421"/>
        <v/>
      </c>
      <c r="RL128" s="21" t="str">
        <f t="shared" si="422"/>
        <v/>
      </c>
      <c r="RM128" s="21" t="str">
        <f t="shared" si="423"/>
        <v/>
      </c>
      <c r="RN128" s="21" t="str">
        <f t="shared" si="424"/>
        <v>ADECUADO PARA EDAD GESTACIONAL</v>
      </c>
      <c r="RO128" s="21" t="str">
        <f t="shared" si="425"/>
        <v/>
      </c>
      <c r="RP128" s="21" t="str">
        <f t="shared" si="426"/>
        <v/>
      </c>
      <c r="RQ128" s="21" t="str">
        <f t="shared" si="427"/>
        <v/>
      </c>
      <c r="RR128" s="21" t="str">
        <f t="shared" si="428"/>
        <v/>
      </c>
      <c r="RS128" s="21" t="str">
        <f t="shared" si="429"/>
        <v/>
      </c>
      <c r="RT128" s="21" t="str">
        <f t="shared" si="430"/>
        <v/>
      </c>
      <c r="RU128" s="21" t="str">
        <f t="shared" si="431"/>
        <v/>
      </c>
      <c r="RV128" s="21">
        <f t="shared" si="432"/>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4"/>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38.161643835616438</v>
      </c>
      <c r="O129" s="22">
        <v>44995</v>
      </c>
      <c r="P129" s="214" t="str">
        <f t="shared" si="438"/>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9"/>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9"/>
        <v>CONCERTAR PLAN DE PARTO INMEDIATO</v>
      </c>
      <c r="DV129" s="226" t="str">
        <f t="shared" si="440"/>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1"/>
        <v>TOMA DE HEMOGLOBINA TARDÍA</v>
      </c>
      <c r="EU129" s="25" t="str">
        <f t="shared" si="275"/>
        <v/>
      </c>
      <c r="EV129" s="24" t="s">
        <v>1510</v>
      </c>
      <c r="EW129" s="32">
        <v>44995</v>
      </c>
      <c r="EX129" s="22"/>
      <c r="EY129" s="29">
        <f t="shared" si="454"/>
        <v>14.099999999999584</v>
      </c>
      <c r="EZ129" s="25" t="str">
        <f t="shared" si="455"/>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2"/>
        <v>PIERDE TOMA DE TAMIZAJE</v>
      </c>
      <c r="FP129" s="22"/>
      <c r="FQ129" s="32"/>
      <c r="FR129" s="29" t="str">
        <f t="shared" ca="1" si="443"/>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8"/>
        <v>REGISTRAR EN II TRIMESTRE</v>
      </c>
      <c r="GB129" s="22"/>
      <c r="GC129" s="22"/>
      <c r="GD129" s="29" t="str">
        <f t="shared" ca="1" si="491"/>
        <v>PIERDE TOMA DE TAMIZAJE</v>
      </c>
      <c r="GE129" s="22"/>
      <c r="GF129" s="22"/>
      <c r="GG129" s="29" t="str">
        <f t="shared" ca="1" si="445"/>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8"/>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t="str">
        <f t="shared" ca="1" si="289"/>
        <v>************************RIESGO POR EDAD***************</v>
      </c>
      <c r="HK129" s="21" t="str">
        <f t="shared" si="290"/>
        <v>SIN ANTECEDENTES DE RIESGO</v>
      </c>
      <c r="HL129" s="24" t="str">
        <f t="shared" si="291"/>
        <v>APARENTEMENTE NORMAL</v>
      </c>
      <c r="HM129" s="21" t="e">
        <f t="shared" ca="1" si="292"/>
        <v>#REF!</v>
      </c>
      <c r="HN129" s="30" t="str">
        <f t="shared" si="446"/>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3"/>
        <v>PENDIENTE CONSULTA</v>
      </c>
      <c r="IA129" s="26"/>
      <c r="IB129" s="26"/>
      <c r="IC129" s="111">
        <v>45101</v>
      </c>
      <c r="ID129" s="22">
        <v>45101</v>
      </c>
      <c r="IE129" s="22" t="str">
        <f t="shared" ca="1" si="294"/>
        <v>VACUNA APLICADA ENTRE SEMANA 27 Y EL PARTO</v>
      </c>
      <c r="IF129" s="22">
        <v>45040</v>
      </c>
      <c r="IG129" s="22">
        <f t="shared" si="295"/>
        <v>45176.3</v>
      </c>
      <c r="IH129" s="29">
        <f t="shared" ca="1" si="296"/>
        <v>-55.69999999999709</v>
      </c>
      <c r="II129" s="22" t="str">
        <f t="shared" ca="1" si="297"/>
        <v>POSIBLEMENTE NACIO</v>
      </c>
      <c r="IJ129" s="22"/>
      <c r="IK129" s="21"/>
      <c r="IL129" s="21"/>
      <c r="IM129" s="34"/>
      <c r="IN129" s="349"/>
      <c r="IO129" s="21"/>
      <c r="IP129" s="29" t="str">
        <f t="shared" si="490"/>
        <v/>
      </c>
      <c r="IQ129" s="35"/>
      <c r="IR129" s="21"/>
      <c r="IS129" s="21"/>
      <c r="IT129" s="21"/>
      <c r="IU129" s="21"/>
      <c r="IV129" s="21"/>
      <c r="IW129" s="21"/>
      <c r="IX129" s="21"/>
      <c r="IY129" s="21"/>
      <c r="IZ129" s="21"/>
      <c r="JA129" s="21"/>
      <c r="JB129" s="30"/>
      <c r="JC129" s="21"/>
      <c r="JD129" s="36"/>
      <c r="JE129" s="21" t="str">
        <f t="shared" si="492"/>
        <v/>
      </c>
      <c r="JF129" s="30"/>
      <c r="JG129" s="21"/>
      <c r="JH129" s="21"/>
      <c r="JI129" s="21"/>
      <c r="JJ129" s="30"/>
      <c r="JK129" s="22"/>
      <c r="JL129" s="22"/>
      <c r="JM129" s="21"/>
      <c r="JN129" s="36"/>
      <c r="JO129" s="21" t="str">
        <f t="shared" si="493"/>
        <v/>
      </c>
      <c r="JP129" s="22"/>
      <c r="JQ129" s="21"/>
      <c r="JR129" s="21"/>
      <c r="JS129" s="21"/>
      <c r="JT129" s="30"/>
      <c r="JU129" s="22"/>
      <c r="JV129" s="22"/>
      <c r="JW129" s="33"/>
      <c r="JX129" s="28" t="str">
        <f t="shared" si="494"/>
        <v/>
      </c>
      <c r="JY129" s="33"/>
      <c r="JZ129" s="28" t="str">
        <f t="shared" si="495"/>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9"/>
        <v>0</v>
      </c>
      <c r="MI129" s="43" t="str">
        <f t="shared" si="460"/>
        <v/>
      </c>
      <c r="MJ129" s="43" t="str">
        <f t="shared" si="461"/>
        <v/>
      </c>
      <c r="MK129" s="43">
        <f t="shared" si="462"/>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3"/>
        <v>14.099999999999584</v>
      </c>
      <c r="MN129" s="43">
        <f t="shared" si="464"/>
        <v>3</v>
      </c>
      <c r="MO129" s="43">
        <f t="shared" si="465"/>
        <v>2023</v>
      </c>
      <c r="MP129" s="43" t="str">
        <f t="shared" si="466"/>
        <v>I TRIMESTRE AÑO</v>
      </c>
      <c r="MQ129" s="43">
        <f t="shared" si="467"/>
        <v>36.949737187910642</v>
      </c>
      <c r="MR129" s="43">
        <f t="shared" si="468"/>
        <v>2</v>
      </c>
      <c r="MS129" s="43" t="str">
        <f t="shared" si="469"/>
        <v xml:space="preserve"> DE 35 A 39 AÑOS</v>
      </c>
      <c r="MT129" s="43">
        <f t="shared" si="470"/>
        <v>0</v>
      </c>
      <c r="MU129" s="43">
        <f t="shared" si="471"/>
        <v>0</v>
      </c>
      <c r="MV129" s="43">
        <f t="shared" si="472"/>
        <v>0</v>
      </c>
      <c r="MW129" s="43">
        <f t="shared" si="473"/>
        <v>0</v>
      </c>
      <c r="MX129" s="43" t="str">
        <f t="shared" si="474"/>
        <v/>
      </c>
      <c r="MY129" s="43" t="str">
        <f t="shared" ca="1" si="496"/>
        <v/>
      </c>
      <c r="MZ129" s="43" t="str">
        <f t="shared" si="475"/>
        <v/>
      </c>
      <c r="NA129" s="43" t="str">
        <f t="shared" si="476"/>
        <v/>
      </c>
      <c r="NB129" s="43" t="str">
        <f t="shared" si="477"/>
        <v/>
      </c>
      <c r="NC129" s="43" t="str">
        <f t="shared" si="478"/>
        <v/>
      </c>
      <c r="ND129" s="43">
        <f t="shared" ca="1" si="479"/>
        <v>2</v>
      </c>
      <c r="NE129" s="43">
        <f>IF(OR(O129&gt;0,R129&gt;0),SUM(COUNTIF(Tabla1[[#This Row],[AÑOS AL INICIO5 CPN]],"&gt;=40"),COUNTIF(AS129,"0"),COUNTIF(AR129,"SI"),COUNTIF(CC129,"SI"),COUNTIF(BQ129,"&gt;119"),COUNTIF(CI129,"&gt;=35")),"")</f>
        <v>0</v>
      </c>
      <c r="NF129" s="43">
        <f t="shared" si="480"/>
        <v>29.242857142856728</v>
      </c>
      <c r="NG129" s="43">
        <f t="shared" si="481"/>
        <v>0</v>
      </c>
      <c r="NH129" s="43">
        <f t="shared" si="482"/>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3"/>
        <v>70</v>
      </c>
      <c r="NM129" s="43" t="str">
        <f t="shared" si="501"/>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4"/>
        <v>II TRIM</v>
      </c>
      <c r="NQ129" s="21" t="str">
        <f t="shared" si="500"/>
        <v/>
      </c>
      <c r="NR129" s="21" t="str">
        <f t="shared" ca="1" si="497"/>
        <v>REVISAR FUM O FECHA SALIDA PROGRAMA</v>
      </c>
      <c r="NS129" s="205">
        <f t="shared" ca="1" si="485"/>
        <v>0</v>
      </c>
      <c r="NT129" s="21">
        <f t="shared" ca="1" si="486"/>
        <v>0</v>
      </c>
      <c r="NU129" s="21" t="str">
        <f t="shared" ca="1" si="487"/>
        <v>POR DEFINIR</v>
      </c>
      <c r="NV129" s="21" t="str">
        <f t="shared" ca="1" si="488"/>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9"/>
        <v>VACUNADA</v>
      </c>
      <c r="NY129" s="43">
        <f>ROW(Tabla1[[#This Row],['# DE TAMIZAJES SIFILIS TOMADOS ]])</f>
        <v>129</v>
      </c>
      <c r="NZ129" s="43">
        <f t="shared" si="334"/>
        <v>14</v>
      </c>
      <c r="OA129" s="43" t="str">
        <f t="shared" si="335"/>
        <v/>
      </c>
      <c r="OB129" s="43" t="str">
        <f t="shared" si="336"/>
        <v/>
      </c>
      <c r="OC129" s="43" t="str">
        <f t="shared" si="337"/>
        <v/>
      </c>
      <c r="OD129" s="43" t="str">
        <f t="shared" si="338"/>
        <v/>
      </c>
      <c r="OE129" s="43" t="str">
        <f t="shared" si="339"/>
        <v/>
      </c>
      <c r="OF129" s="43" t="str">
        <f t="shared" si="340"/>
        <v>NORMAL</v>
      </c>
      <c r="OG129" s="43" t="str">
        <f t="shared" si="341"/>
        <v/>
      </c>
      <c r="OH129" s="43" t="str">
        <f t="shared" si="342"/>
        <v/>
      </c>
      <c r="OI129" s="43" t="str">
        <f t="shared" si="343"/>
        <v/>
      </c>
      <c r="OJ129" s="43" t="str">
        <f t="shared" si="344"/>
        <v/>
      </c>
      <c r="OK129" s="43" t="str">
        <f t="shared" si="345"/>
        <v/>
      </c>
      <c r="OL129" s="43" t="str">
        <f t="shared" si="346"/>
        <v/>
      </c>
      <c r="OM129" s="43" t="str">
        <f t="shared" si="347"/>
        <v/>
      </c>
      <c r="ON129" s="43" t="str">
        <f t="shared" si="348"/>
        <v/>
      </c>
      <c r="OO129" s="43" t="str">
        <f t="shared" si="349"/>
        <v/>
      </c>
      <c r="OP129" s="43" t="str">
        <f t="shared" si="350"/>
        <v/>
      </c>
      <c r="OQ129" s="43" t="str">
        <f t="shared" si="351"/>
        <v/>
      </c>
      <c r="OR129" s="43" t="str">
        <f t="shared" si="352"/>
        <v/>
      </c>
      <c r="OS129" s="43" t="str">
        <f t="shared" si="353"/>
        <v/>
      </c>
      <c r="OT129" s="43" t="str">
        <f t="shared" si="354"/>
        <v/>
      </c>
      <c r="OU129" s="43" t="str">
        <f t="shared" si="355"/>
        <v/>
      </c>
      <c r="OV129" s="110" t="str">
        <f t="shared" si="356"/>
        <v/>
      </c>
      <c r="OW129" s="43" t="str">
        <f t="shared" si="357"/>
        <v/>
      </c>
      <c r="OX129" s="43" t="str">
        <f t="shared" si="358"/>
        <v/>
      </c>
      <c r="OY129" s="43" t="str">
        <f t="shared" si="359"/>
        <v/>
      </c>
      <c r="OZ129" s="43" t="str">
        <f t="shared" si="360"/>
        <v/>
      </c>
      <c r="PA129" s="43" t="str">
        <f t="shared" si="361"/>
        <v/>
      </c>
      <c r="PB129" s="43" t="str">
        <f t="shared" si="362"/>
        <v/>
      </c>
      <c r="PC129" s="43" t="str">
        <f t="shared" si="363"/>
        <v/>
      </c>
      <c r="PD129" s="43" t="str">
        <f t="shared" si="364"/>
        <v/>
      </c>
      <c r="PE129" s="43" t="str">
        <f t="shared" si="365"/>
        <v/>
      </c>
      <c r="PF129" s="43" t="str">
        <f t="shared" si="366"/>
        <v/>
      </c>
      <c r="PG129" s="43" t="str">
        <f t="shared" si="367"/>
        <v/>
      </c>
      <c r="PH129" s="43" t="str">
        <f t="shared" si="368"/>
        <v/>
      </c>
      <c r="PI129" s="43">
        <f t="shared" si="369"/>
        <v>34</v>
      </c>
      <c r="PJ129" s="43" t="str">
        <f t="shared" si="370"/>
        <v/>
      </c>
      <c r="PK129" s="43" t="str">
        <f t="shared" si="371"/>
        <v/>
      </c>
      <c r="PL129" s="43" t="str">
        <f t="shared" si="372"/>
        <v/>
      </c>
      <c r="PM129" s="43" t="str">
        <f t="shared" si="373"/>
        <v/>
      </c>
      <c r="PN129" s="43" t="str">
        <f t="shared" si="374"/>
        <v/>
      </c>
      <c r="PO129" s="43" t="str">
        <f t="shared" si="375"/>
        <v/>
      </c>
      <c r="PP129" s="43" t="str">
        <f t="shared" si="376"/>
        <v/>
      </c>
      <c r="PQ129" s="43" t="str">
        <f t="shared" si="377"/>
        <v/>
      </c>
      <c r="PR129" s="43" t="str">
        <f t="shared" si="378"/>
        <v/>
      </c>
      <c r="PS129" s="43" t="str">
        <f t="shared" si="379"/>
        <v/>
      </c>
      <c r="PT129" s="43" t="str">
        <f t="shared" si="380"/>
        <v/>
      </c>
      <c r="PU129" s="43" t="str">
        <f t="shared" si="381"/>
        <v/>
      </c>
      <c r="PV129" s="43" t="str">
        <f t="shared" si="382"/>
        <v/>
      </c>
      <c r="PW129" s="43" t="str">
        <f t="shared" si="383"/>
        <v/>
      </c>
      <c r="PX129" s="43" t="str">
        <f t="shared" si="384"/>
        <v/>
      </c>
      <c r="PY129" s="43" t="str">
        <f t="shared" si="385"/>
        <v/>
      </c>
      <c r="PZ129" s="43" t="str">
        <f t="shared" si="386"/>
        <v/>
      </c>
      <c r="QA129" s="43" t="str">
        <f t="shared" si="387"/>
        <v/>
      </c>
      <c r="QB129" s="43" t="str">
        <f t="shared" si="388"/>
        <v/>
      </c>
      <c r="QC129" s="43" t="str">
        <f t="shared" si="389"/>
        <v/>
      </c>
      <c r="QD129" s="43" t="str">
        <f t="shared" si="390"/>
        <v/>
      </c>
      <c r="QE129" s="43" t="str">
        <f t="shared" si="391"/>
        <v/>
      </c>
      <c r="QF129" s="43" t="str">
        <f t="shared" si="392"/>
        <v/>
      </c>
      <c r="QG129" s="43" t="str">
        <f t="shared" si="393"/>
        <v/>
      </c>
      <c r="QH129" s="43" t="str">
        <f t="shared" si="394"/>
        <v/>
      </c>
      <c r="QI129" s="43" t="str">
        <f t="shared" si="395"/>
        <v>SOBREPESO</v>
      </c>
      <c r="QJ129" s="43" t="str">
        <f t="shared" si="396"/>
        <v/>
      </c>
      <c r="QK129" s="43" t="str">
        <f t="shared" si="397"/>
        <v/>
      </c>
      <c r="QL129" s="43" t="str">
        <f t="shared" si="398"/>
        <v/>
      </c>
      <c r="QM129" s="43" t="str">
        <f t="shared" si="399"/>
        <v/>
      </c>
      <c r="QN129" s="43" t="str">
        <f t="shared" si="400"/>
        <v/>
      </c>
      <c r="QO129" s="43" t="str">
        <f t="shared" si="401"/>
        <v/>
      </c>
      <c r="QP129" s="43" t="str">
        <f t="shared" si="402"/>
        <v/>
      </c>
      <c r="QQ129" s="43" t="str">
        <f t="shared" si="403"/>
        <v/>
      </c>
      <c r="QR129" s="43">
        <f t="shared" si="433"/>
        <v>34</v>
      </c>
      <c r="QS129" s="43"/>
      <c r="QT129" s="21" t="str">
        <f t="shared" si="404"/>
        <v/>
      </c>
      <c r="QU129" s="21" t="str">
        <f t="shared" si="405"/>
        <v/>
      </c>
      <c r="QV129" s="21" t="str">
        <f t="shared" si="406"/>
        <v/>
      </c>
      <c r="QW129" s="21" t="str">
        <f t="shared" si="407"/>
        <v/>
      </c>
      <c r="QX129" s="21" t="str">
        <f t="shared" si="408"/>
        <v/>
      </c>
      <c r="QY129" s="21" t="str">
        <f t="shared" si="409"/>
        <v/>
      </c>
      <c r="QZ129" s="21" t="str">
        <f t="shared" si="410"/>
        <v/>
      </c>
      <c r="RA129" s="21" t="str">
        <f t="shared" si="411"/>
        <v/>
      </c>
      <c r="RB129" s="21" t="str">
        <f t="shared" si="412"/>
        <v/>
      </c>
      <c r="RC129" s="21" t="str">
        <f t="shared" si="413"/>
        <v/>
      </c>
      <c r="RD129" s="21" t="str">
        <f t="shared" si="414"/>
        <v/>
      </c>
      <c r="RE129" s="21" t="str">
        <f t="shared" si="415"/>
        <v/>
      </c>
      <c r="RF129" s="21" t="str">
        <f t="shared" si="416"/>
        <v/>
      </c>
      <c r="RG129" s="21" t="str">
        <f t="shared" si="417"/>
        <v/>
      </c>
      <c r="RH129" s="21" t="str">
        <f t="shared" si="418"/>
        <v/>
      </c>
      <c r="RI129" s="21" t="str">
        <f t="shared" si="419"/>
        <v/>
      </c>
      <c r="RJ129" s="21" t="str">
        <f t="shared" si="420"/>
        <v/>
      </c>
      <c r="RK129" s="21" t="str">
        <f t="shared" si="421"/>
        <v/>
      </c>
      <c r="RL129" s="21" t="str">
        <f t="shared" si="422"/>
        <v/>
      </c>
      <c r="RM129" s="21" t="str">
        <f t="shared" si="423"/>
        <v/>
      </c>
      <c r="RN129" s="21" t="str">
        <f t="shared" si="424"/>
        <v/>
      </c>
      <c r="RO129" s="21" t="str">
        <f t="shared" si="425"/>
        <v>ALTO PARA EDAD GESTACIONAL</v>
      </c>
      <c r="RP129" s="21" t="str">
        <f t="shared" si="426"/>
        <v/>
      </c>
      <c r="RQ129" s="21" t="str">
        <f t="shared" si="427"/>
        <v/>
      </c>
      <c r="RR129" s="21" t="str">
        <f t="shared" si="428"/>
        <v/>
      </c>
      <c r="RS129" s="21" t="str">
        <f t="shared" si="429"/>
        <v/>
      </c>
      <c r="RT129" s="21" t="str">
        <f t="shared" si="430"/>
        <v/>
      </c>
      <c r="RU129" s="21" t="str">
        <f t="shared" si="431"/>
        <v/>
      </c>
      <c r="RV129" s="21">
        <f t="shared" si="432"/>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4"/>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v>
      </c>
      <c r="O130" s="22">
        <v>45014</v>
      </c>
      <c r="P130" s="214" t="str">
        <f t="shared" si="438"/>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39.157142857142652</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9"/>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9"/>
        <v>CONCERTAR PLAN DE PARTO INMEDIATO</v>
      </c>
      <c r="DV130" s="226" t="str">
        <f t="shared" si="440"/>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1"/>
        <v>21.442857142856933</v>
      </c>
      <c r="EU130" s="25" t="str">
        <f t="shared" si="275"/>
        <v>MANEJO MD POR ANEMIA FERROPENICA</v>
      </c>
      <c r="EV130" s="24" t="s">
        <v>1510</v>
      </c>
      <c r="EW130" s="22">
        <v>45014</v>
      </c>
      <c r="EX130" s="22"/>
      <c r="EY130" s="29">
        <f t="shared" si="454"/>
        <v>8.0142857142855064</v>
      </c>
      <c r="EZ130" s="25" t="str">
        <f t="shared" si="455"/>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2"/>
        <v>21.585714285714079</v>
      </c>
      <c r="FP130" s="22"/>
      <c r="FQ130" s="32"/>
      <c r="FR130" s="29" t="str">
        <f t="shared" ca="1" si="443"/>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8"/>
        <v>8.0142857142855064</v>
      </c>
      <c r="GB130" s="22"/>
      <c r="GC130" s="22"/>
      <c r="GD130" s="29" t="str">
        <f t="shared" ca="1" si="491"/>
        <v>PIERDE TOMA DE TAMIZAJE</v>
      </c>
      <c r="GE130" s="22"/>
      <c r="GF130" s="22"/>
      <c r="GG130" s="29" t="str">
        <f t="shared" ca="1" si="445"/>
        <v>TOMA INMEDIATA DE TAMIZAJE</v>
      </c>
      <c r="GH130" s="22"/>
      <c r="GI130" s="29"/>
      <c r="GJ130" s="22"/>
      <c r="GK130" s="22"/>
      <c r="GL130" s="22"/>
      <c r="GM130" s="22"/>
      <c r="GN130" s="28" t="s">
        <v>869</v>
      </c>
      <c r="GO130" s="22">
        <v>45014</v>
      </c>
      <c r="GP130" s="29">
        <f t="shared" si="283"/>
        <v>8.0142857142855064</v>
      </c>
      <c r="GQ130" s="28" t="s">
        <v>869</v>
      </c>
      <c r="GR130" s="28"/>
      <c r="GS130" s="22" t="str">
        <f t="shared" si="458"/>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t="str">
        <f t="shared" ca="1" si="289"/>
        <v>********************SEGUIMIENTO PARA ANEMIA*******************</v>
      </c>
      <c r="HK130" s="21" t="str">
        <f t="shared" si="290"/>
        <v>SIN ANTECEDENTES DE RIESGO</v>
      </c>
      <c r="HL130" s="24" t="str">
        <f t="shared" si="291"/>
        <v>APARENTEMENTE NORMAL</v>
      </c>
      <c r="HM130" s="21" t="e">
        <f t="shared" ca="1" si="292"/>
        <v>#REF!</v>
      </c>
      <c r="HN130" s="30" t="str">
        <f t="shared" si="446"/>
        <v>ACTIVA INGRESO A CPN</v>
      </c>
      <c r="HO130" s="21"/>
      <c r="HP130" s="21"/>
      <c r="HQ130" s="349">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3"/>
        <v>PENDIENTE CONSULTA</v>
      </c>
      <c r="IA130" s="26"/>
      <c r="IB130" s="26"/>
      <c r="IC130" s="111"/>
      <c r="ID130" s="22"/>
      <c r="IE130" s="22" t="str">
        <f t="shared" ca="1" si="294"/>
        <v>INASISTENTE</v>
      </c>
      <c r="IF130" s="22"/>
      <c r="IG130" s="22">
        <f t="shared" si="295"/>
        <v>45237.9</v>
      </c>
      <c r="IH130" s="29">
        <f t="shared" ca="1" si="296"/>
        <v>5.9000000000014552</v>
      </c>
      <c r="II130" s="22" t="str">
        <f t="shared" ca="1" si="297"/>
        <v>SEMANA DE PARTO</v>
      </c>
      <c r="IJ130" s="22"/>
      <c r="IK130" s="21"/>
      <c r="IL130" s="21"/>
      <c r="IM130" s="34"/>
      <c r="IN130" s="22"/>
      <c r="IO130" s="21"/>
      <c r="IP130" s="29" t="str">
        <f t="shared" si="490"/>
        <v/>
      </c>
      <c r="IQ130" s="35"/>
      <c r="IR130" s="21"/>
      <c r="IS130" s="21"/>
      <c r="IT130" s="21"/>
      <c r="IU130" s="21"/>
      <c r="IV130" s="21"/>
      <c r="IW130" s="21"/>
      <c r="IX130" s="21"/>
      <c r="IY130" s="21"/>
      <c r="IZ130" s="21"/>
      <c r="JA130" s="21"/>
      <c r="JB130" s="30"/>
      <c r="JC130" s="21"/>
      <c r="JD130" s="36"/>
      <c r="JE130" s="21" t="str">
        <f t="shared" si="492"/>
        <v/>
      </c>
      <c r="JF130" s="30"/>
      <c r="JG130" s="21"/>
      <c r="JH130" s="21"/>
      <c r="JI130" s="21"/>
      <c r="JJ130" s="30"/>
      <c r="JK130" s="22"/>
      <c r="JL130" s="22"/>
      <c r="JM130" s="21"/>
      <c r="JN130" s="36"/>
      <c r="JO130" s="21" t="str">
        <f t="shared" si="493"/>
        <v/>
      </c>
      <c r="JP130" s="22"/>
      <c r="JQ130" s="21"/>
      <c r="JR130" s="21"/>
      <c r="JS130" s="21"/>
      <c r="JT130" s="30"/>
      <c r="JU130" s="22"/>
      <c r="JV130" s="22"/>
      <c r="JW130" s="33"/>
      <c r="JX130" s="28" t="str">
        <f t="shared" si="494"/>
        <v/>
      </c>
      <c r="JY130" s="33"/>
      <c r="JZ130" s="28" t="str">
        <f t="shared" si="495"/>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9"/>
        <v>0</v>
      </c>
      <c r="MI130" s="43" t="str">
        <f t="shared" si="460"/>
        <v/>
      </c>
      <c r="MJ130" s="43" t="str">
        <f t="shared" si="461"/>
        <v/>
      </c>
      <c r="MK130" s="43">
        <f t="shared" si="462"/>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3"/>
        <v>8.0142857142855064</v>
      </c>
      <c r="MN130" s="43">
        <f t="shared" si="464"/>
        <v>3</v>
      </c>
      <c r="MO130" s="43">
        <f t="shared" si="465"/>
        <v>2023</v>
      </c>
      <c r="MP130" s="43" t="str">
        <f t="shared" si="466"/>
        <v>I TRIMESTRE AÑO</v>
      </c>
      <c r="MQ130" s="43">
        <f t="shared" si="467"/>
        <v>20.099649583880858</v>
      </c>
      <c r="MR130" s="43">
        <f t="shared" si="468"/>
        <v>0</v>
      </c>
      <c r="MS130" s="43" t="str">
        <f t="shared" si="469"/>
        <v xml:space="preserve"> DE 20 A 24 AÑOS</v>
      </c>
      <c r="MT130" s="43">
        <f t="shared" si="470"/>
        <v>0</v>
      </c>
      <c r="MU130" s="43">
        <f t="shared" si="471"/>
        <v>0</v>
      </c>
      <c r="MV130" s="43">
        <f t="shared" si="472"/>
        <v>0</v>
      </c>
      <c r="MW130" s="43">
        <f t="shared" si="473"/>
        <v>0</v>
      </c>
      <c r="MX130" s="43">
        <f t="shared" si="474"/>
        <v>1</v>
      </c>
      <c r="MY130" s="43" t="str">
        <f t="shared" ca="1" si="496"/>
        <v/>
      </c>
      <c r="MZ130" s="43" t="str">
        <f t="shared" si="475"/>
        <v/>
      </c>
      <c r="NA130" s="43">
        <f t="shared" si="476"/>
        <v>0</v>
      </c>
      <c r="NB130" s="43" t="str">
        <f t="shared" si="477"/>
        <v/>
      </c>
      <c r="NC130" s="43" t="str">
        <f t="shared" si="478"/>
        <v/>
      </c>
      <c r="ND130" s="43">
        <f t="shared" ca="1" si="479"/>
        <v>1</v>
      </c>
      <c r="NE130" s="43">
        <f>IF(OR(O130&gt;0,R130&gt;0),SUM(COUNTIF(Tabla1[[#This Row],[AÑOS AL INICIO5 CPN]],"&gt;=40"),COUNTIF(AS130,"0"),COUNTIF(AR130,"SI"),COUNTIF(CC130,"SI"),COUNTIF(BQ130,"&gt;119"),COUNTIF(CI130,"&gt;=35")),"")</f>
        <v>0</v>
      </c>
      <c r="NF130" s="43" t="str">
        <f t="shared" si="480"/>
        <v/>
      </c>
      <c r="NG130" s="43">
        <f t="shared" si="481"/>
        <v>0</v>
      </c>
      <c r="NH130" s="43">
        <f t="shared" si="482"/>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3"/>
        <v>35</v>
      </c>
      <c r="NM130" s="43" t="str">
        <f t="shared" si="501"/>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4"/>
        <v>I TRIM</v>
      </c>
      <c r="NQ130" s="21">
        <f t="shared" si="500"/>
        <v>10</v>
      </c>
      <c r="NR130" s="21">
        <f t="shared" ca="1" si="497"/>
        <v>3</v>
      </c>
      <c r="NS130" s="205">
        <f t="shared" ca="1" si="485"/>
        <v>2</v>
      </c>
      <c r="NT130" s="21">
        <f t="shared" ca="1" si="486"/>
        <v>1</v>
      </c>
      <c r="NU130" s="21" t="str">
        <f t="shared" ca="1" si="487"/>
        <v>INCOMPLETO</v>
      </c>
      <c r="NV130" s="21" t="str">
        <f t="shared" ca="1" si="488"/>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9"/>
        <v>SIN VACUNAR</v>
      </c>
      <c r="NY130" s="43">
        <f>ROW(Tabla1[[#This Row],['# DE TAMIZAJES SIFILIS TOMADOS ]])</f>
        <v>130</v>
      </c>
      <c r="NZ130" s="43" t="str">
        <f t="shared" ref="NZ130:NZ190" si="502">IF(BS130="","",IF(BS130&lt;10,"Menor",INT(BS130)))</f>
        <v>Menor</v>
      </c>
      <c r="OA130" s="43" t="str">
        <f t="shared" ref="OA130:OA190" si="503">IF(AND(NZ130=$OA$2,CI130&gt;10,CI130&lt;18.5),"BAJO PESO",IF(AND(NZ130=$OA$2,CI130&gt;18.4,CI130&lt;25),"NORMAL",IF(AND(NZ130=$OA$2,CI130&gt;24,CI130&lt;30),"SOBREPESO",IF(AND(NZ130=$OA$2,CI130&gt;29,CI130&lt;50),"OBESIDAD",""))))</f>
        <v>SOBREPESO</v>
      </c>
      <c r="OB130" s="43" t="str">
        <f t="shared" ref="OB130:OB190" si="504">IF(AND(NZ130=$OB$2,CI130&gt;10,CI130&lt;20.3),"BAJO PESO",IF(AND(NZ130=$OB$2,CI130&gt;20.2,CI130&lt;25.3),"NORMAL",IF(AND(NZ130=$OB$2,CI130&gt;25.2,CI130&lt;30.3),"SOBREPESO",IF(AND(NZ130=$OB$2,CI130&gt;30.2,CI130&lt;50),"OBESIDAD",""))))</f>
        <v/>
      </c>
      <c r="OC130" s="43" t="str">
        <f t="shared" ref="OC130:OC190" si="505">IF(AND(NZ130=$OC$2,CI130&gt;10,CI130&lt;20.4),"BAJO PESO",IF(AND(NZ130=$OC$2,CI130&gt;20.3,CI130&lt;25.4),"NORMAL",IF(AND(NZ130=$OC$2,CI130&gt;25.3,CI130&lt;30.4),"SOBREPESO",IF(AND(NZ130=$OC$2,CI130&gt;30.3,CI130&lt;50),"OBESIDAD",""))))</f>
        <v/>
      </c>
      <c r="OD130" s="43" t="str">
        <f t="shared" ref="OD130:OD190" si="506">IF(AND(NZ130=$OD$2,CI130&gt;10,CI130&lt;20.5),"BAJO PESO",IF(AND(NZ130=$OD$2,CI130&gt;20.4,CI130&lt;25.5),"NORMAL",IF(AND(NZ130=$OD$2,CI130&gt;25.4,CI130&lt;30.4),"SOBREPESO",IF(AND(NZ130=$OD$2,CI130&gt;30.3,CI130&lt;50),"OBESIDAD",""))))</f>
        <v/>
      </c>
      <c r="OE130" s="43" t="str">
        <f t="shared" ref="OE130:OE190" si="507">IF(AND(NZ130=$OE$2,CI130&gt;10,CI130&lt;20.7),"BAJO PESO",IF(AND(NZ130=$OE$2,CI130&gt;20.6,CI130&lt;25.7),"NORMAL",IF(AND(NZ130=$OE$2,CI130&gt;25.7,CI130&lt;30.5),"SOBREPESO",IF(AND(NZ130=$OE$2,CI130&gt;30.4,CI130&lt;50),"OBESIDAD",""))))</f>
        <v/>
      </c>
      <c r="OF130" s="43" t="str">
        <f t="shared" ref="OF130:OF190" si="508">IF(AND(NZ130=$OF$2,CI130&gt;10,CI130&lt;20.8),"BAJO PESO",IF(AND(NZ130=$OF$2,CI130&gt;20.7,CI130&lt;25.8),"NORMAL",IF(AND(NZ130=$OF$2,CI130&gt;25.7,CI130&lt;30.6),"SOBREPESO",IF(AND(NZ130=$OF$2,CI130&gt;30.5,CI130&lt;50),"OBESIDAD",""))))</f>
        <v/>
      </c>
      <c r="OG130" s="43" t="str">
        <f t="shared" ref="OG130:OG190" si="509">IF(AND(NZ130=$OG$2,CI130&gt;10,CI130&lt;20.9),"BAJO PESO",IF(AND(NZ130=$OG$2,CI130&gt;20.8,CI130&lt;25.9),"NORMAL",IF(AND(NZ130=$OG$2,CI130&gt;25.8,CI130&lt;30.7),"SOBREPESO",IF(AND(NZ130=$OG$2,CI130&gt;30.6,CI130&lt;50),"OBESIDAD",""))))</f>
        <v/>
      </c>
      <c r="OH130" s="43" t="str">
        <f t="shared" ref="OH130:OH190" si="510">IF(AND(NZ130=$OH$2,CI130&gt;10,CI130&lt;21.1),"BAJO PESO",IF(AND(NZ130=$OH$2,CI130&gt;21,CI130&lt;26),"NORMAL",IF(AND(NZ130=$OH$2,CI130&gt;25.9,CI130&lt;30.8),"SOBREPESO",IF(AND(NZ130=$OH$2,CI130&gt;30.7,CI130&lt;50),"OBESIDAD",""))))</f>
        <v/>
      </c>
      <c r="OI130" s="43" t="str">
        <f t="shared" ref="OI130:OI190" si="511">IF(AND(NZ130=$OI$2,CI130&gt;10,CI130&lt;21.2),"BAJO PESO",IF(AND(NZ130=$OI$2,CI130&gt;21.1,CI130&lt;26.1),"NORMAL",IF(AND(NZ130=$OI$2,CI130&gt;26,CI130&lt;31.9),"SOBREPESO",IF(AND(NZ130=$OI$2,CI130&gt;30.8,CI130&lt;50),"OBESIDAD",""))))</f>
        <v/>
      </c>
      <c r="OJ130" s="43" t="str">
        <f t="shared" ref="OJ130:OJ190" si="512">IF(AND(NZ130=$OJ$2,CI130&gt;10,CI130&lt;21.3),"BAJO PESO",IF(AND(NZ130=$OJ$2,CI130&gt;21.2,CI130&lt;26.2),"NORMAL",IF(AND(NZ130=$OJ$2,CI130&gt;26.1,CI130&lt;31),"SOBREPESO",IF(AND(NZ130=$OJ$2,CI130&gt;30.9,CI130&lt;50),"OBESIDAD",""))))</f>
        <v/>
      </c>
      <c r="OK130" s="43" t="str">
        <f t="shared" ref="OK130:OK190" si="513">IF(AND(NZ130=$OK$2,CI130&gt;10,CI130&lt;21.5),"BAJO PESO",IF(AND(NZ130=$OK$2,CI130&gt;21.4,CI130&lt;26.3),"NORMAL",IF(AND(NZ130=$OK$2,CI130&gt;26.2,CI130&lt;31),"SOBREPESO",IF(AND(NZ130=$OK$2,CI130&gt;30.9,CI130&lt;50),"OBESIDAD",""))))</f>
        <v/>
      </c>
      <c r="OL130" s="43" t="str">
        <f t="shared" ref="OL130:OL190" si="514">IF(AND(NZ130=$OL$2,CI130&gt;10,CI130&lt;21.6),"BAJO PESO",IF(AND(NZ130=$OL$2,CI130&gt;21.5,CI130&lt;26.4),"NORMAL",IF(AND(NZ130=$OL$2,CI130&gt;26.3,CI130&lt;31.1),"SOBREPESO",IF(AND(NZ130=$OL$2,CI130&gt;31,CI130&lt;50),"OBESIDAD",""))))</f>
        <v/>
      </c>
      <c r="OM130" s="43" t="str">
        <f t="shared" ref="OM130:OM190" si="515">IF(AND(NZ130=$OM$2,CI130&gt;10,CI130&lt;21.8),"BAJO PESO",IF(AND(NZ130=$OM$2,CI130&gt;21.7,CI130&lt;26.5),"NORMAL",IF(AND(NZ130=$OM$2,CI130&gt;26.4,CI130&lt;31.2),"SOBREPESO",IF(AND(NZ130=$OM$2,CI130&gt;31.1,CI130&lt;50),"OBESIDAD",""))))</f>
        <v/>
      </c>
      <c r="ON130" s="43" t="str">
        <f t="shared" ref="ON130:ON190" si="516">IF(AND(NZ130=$ON$2,CI130&gt;10,CI130&lt;21.9),"BAJO PESO",IF(AND(NZ130=$ON$2,CI130&gt;21.8,CI130&lt;26.7),"NORMAL",IF(AND(NZ130=$ON$2,CI130&gt;26.6,CI130&lt;31.3),"SOBREPESO",IF(AND(NZ130=$ON$2,CI130&gt;31.2,CI130&lt;50),"OBESIDAD",""))))</f>
        <v/>
      </c>
      <c r="OO130" s="43" t="str">
        <f t="shared" ref="OO130:OO190" si="517">IF(AND(NZ130=$OO$2,CI130&gt;10,CI130&lt;22.1),"BAJO PESO",IF(AND(NZ130=$OO$2,CI130&gt;22,CI130&lt;26.8),"NORMAL",IF(AND(NZ130=$OO$2,CI130&gt;26.7,CI130&lt;31.4),"SOBREPESO",IF(AND(NZ130=$OO$2,CI130&gt;31.3,CI130&lt;50),"OBESIDAD",""))))</f>
        <v/>
      </c>
      <c r="OP130" s="43" t="str">
        <f t="shared" ref="OP130:OP190" si="518">IF(AND(NZ130=$OP$2,CI130&gt;10,CI130&lt;22.3),"BAJO PESO",IF(AND(NZ130=$OP$2,CI130&gt;22.2,CI130&lt;27),"NORMAL",IF(AND(NZ130=$OP$2,CI130&gt;26.9,CI130&lt;31.6),"SOBREPESO",IF(AND(NZ130=$OP$2,CI130&gt;31.5,CI130&lt;50),"OBESIDAD",""))))</f>
        <v/>
      </c>
      <c r="OQ130" s="43" t="str">
        <f t="shared" ref="OQ130:OQ190" si="519">IF(AND(NZ130=$OQ$2,$CI130&gt;10,CI130&lt;22.5),"BAJO PESO",IF(AND(NZ130=$OQ$2,CI130&gt;22.4,CI130&lt;27.1),"NORMAL",IF(AND(NZ130=$OQ$2,CI130&gt;27,CI130&lt;31.7),"SOBREPESO",IF(AND(NZ130=$OQ$2,CI130&gt;31.6,CI130&lt;50),"OBESIDAD",""))))</f>
        <v/>
      </c>
      <c r="OR130" s="43" t="str">
        <f t="shared" ref="OR130:OR190" si="520">IF(AND(NZ130=$OR$2,CI130&gt;10,CI130&lt;22.7),"BAJO PESO",IF(AND(NZ130=$OR$2,CI130&gt;22.6,CI130&lt;27.3),"NORMAL",IF(AND(NZ130=$OR$2,CI130&gt;27.1,CI130&lt;31.8),"SOBREPESO",IF(AND(NZ130=$OR$2,CI130&gt;31.7,CI130&lt;50),"OBESIDAD",""))))</f>
        <v/>
      </c>
      <c r="OS130" s="43" t="str">
        <f t="shared" ref="OS130:OS190" si="521">IF(AND(NZ130=$OS$2,CI130&gt;10,CI130&lt;22.8),"BAJO PESO",IF(AND(NZ130=$OS$2,CI130&gt;22.7,CI130&lt;27.4),"NORMAL",IF(AND(NZ130=$OS$2,CI130&gt;27.3,CI130&lt;31.9),"SOBREPESO",IF(AND(NZ130=$OS$2,CI130&gt;31.8,CI130&lt;50),"OBESIDAD",""))))</f>
        <v/>
      </c>
      <c r="OT130" s="43" t="str">
        <f t="shared" ref="OT130:OT190" si="522">IF(AND(NZ130=$OT$2,CI130&gt;10,CI130&lt;23),"BAJO PESO",IF(AND(NZ130=$OT$2,CI130&gt;22.9,CI130&lt;27.6),"NORMAL",IF(AND(NZ130=$OT$2,CI130&gt;27.5,CI130&lt;32),"SOBREPESO",IF(AND(NZ130=$OT$2,CI130&gt;31.9,CI130&lt;50),"OBESIDAD",""))))</f>
        <v/>
      </c>
      <c r="OU130" s="43" t="str">
        <f t="shared" ref="OU130:OU190" si="523">IF(AND(NZ130=$OU$2,CI130&gt;10,CI130&lt;23.2),"BAJO PESO",IF(AND(NZ130=$OU$2,CI130&gt;23.1,CI130&lt;27.7),"NORMAL",IF(AND(NZ130=$OU$2,CI130&gt;27.6,CI130&lt;32.1),"SOBREPESO",IF(AND(NZ130=$OU$2,CI130&gt;32,CI130&lt;50),"OBESIDAD",""))))</f>
        <v/>
      </c>
      <c r="OV130" s="110" t="str">
        <f t="shared" ref="OV130:OV190" si="524">IF(AND(NZ130=$OV$2,CI130&gt;10,CI130&lt;23.4),"BAJO PESO",IF(AND(NZ130=$OV$2,CI130&gt;23.3,CI130&lt;27.9),"NORMAL",IF(AND(NZ130=$OV$2,CI130&gt;27.8,CI130&lt;32.2),"SOBREPESO",IF(AND(NZ130=$OV$2,CI130&gt;32.1,CI130&lt;50),"OBESIDAD",""))))</f>
        <v/>
      </c>
      <c r="OW130" s="43" t="str">
        <f t="shared" ref="OW130:OW190" si="525">IF(AND(NZ130=$OW$2,CI130&gt;10,CI130&lt;23.5),"BAJO PESO",IF(AND(NZ130=$OW$2,CI130&gt;23.4,CI130&lt;28),"NORMAL",IF(AND(NZ130=$OW$2,CI130&gt;27.9,CI130&lt;32.1),"SOBREPESO",IF(AND(NZ130=$OW$2,CI130&gt;32.2,CI130&lt;50),"OBESIDAD",""))))</f>
        <v/>
      </c>
      <c r="OX130" s="43" t="str">
        <f t="shared" ref="OX130:OX190" si="526">IF(AND(NZ130=$OX$2,CI130&gt;10,CI130&lt;23.7),"BAJO PESO",IF(AND(NZ130=$OX$2,CI130&gt;23.6,CI130&lt;28.1),"NORMAL",IF(AND(NZ130=$OX$2,CI130&gt;28,CI130&lt;33.4),"SOBREPESO",IF(AND(NZ130=$OX$2,CI130&gt;33.3,CI130&lt;50),"OBESIDAD",""))))</f>
        <v/>
      </c>
      <c r="OY130" s="43" t="str">
        <f t="shared" ref="OY130:OY190" si="527">IF(AND(NZ130=$OY$2,CI130&gt;10,CI130&lt;23.9),"BAJO PESO",IF(AND(NZ130=$OY$2,CI130&gt;23.8,CI130&lt;28.2),"NORMAL",IF(AND(NZ130=$OY$2,CI130&gt;28.1,CI130&lt;33.5),"SOBREPESO",IF(AND(NZ130=$OY$2,CI130&gt;33.4,CI130&lt;50),"OBESIDAD",""))))</f>
        <v/>
      </c>
      <c r="OZ130" s="43" t="str">
        <f t="shared" ref="OZ130:OZ190" si="528">IF(AND(NZ130=$OZ$2,CI130&gt;10,CI130&lt;24),"BAJO PESO",IF(AND(NZ130=$OZ$2,CI130&gt;23.9,CI130&lt;28.4),"NORMAL",IF(AND(NZ130=$OZ$2,CI130&gt;28.3,CI130&lt;33.6),"SOBREPESO",IF(AND(NZ130=$OZ$2,CI130&gt;33.5,CI130&lt;50),"OBESIDAD",""))))</f>
        <v/>
      </c>
      <c r="PA130" s="43" t="str">
        <f t="shared" ref="PA130:PA190" si="529">IF(AND(NZ130=$PA$2,CI130&gt;10,CI130&lt;24.2),"BAJO PESO",IF(AND(NZ130=$PA$2,CI130&gt;24.1,CI130&lt;28.5),"NORMAL",IF(AND(NZ130=$PA$2,CI130&gt;28.4,CI130&lt;33.7),"SOBREPESO",IF(AND(NZ130=$PA$2,CI130&gt;33.6,CI130&lt;50),"OBESIDAD",""))))</f>
        <v/>
      </c>
      <c r="PB130" s="43" t="str">
        <f t="shared" ref="PB130:PB190" si="530">IF(AND(NZ130=$PB$2,CI130&gt;10,CI130&lt;24.3),"BAJO PESO",IF(AND(NZ130=$PB$2,CI130&gt;24.2,CI130&lt;28.6),"NORMAL",IF(AND(NZ130=$PB$2,CI130&gt;28.5,CI130&lt;33.8),"SOBREPESO",IF(AND(NZ130=$PB$2,CI130&gt;33.7,CI130&lt;50),"OBESIDAD",""))))</f>
        <v/>
      </c>
      <c r="PC130" s="43" t="str">
        <f t="shared" ref="PC130:PC190" si="531">IF(AND(NZ130=$PC$2,CI130&gt;10,CI130&lt;24.5),"BAJO PESO",IF(AND(NZ130=$PC$2,CI130&gt;24.4,CI130&lt;28.8),"NORMAL",IF(AND(NZ130=$PC$2,CI130&gt;28.7,CI130&lt;32.9),"SOBREPESO",IF(AND(NZ130=$PC$2,CI130&gt;32.8,CI130&lt;50),"OBESIDAD",""))))</f>
        <v/>
      </c>
      <c r="PD130" s="43" t="str">
        <f t="shared" ref="PD130:PD190" si="532">IF(AND(NZ130=$PD$2,CI130&gt;10,CI130&lt;24.6),"BAJO PESO",IF(AND(NZ130=$PD$2,CI130&gt;24.5,CI130&lt;28.9),"NORMAL",IF(AND(NZ130=$PD$2,CI130&gt;28.8,CI130&lt;33),"SOBREPESO",IF(AND(NZ130=$PD$2,CI130&gt;32.9,CI130&lt;50),"OBESIDAD",""))))</f>
        <v/>
      </c>
      <c r="PE130" s="43" t="str">
        <f t="shared" ref="PE130:PE190" si="533">IF(AND(NZ130=$PE$2,CI130&gt;10,CI130&lt;24.8),"BAJO PESO",IF(AND(NZ130=$PE$2,CI130&gt;24.7,CI130&lt;29),"NORMAL",IF(AND(NZ130=$PE$2,CI130&gt;28.9,CI130&lt;33.1),"SOBREPESO",IF(AND(NZ130=$PE$2,CI130&gt;33,CI130&lt;50),"OBESIDAD",""))))</f>
        <v/>
      </c>
      <c r="PF130" s="43" t="str">
        <f t="shared" ref="PF130:PF190" si="534">IF(AND(NZ130=$PF$2,CI130&gt;10,CI130&lt;25),"BAJO PESO",IF(AND(NZ130=$PF$2,CI130&gt;24.9,CI130&lt;29.2),"NORMAL",IF(AND(NZ130=$PF$2,CI130&gt;29.1,CI130&lt;33.2),"SOBREPESO",IF(AND(NZ130=$PF$2,CI130&gt;33.1,CI130&lt;50),"OBESIDAD",""))))</f>
        <v/>
      </c>
      <c r="PG130" s="43" t="str">
        <f t="shared" ref="PG130:PG190" si="535">IF(AND(NZ130=$PG$2,CI130&gt;10,CI130&lt;25.1),"BAJO PESO",IF(AND(NZ130=$PG$2,CI130&gt;25,CI130&lt;29.3),"NORMAL",IF(AND(NZ130=$PG$2,CI130&gt;29.2,CI130&lt;33.3),"SOBREPESO",IF(AND(NZ130=$PG$2,CI130&gt;33.2,CI130&lt;50),"OBESIDAD",""))))</f>
        <v/>
      </c>
      <c r="PH130" s="43" t="str">
        <f t="shared" ref="PH130:PH190" si="536">IF(AND(NZ130=$PH$2,CI130&gt;10,CI130&lt;25.1),"BAJO PESO",IF(AND(NZ130=$PH$2,CI130&gt;25,CI130&lt;29.4),"NORMAL",IF(AND(NZ130=$PH$2,CI130&gt;29.3,CI130&lt;33.3),"SOBREPESO",IF(AND(NZ130=$PH$2,CI130&gt;33.2,CI130&lt;50),"OBESIDAD",""))))</f>
        <v/>
      </c>
      <c r="PI130" s="43">
        <f t="shared" ref="PI130:PI190" si="537">IF(DZ130="","",IF(DZ130&lt;10,"Menor",DZ130))</f>
        <v>25</v>
      </c>
      <c r="PJ130" s="43" t="str">
        <f t="shared" ref="PJ130:PJ190" si="538">IF(AND(PI130=$PJ$2,CM130&gt;10,CM130&lt;18.5),"BAJO PESO",IF(AND(PI130=$PJ$2,CM130&gt;18.4,CM130&lt;25),"NORMAL",IF(AND(PI130=$PJ$2,CM130&gt;24,CM130&lt;30),"SOBREPESO",IF(AND(PI130=$PJ$2,CM130&gt;29,CM130&lt;50),"OBESIDAD",""))))</f>
        <v/>
      </c>
      <c r="PK130" s="43" t="str">
        <f t="shared" ref="PK130:PK190" si="539">IF(AND(PI130=$PK$2,CM130&gt;10,CM130&lt;20.3),"BAJO PESO",IF(AND(PI130=$PK$2,CM130&gt;20.2,CM130&lt;25.3),"NORMAL",IF(AND(PI130=$PK$2,CM130&gt;25.2,CM130&lt;30.3),"SOBREPESO",IF(AND(PI130=$PK$2,CM130&gt;30.2,CM130&lt;50),"OBESIDAD",""))))</f>
        <v/>
      </c>
      <c r="PL130" s="43" t="str">
        <f t="shared" ref="PL130:PL190" si="540">IF(AND(PI130=$PL$2,CM130&gt;10,CM130&lt;20.4),"BAJO PESO",IF(AND(PI130=$PL$2,CM130&gt;20.3,CM130&lt;25.4),"NORMAL",IF(AND(PI130=$PL$2,CM130&gt;25.3,CM130&lt;30.4),"SOBREPESO",IF(AND(PI130=$PL$2,CM130&gt;30.3,CM130&lt;50),"OBESIDAD",""))))</f>
        <v/>
      </c>
      <c r="PM130" s="43" t="str">
        <f t="shared" ref="PM130:PM190" si="541">IF(AND(PI130=$PM$2,CM130&gt;10,CM130&lt;20.5),"BAJO PESO",IF(AND(PI130=$PM$2,CM130&gt;20.4,CM130&lt;25.5),"NORMAL",IF(AND(PI130=$PM$2,CM130&gt;25.4,CM130&lt;30.4),"SOBREPESO",IF(AND(PI130=$PM$2,CM130&gt;30.3,CM130&lt;50),"OBESIDAD",""))))</f>
        <v/>
      </c>
      <c r="PN130" s="43" t="str">
        <f t="shared" ref="PN130:PN190" si="542">IF(AND(PI130=$PN$2,CM130&gt;10,CM130&lt;20.7),"BAJO PESO",IF(AND(PI130=$PN$2,CM130&gt;20.6,CM130&lt;25.7),"NORMAL",IF(AND(PI130=$PN$2,CM130&gt;25.7,CM130&lt;30.5),"SOBREPESO",IF(AND(PI130=$PN$2,CM130&gt;30.4,CM130&lt;50),"OBESIDAD",""))))</f>
        <v/>
      </c>
      <c r="PO130" s="43" t="str">
        <f t="shared" ref="PO130:PO190" si="543">IF(AND(PI130=$PO$2,CM130&gt;10,CM130&lt;20.8),"BAJO PESO",IF(AND(PI130=$PO$2,CM130&gt;20.7,CM130&lt;25.8),"NORMAL",IF(AND(PI130=$PO$2,CM130&gt;25.7,CM130&lt;30.6),"SOBREPESO",IF(AND(PI130=$PO$2,CM130&gt;30.5,CM130&lt;50),"OBESIDAD",""))))</f>
        <v/>
      </c>
      <c r="PP130" s="43" t="str">
        <f t="shared" ref="PP130:PP190" si="544">IF(AND(PI130=$PP$2,CM130&gt;10,CM130&lt;20.9),"BAJO PESO",IF(AND(PI130=$PP$2,CM130&gt;20.8,CM130&lt;25.9),"NORMAL",IF(AND(PI130=$PP$2,CM130&gt;25.8,CM130&lt;30.7),"SOBREPESO",IF(AND(PI130=$PP$2,CM130&gt;30.6,CM130&lt;50),"OBESIDAD",""))))</f>
        <v/>
      </c>
      <c r="PQ130" s="43" t="str">
        <f t="shared" ref="PQ130:PQ190" si="545">IF(AND(PI130=$PQ$2,CM130&gt;10,CM130&lt;21.1),"BAJO PESO",IF(AND(PI130=$PQ$2,CM130&gt;21,CM130&lt;26),"NORMAL",IF(AND(PI130=$PQ$2,CM130&gt;25.9,CM130&lt;30.8),"SOBREPESO",IF(AND(PI130=$PQ$2,CM130&gt;30.7,CM130&lt;50),"OBESIDAD",""))))</f>
        <v/>
      </c>
      <c r="PR130" s="43" t="str">
        <f t="shared" ref="PR130:PR190" si="546">IF(AND(PI130=$PR$2,CM130&gt;10,CM130&lt;21.2),"BAJO PESO",IF(AND(PI130=$PR$2,CM130&gt;21.1,CM130&lt;26.1),"NORMAL",IF(AND(PI130=$PR$2,CM130&gt;26,CM130&lt;31.9),"SOBREPESO",IF(AND(PI130=$PR$2,CM130&gt;30.8,CM130&lt;50),"OBESIDAD",""))))</f>
        <v/>
      </c>
      <c r="PS130" s="43" t="str">
        <f t="shared" ref="PS130:PS190" si="547">IF(AND(PI130=$PS$2,CM130&gt;10,CM130&lt;21.3),"BAJO PESO",IF(AND(PI130=$PS$2,CM130&gt;21.2,CM130&lt;26.2),"NORMAL",IF(AND(PI130=$PS$2,CM130&gt;26.1,CM130&lt;31),"SOBREPESO",IF(AND(PI130=$PS$2,CM130&gt;30.9,CM130&lt;50),"OBESIDAD",""))))</f>
        <v/>
      </c>
      <c r="PT130" s="43" t="str">
        <f t="shared" ref="PT130:PT190" si="548">IF(AND(PI130=$PT$2,CM130&gt;10,CM130&lt;21.5),"BAJO PESO",IF(AND(PI130=$PT$2,CM130&gt;21.4,CM130&lt;26.3),"NORMAL",IF(AND(PI130=$PT$2,CM130&gt;26.2,CM130&lt;31),"SOBREPESO",IF(AND(PI130=$PT$2,CM130&gt;30.9,CM130&lt;50),"OBESIDAD",""))))</f>
        <v/>
      </c>
      <c r="PU130" s="43" t="str">
        <f t="shared" ref="PU130:PU190" si="549">IF(AND(PI130=$PU$2,CM130&gt;10,CM130&lt;21.6),"BAJO PESO",IF(AND(PI130=$PU$2,CM130&gt;21.5,CM130&lt;26.4),"NORMAL",IF(AND(PI130=$PU$2,CM130&gt;26.3,CM130&lt;31.1),"SOBREPESO",IF(AND(PI130=$PU$2,CM130&gt;31,CM130&lt;50),"OBESIDAD",""))))</f>
        <v/>
      </c>
      <c r="PV130" s="43" t="str">
        <f t="shared" ref="PV130:PV190" si="550">IF(AND(PI130=$PV$2,CM130&gt;10,CM130&lt;21.8),"BAJO PESO",IF(AND(PI130=$PV$2,CM130&gt;21.7,CM130&lt;26.5),"NORMAL",IF(AND(PI130=$PV$2,CM130&gt;26.4,CM130&lt;31.2),"SOBREPESO",IF(AND(PI130=$PV$2,CM130&gt;31.1,CM130&lt;50),"OBESIDAD",""))))</f>
        <v/>
      </c>
      <c r="PW130" s="43" t="str">
        <f t="shared" ref="PW130:PW190" si="551">IF(AND(PI130=$PW$2,CM130&gt;10,CM130&lt;21.9),"BAJO PESO",IF(AND(PI130=$PW$2,CM130&gt;21.8,CM130&lt;26.7),"NORMAL",IF(AND(PI130=$PW$2,CM130&gt;26.6,CM130&lt;31.3),"SOBREPESO",IF(AND(PI130=$PW$2,CM130&gt;31.2,CM130&lt;50),"OBESIDAD",""))))</f>
        <v/>
      </c>
      <c r="PX130" s="43" t="str">
        <f t="shared" ref="PX130:PX190" si="552">IF(AND(PI130=$PX$2,CM130&gt;10,CM130&lt;22.1),"BAJO PESO",IF(AND(PI130=$PX$2,CM130&gt;22,CM130&lt;26.8),"NORMAL",IF(AND(PI130=$PX$2,CM130&gt;26.7,CM130&lt;31.4),"SOBREPESO",IF(AND(PI130=$PX$2,CM130&gt;31.3,CM130&lt;50),"OBESIDAD",""))))</f>
        <v/>
      </c>
      <c r="PY130" s="43" t="str">
        <f t="shared" ref="PY130:PY190" si="553">IF(AND(PI130=$PY$2,CM130&gt;10,CM130&lt;22.3),"BAJO PESO",IF(AND(PI130=$PY$2,CM130&gt;22.2,CM130&lt;27),"NORMAL",IF(AND(PI130=$PY$2,CM130&gt;26.9,CM130&lt;31.6),"SOBREPESO",IF(AND(PI130=$PY$2,CM130&gt;31.5,CM130&lt;50),"OBESIDAD",""))))</f>
        <v/>
      </c>
      <c r="PZ130" s="43" t="str">
        <f t="shared" ref="PZ130:PZ190" si="554">IF(AND(PI130=$PZ$2,$CM130&gt;10,CM130&lt;22.5),"BAJO PESO",IF(AND(PI130=$PZ$2,CM130&gt;22.4,CM130&lt;27.1),"NORMAL",IF(AND(PI130=$PZ$2,CM130&gt;27,CM130&lt;31.7),"SOBREPESO",IF(AND(PI130=$PZ$2,CM130&gt;31.6,CM130&lt;50),"OBESIDAD",""))))</f>
        <v>SOBREPESO</v>
      </c>
      <c r="QA130" s="43" t="str">
        <f t="shared" ref="QA130:QA190" si="555">IF(AND(PI130=$QA$2,CM130&gt;10,CM130&lt;22.7),"BAJO PESO",IF(AND(PI130=$QA$2,CM130&gt;22.6,CM130&lt;27.3),"NORMAL",IF(AND(PI130=$QA$2,CM130&gt;27.1,CM130&lt;31.8),"SOBREPESO",IF(AND(PI130=$QA$2,CM130&gt;31.7,CM130&lt;50),"OBESIDAD",""))))</f>
        <v/>
      </c>
      <c r="QB130" s="43" t="str">
        <f t="shared" ref="QB130:QB190" si="556">IF(AND(PI130=$QB$2,CM130&gt;10,CM130&lt;22.8),"BAJO PESO",IF(AND(PI130=$QB$2,CM130&gt;22.7,CM130&lt;27.4),"NORMAL",IF(AND(PI130=$QB$2,CM130&gt;27.3,CM130&lt;31.9),"SOBREPESO",IF(AND(PI130=$QB$2,CM130&gt;31.8,CM130&lt;50),"OBESIDAD",""))))</f>
        <v/>
      </c>
      <c r="QC130" s="43" t="str">
        <f t="shared" ref="QC130:QC190" si="557">IF(AND(PI130=$QC$2,CM130&gt;10,CM130&lt;23),"BAJO PESO",IF(AND(PI130=$QC$2,CM130&gt;22.9,CM130&lt;27.6),"NORMAL",IF(AND(PI130=$QC$2,CM130&gt;27.5,CM130&lt;32),"SOBREPESO",IF(AND(PI130=$QC$2,CM130&gt;31.9,CM130&lt;50),"OBESIDAD",""))))</f>
        <v/>
      </c>
      <c r="QD130" s="43" t="str">
        <f t="shared" ref="QD130:QD190" si="558">IF(AND(PI130=$QD$2,CM130&gt;10,CM130&lt;23.2),"BAJO PESO",IF(AND(PI130=$QD$2,CM130&gt;23.1,CM130&lt;27.7),"NORMAL",IF(AND(PI130=$QD$2,CM130&gt;27.6,CM130&lt;32.1),"SOBREPESO",IF(AND(PI130=$QD$2,CM130&gt;32,CM130&lt;50),"OBESIDAD",""))))</f>
        <v/>
      </c>
      <c r="QE130" s="43" t="str">
        <f t="shared" ref="QE130:QE190" si="559">IF(AND(PI130=$QE$2,CM130&gt;10,CM130&lt;23.4),"BAJO PESO",IF(AND(PI130=$QE$2,CM130&gt;23.3,CM130&lt;27.9),"NORMAL",IF(AND(PI130=$QE$2,CM130&gt;27.8,CM130&lt;32.2),"SOBREPESO",IF(AND(PI130=$QE$2,CM130&gt;32.1,CM130&lt;50),"OBESIDAD",""))))</f>
        <v/>
      </c>
      <c r="QF130" s="43" t="str">
        <f t="shared" ref="QF130:QF190" si="560">IF(AND(PI130=$QF$2,CM130&gt;10,CM130&lt;23.5),"BAJO PESO",IF(AND(PI130=$QF$2,CM130&gt;23.4,CM130&lt;28),"NORMAL",IF(AND(PI130=$QF$2,CM130&gt;27.9,CM130&lt;32.1),"SOBREPESO",IF(AND(PI130=$QF$2,CM130&gt;32.2,CM130&lt;50),"OBESIDAD",""))))</f>
        <v/>
      </c>
      <c r="QG130" s="43" t="str">
        <f t="shared" ref="QG130:QG190" si="561">IF(AND(PI130=$QG$2,CM130&gt;10,CM130&lt;23.7),"BAJO PESO",IF(AND(PI130=$QG$2,CM130&gt;23.6,CM130&lt;28.1),"NORMAL",IF(AND(PI130=$QG$2,CM130&gt;28,CM130&lt;33.4),"SOBREPESO",IF(AND(PI130=$QG$2,CM130&gt;33.3,CM130&lt;50),"OBESIDAD",""))))</f>
        <v/>
      </c>
      <c r="QH130" s="43" t="str">
        <f t="shared" ref="QH130:QH190" si="562">IF(AND(PI130=$QH$2,CM130&gt;10,CM130&lt;23.9),"BAJO PESO",IF(AND(PI130=$QH$2,CM130&gt;23.8,CM130&lt;28.2),"NORMAL",IF(AND(PI130=$QH$2,CM130&gt;28.1,CM130&lt;33.5),"SOBREPESO",IF(AND(PI130=$QH$2,CM130&gt;33.4,CM130&lt;50),"OBESIDAD",""))))</f>
        <v/>
      </c>
      <c r="QI130" s="43" t="str">
        <f t="shared" ref="QI130:QI190" si="563">IF(AND(PI130=$QI$2,CM130&gt;10,CM130&lt;24),"BAJO PESO",IF(AND(PI130=$QI$2,CM130&gt;23.9,CM130&lt;28.4),"NORMAL",IF(AND(PI130=$QI$2,CM130&gt;28.3,CM130&lt;33.6),"SOBREPESO",IF(AND(PI130=$QI$2,CM130&gt;33.5,CM130&lt;50),"OBESIDAD",""))))</f>
        <v/>
      </c>
      <c r="QJ130" s="43" t="str">
        <f t="shared" ref="QJ130:QJ190" si="564">IF(AND(PI130=$QJ$2,CM130&gt;10,CM130&lt;24.2),"BAJO PESO",IF(AND(PI130=$QJ$2,CM130&gt;24.1,CM130&lt;28.5),"NORMAL",IF(AND(PI130=$QJ$2,CM130&gt;28.4,CM130&lt;33.7),"SOBREPESO",IF(AND(PI130=$QJ$2,CM130&gt;33.6,CM130&lt;50),"OBESIDAD",""))))</f>
        <v/>
      </c>
      <c r="QK130" s="43" t="str">
        <f t="shared" ref="QK130:QK190" si="565">IF(AND(PI130=$QK$2,CM130&gt;10,CM130&lt;24.3),"BAJO PESO",IF(AND(PI130=$QK$2,CM130&gt;24.2,CM130&lt;28.6),"NORMAL",IF(AND(PI130=$QK$2,CM130&gt;28.5,CM130&lt;33.8),"SOBREPESO",IF(AND(PI130=$QK$2,CM130&gt;33.7,CM130&lt;50),"OBESIDAD",""))))</f>
        <v/>
      </c>
      <c r="QL130" s="43" t="str">
        <f t="shared" ref="QL130:QL190" si="566">IF(AND(PI130=$QL$2,CM130&gt;10,CM130&lt;24.5),"BAJO PESO",IF(AND(PI130=$QL$2,CM130&gt;24.4,CM130&lt;28.8),"NORMAL",IF(AND(PI130=$QL$2,CM130&gt;28.7,CM130&lt;32.9),"SOBREPESO",IF(AND(PI130=$QL$2,CM130&gt;32.8,CM130&lt;50),"OBESIDAD",""))))</f>
        <v/>
      </c>
      <c r="QM130" s="43" t="str">
        <f t="shared" ref="QM130:QM190" si="567">IF(AND(PI130=$QM$2,CM130&gt;10,CM130&lt;24.6),"BAJO PESO",IF(AND(PI130=$QM$2,CM130&gt;24.5,CM130&lt;28.9),"NORMAL",IF(AND(PI130=$QM$2,CM130&gt;28.8,CM130&lt;33),"SOBREPESO",IF(AND(PI130=$QM$2,CM130&gt;32.9,CM130&lt;50),"OBESIDAD",""))))</f>
        <v/>
      </c>
      <c r="QN130" s="43" t="str">
        <f t="shared" ref="QN130:QN190" si="568">IF(AND(PI130=$QN$2,CM130&gt;10,CM130&lt;24.8),"BAJO PESO",IF(AND(PI130=$QN$2,CM130&gt;24.7,CM130&lt;29),"NORMAL",IF(AND(PI130=$QN$2,CM130&gt;28.9,CM130&lt;33.1),"SOBREPESO",IF(AND(PI130=$QN$2,CM130&gt;33,CM130&lt;50),"OBESIDAD",""))))</f>
        <v/>
      </c>
      <c r="QO130" s="43" t="str">
        <f t="shared" ref="QO130:QO190" si="569">IF(AND(PI130=$QO$2,CM130&gt;10,CM130&lt;25),"BAJO PESO",IF(AND(PI130=$QO$2,CM130&gt;24.9,CM130&lt;29.2),"NORMAL",IF(AND(PI130=$QO$2,CM130&gt;29.1,CM130&lt;33.2),"SOBREPESO",IF(AND(PI130=$QO$2,CM130&gt;33.1,CM130&lt;50),"OBESIDAD",""))))</f>
        <v/>
      </c>
      <c r="QP130" s="43" t="str">
        <f t="shared" ref="QP130:QP190" si="570">IF(AND(PI130=$QP$2,CM130&gt;10,CM130&lt;25.1),"BAJO PESO",IF(AND(PI130=$QP$2,CM130&gt;25,CM130&lt;29.3),"NORMAL",IF(AND(PI130=$QP$2,CM130&gt;29.2,CM130&lt;33.3),"SOBREPESO",IF(AND(PI130=$QP$2,CM130&gt;33.2,CM130&lt;50),"OBESIDAD",""))))</f>
        <v/>
      </c>
      <c r="QQ130" s="43" t="str">
        <f t="shared" ref="QQ130:QQ190" si="571">IF(AND(PI130=$QQ$2,CM130&gt;10,CM130&lt;25.1),"BAJO PESO",IF(AND(PI130=$QQ$2,CM130&gt;25,CM130&lt;29.4),"NORMAL",IF(AND(PI130=$QQ$2,CM130&gt;29.3,CM130&lt;33.3),"SOBREPESO",IF(AND(PI130=$QQ$2,CM130&gt;33.2,CM130&lt;50),"OBESIDAD",""))))</f>
        <v/>
      </c>
      <c r="QR130" s="43">
        <f t="shared" si="433"/>
        <v>25</v>
      </c>
      <c r="QS130" s="43"/>
      <c r="QT130" s="21" t="str">
        <f t="shared" ref="QT130:QT190" si="572">IF(AND(QR130=$QT$2,CP130&gt;1,CP130&lt;8),"BAJO PARA EDAD GESTACIONAL",IF(AND(QR130=$QT$2,CP130&gt;=8,CP130&lt;=12),"ADECUADO PARA EDAD GESTACIONAL",IF(AND(QR130=$QT$2,CP130&gt;12,CP130&lt;38),"ALTO PARA EDAD GESTACIONAL","")))</f>
        <v/>
      </c>
      <c r="QU130" s="21" t="str">
        <f t="shared" ref="QU130:QU190" si="573">IF(AND(QR130=$QU$2,CP130&gt;1,CP130&lt;8.5),"BAJO PARA EDAD GESTACIONAL",IF(AND(QR130=$QU$2,CP130&gt;=8.5,CP130&lt;=14.5),"ADECUADO PARA EDAD GESTACIONAL",IF(AND(QR130=$QU$2,CP130&gt;14.5,CP130&lt;38),"ALTO PARA EDAD GESTACIONAL","")))</f>
        <v/>
      </c>
      <c r="QV130" s="21" t="str">
        <f t="shared" ref="QV130:QV190" si="574">IF(AND(QR130=$QV$2,CP130&gt;1,CP130&lt;9.5),"BAJO PARA EDAD GESTACIONAL",IF(AND(QR130=$QV$2,CP130&gt;=9.5,CP130&lt;=15),"ADECUADO PARA EDAD GESTACIONAL",IF(AND(QR130=$QV$2,CP130&gt;15,CP130&lt;38),"ALTO PARA EDAD GESTACIONAL","")))</f>
        <v/>
      </c>
      <c r="QW130" s="21" t="str">
        <f t="shared" ref="QW130:QW190" si="575">IF(AND(QR130=$QW$2,CP130&gt;1,CP130&lt;11.5),"BAJO PARA EDAD GESTACIONAL",IF(AND(QR130=$QW$2,CP130&gt;=11.5,CP130&lt;=18),"ADECUADO PARA EDAD GESTACIONAL",IF(AND(QR130=$QW$2,CP130&gt;18,CP130&lt;38),"ALTO PARA EDAD GESTACIONAL","")))</f>
        <v/>
      </c>
      <c r="QX130" s="21" t="str">
        <f t="shared" ref="QX130:QX190" si="576">IF(AND(QR130=$QX$2,CP130&gt;1,CP130&lt;12.5),"BAJO PARA EDAD GESTACIONAL",IF(AND(QR130=$QX$2,CP130&gt;=12.5,CP130&lt;=18),"ADECUADO PARA EDAD GESTACIONAL",IF(AND(QR130=$QX$2,CP130&gt;18,CP130&lt;38),"ALTO PARA EDAD GESTACIONAL","")))</f>
        <v/>
      </c>
      <c r="QY130" s="21" t="str">
        <f t="shared" ref="QY130:QY190" si="577">IF(AND(QR130=$QY$2,CP130&gt;1,CP130&lt;13.5),"BAJO PARA EDAD GESTACIONAL",IF(AND(QR130=$QY$2,CP130&gt;=13.5,CP130&lt;=19),"ADECUADO PARA EDAD GESTACIONAL",IF(AND(QR130=$QY$2,CP130&gt;19,CP130&lt;38),"ALTO PARA EDAD GESTACIONAL","")))</f>
        <v/>
      </c>
      <c r="QZ130" s="21" t="str">
        <f t="shared" ref="QZ130:QZ190" si="578">IF(AND(QR130=$QZ$2,CP130&gt;1,CP130&lt;14),"BAJO PARA EDAD GESTACIONAL",IF(AND(QR130=$QZ$2,CP130&gt;=14,CP130&lt;=19.5),"ADECUADO PARA EDAD GESTACIONAL",IF(AND(QR130=$QZ$2,CP130&gt;19.5,CP130&lt;38),"ALTO PARA EDAD GESTACIONAL","")))</f>
        <v/>
      </c>
      <c r="RA130" s="21" t="str">
        <f t="shared" ref="RA130:RA190" si="579">IF(AND(QR130=$RA$2,CP130&gt;1,CP130&lt;15),"BAJO PARA EDAD GESTACIONAL",IF(AND(QR130=$RA$2,CP130&gt;=15,CP130&lt;=21),"ADECUADO PARA EDAD GESTACIONAL",IF(AND(QR130=$RA$2,CP130&gt;21,CP130&lt;38),"ALTO PARA EDAD GESTACIONAL","")))</f>
        <v/>
      </c>
      <c r="RB130" s="21" t="str">
        <f t="shared" ref="RB130:RB190" si="580">IF(AND(QR130=$RB$2,CP130&gt;1,CP130&lt;15.5),"BAJO PARA EDAD GESTACIONAL",IF(AND(QR130=$RB$2,CP130&gt;=15.5,CP130&lt;=21.5),"ADECUADO PARA EDAD GESTACIONAL",IF(AND(QR130=$RB$2,CP130&gt;21.5,CP130&lt;38),"ALTO PARA EDAD GESTACIONAL","")))</f>
        <v/>
      </c>
      <c r="RC130" s="21" t="str">
        <f t="shared" ref="RC130:RC190" si="581">IF(AND(QR130=$RC$2,CP130&gt;1,CP130&lt;16.5),"BAJO PARA EDAD GESTACIONAL",IF(AND(QR130=$RC$2,CP130&gt;=16.5,CP130&lt;=22.5),"ADECUADO PARA EDAD GESTACIONAL",IF(AND(QR130=$RC$2,CP130&gt;22.5,CP130&lt;38),"ALTO PARA EDAD GESTACIONAL","")))</f>
        <v/>
      </c>
      <c r="RD130" s="21" t="str">
        <f t="shared" ref="RD130:RD190" si="582">IF(AND(QR130=$RD$2,CP130&gt;1,CP130&lt;17.5),"BAJO PARA EDAD GESTACIONAL",IF(AND(QR130=$RD$2,CP130&gt;=17.5,CP130&lt;=23),"ADECUADO PARA EDAD GESTACIONAL",IF(AND(QR130=$RD$2,CP130&gt;23,CP130&lt;38),"ALTO PARA EDAD GESTACIONAL","")))</f>
        <v/>
      </c>
      <c r="RE130" s="21" t="str">
        <f t="shared" ref="RE130:RE190" si="583">IF(AND(QR130=$RE$2,CP130&gt;1,CP130&lt;18.5),"BAJO PARA EDAD GESTACIONAL",IF(AND(QR130=$RE$2,CP130&gt;=18.5,CP130&lt;=24),"ADECUADO PARA EDAD GESTACIONAL",IF(AND(QR130=$RE$2,CP130&gt;24,CP130&lt;38),"ALTO PARA EDAD GESTACIONAL","")))</f>
        <v/>
      </c>
      <c r="RF130" s="21" t="str">
        <f t="shared" ref="RF130:RF190" si="584">IF(AND(QR130=$RF$2,CP130&gt;1,CP130&lt;19.5),"BAJO PARA EDAD GESTACIONAL",IF(AND(QR130=$RF$2,CP130&gt;=19.5,CP130&lt;=25),"ADECUADO PARA EDAD GESTACIONAL",IF(AND(QR130=$RF$2,CP130&gt;25,CP130&lt;38),"ALTO PARA EDAD GESTACIONAL","")))</f>
        <v>ADECUADO PARA EDAD GESTACIONAL</v>
      </c>
      <c r="RG130" s="21" t="str">
        <f t="shared" ref="RG130:RG190" si="585">IF(AND(QR130=$RG$2,CP130&gt;1,CP130&lt;20),"BAJO PARA EDAD GESTACIONAL",IF(AND(QR130=$RG$2,CP130&gt;=20,CP130&lt;=25.5),"ADECUADO PARA EDAD GESTACIONAL",IF(AND(QR130=$RG$2,CP130&gt;25.5,CP130&lt;38),"ALTO PARA EDAD GESTACIONAL","")))</f>
        <v/>
      </c>
      <c r="RH130" s="21" t="str">
        <f t="shared" ref="RH130:RH190" si="586">IF(AND(QR130=$RH$2,CP130&gt;1,CP130&lt;20.5),"BAJO PARA EDAD GESTACIONAL",IF(AND(QR130=$RH$2,CP130&gt;=20.5,CP130&lt;=26.5),"ADECUADO PARA EDAD GESTACIONAL",IF(AND(QR130=$RH$2,CP130&gt;26.5,CP130&lt;38),"ALTO PARA EDAD GESTACIONAL","")))</f>
        <v/>
      </c>
      <c r="RI130" s="21" t="str">
        <f t="shared" ref="RI130:RI190" si="587">IF(AND(QR130=$RI$2,CP130&gt;1,CP130&lt;21),"BAJO PARA EDAD GESTACIONAL",IF(AND(QR130=$RI$2,CP130&gt;=21,CP130&lt;=27),"ADECUADO PARA EDAD GESTACIONAL",IF(AND(QR130=$RI$2,CP130&gt;27,CP130&lt;38),"ALTO PARA EDAD GESTACIONAL","")))</f>
        <v/>
      </c>
      <c r="RJ130" s="21" t="str">
        <f t="shared" ref="RJ130:RJ190" si="588">IF(AND(QR130=$RJ$2,CP130&gt;1,CP130&lt;22.5),"BAJO PARA EDAD GESTACIONAL",IF(AND(QR130=$RJ$2,CP130&gt;=22.5,CP130&lt;=28),"ADECUADO PARA EDAD GESTACIONAL",IF(AND(QR130=$RJ$2,CP130&gt;28,CP130&lt;38),"ALTO PARA EDAD GESTACIONAL","")))</f>
        <v/>
      </c>
      <c r="RK130" s="21" t="str">
        <f t="shared" ref="RK130:RK190" si="589">IF(AND(QR130=$RK$2,CP130&gt;1,CP130&lt;23.5),"BAJO PARA EDAD GESTACIONAL",IF(AND(QR130=$RK$2,CP130&gt;=23.5,CP130&lt;=29),"ADECUADO PARA EDAD GESTACIONAL",IF(AND(QR130=$RK$2,CP130&gt;29,CP130&lt;38),"ALTO PARA EDAD GESTACIONAL","")))</f>
        <v/>
      </c>
      <c r="RL130" s="21" t="str">
        <f t="shared" ref="RL130:RL190" si="590">IF(AND(QR130=$RL$2,CP130&gt;1,CP130&lt;24),"BAJO PARA EDAD GESTACIONAL",IF(AND(QR130=$RL$2,CP130&gt;=24,CP130&lt;=29.5),"ADECUADO PARA EDAD GESTACIONAL",IF(AND(QR130=$RL$2,CP130&gt;29.5,CP130&lt;38),"ALTO PARA EDAD GESTACIONAL","")))</f>
        <v/>
      </c>
      <c r="RM130" s="21" t="str">
        <f t="shared" ref="RM130:RM190" si="591">IF(AND(QR130=$RM$2,CP130&gt;1,CP130&lt;25),"BAJO PARA EDAD GESTACIONAL",IF(AND(QR130=$RM$2,CP130&gt;=25,CP130&lt;=30),"ADECUADO PARA EDAD GESTACIONAL",IF(AND(QR130=$RM$2,CP130&gt;30,CP130&lt;38),"ALTO PARA EDAD GESTACIONAL","")))</f>
        <v/>
      </c>
      <c r="RN130" s="21" t="str">
        <f t="shared" ref="RN130:RN190" si="592">IF(AND(QR130=$RN$2,CP130&gt;1,CP130&lt;25.5),"BAJO PARA EDAD GESTACIONAL",IF(AND(QR130=$RN$2,CP130&gt;=25.5,CP130&lt;=31),"ADECUADO PARA EDAD GESTACIONAL",IF(AND(QR130=$RN$2,CP130&gt;31,CP130&lt;38),"ALTO PARA EDAD GESTACIONAL","")))</f>
        <v/>
      </c>
      <c r="RO130" s="21" t="str">
        <f t="shared" ref="RO130:RO190" si="593">IF(AND(QR130=$RO$2,CP130&gt;1,CP130&lt;26),"BAJO PARA EDAD GESTACIONAL",IF(AND(QR130=$RO$2,CP130&gt;=26,CP130&lt;=32),"ADECUADO PARA EDAD GESTACIONAL",IF(AND(QR130=$RO$2,CP130&gt;32,CP130&lt;38),"ALTO PARA EDAD GESTACIONAL","")))</f>
        <v/>
      </c>
      <c r="RP130" s="21" t="str">
        <f t="shared" ref="RP130:RP190" si="594">IF(AND(QR130=$RP$2,CP130&gt;1,CP130&lt;26.5),"BAJO PARA EDAD GESTACIONAL",IF(AND(QR130=$RP$2,CP130&gt;=26.5,CP130&lt;=33),"ADECUADO PARA EDAD GESTACIONAL",IF(AND(QR130=$RP$2,CP130&gt;33,CP130&lt;38),"ALTO PARA EDAD GESTACIONAL","")))</f>
        <v/>
      </c>
      <c r="RQ130" s="21" t="str">
        <f t="shared" ref="RQ130:RQ190" si="595">IF(AND(QR130=$RQ$2,CP130&gt;1,CP130&lt;28),"BAJO PARA EDAD GESTACIONAL",IF(AND(QR130=$RQ$2,CP130&gt;=28,CP130&lt;=33),"ADECUADO PARA EDAD GESTACIONAL",IF(AND(QR130=$RQ$2,CP130&gt;33,CP130&lt;38),"ALTO PARA EDAD GESTACIONAL","")))</f>
        <v/>
      </c>
      <c r="RR130" s="21" t="str">
        <f t="shared" ref="RR130:RR190" si="596">IF(AND(QR130=$RR$2,CP130&gt;1,CP130&lt;28.5),"BAJO PARA EDAD GESTACIONAL",IF(AND(QR130=$RR$2,CP130&gt;=28.5,CP130&lt;=34),"ADECUADO PARA EDAD GESTACIONAL",IF(AND(QR130=$RR$2,CP130&gt;34,CP130&lt;38),"ALTO PARA EDAD GESTACIONAL","")))</f>
        <v/>
      </c>
      <c r="RS130" s="21" t="str">
        <f t="shared" ref="RS130:RS190" si="597">IF(AND(QR130=$RS$2,CP130&gt;1,CP130&lt;29.5),"BAJO PARA EDAD GESTACIONAL",IF(AND(QR130=$RS$2,CP130&gt;=29.5,CP130&lt;=34),"ADECUADO PARA EDAD GESTACIONAL",IF(AND(QR130=$RS$2,CP130&gt;34,CP130&lt;38),"ALTO PARA EDAD GESTACIONAL","")))</f>
        <v/>
      </c>
      <c r="RT130" s="21" t="str">
        <f t="shared" ref="RT130:RT190" si="598">IF(AND(QR130=$RT$2,CP130&gt;1,CP130&lt;30.5),"BAJO PARA EDAD GESTACIONAL",IF(AND(QR130=$RT$2,CP130&gt;=30.5,CP130&lt;=34),"ADECUADO PARA EDAD GESTACIONAL",IF(AND(QR130=$RT$2,CP130&gt;34,CP130&lt;38),"ALTO PARA EDAD GESTACIONAL","")))</f>
        <v/>
      </c>
      <c r="RU130" s="21" t="str">
        <f t="shared" ref="RU130:RU190" si="599">IF(AND(QR130=$RU$2,CP130&gt;1,CP130&lt;31),"BAJO PARA EDAD GESTACIONAL",IF(AND(QR130=$RU$2,CP130&gt;=31,CP130&lt;=34.5),"ADECUADO PARA EDAD GESTACIONAL",IF(AND(QR130=$RU$2,CP130&gt;34.5,CP130&lt;38),"ALTO PARA EDAD GESTACIONAL","")))</f>
        <v/>
      </c>
      <c r="RV130" s="21">
        <f t="shared" ref="RV130:RV190" si="600">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4"/>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1">IF(M131&gt;0,SUM(TODAY()-M131)/365,"")</f>
        <v>40.424657534246577</v>
      </c>
      <c r="O131" s="22">
        <v>45003</v>
      </c>
      <c r="P131" s="214" t="str">
        <f t="shared" si="438"/>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2">IF(OR(BN131="SD",RW131=""),"",IF(BN131="",0,SUM(RW131-BN131)/30))</f>
        <v>0</v>
      </c>
      <c r="BR131" s="223">
        <f t="shared" ref="BR131:BR193" si="603">IF(BX131&gt;0,SUM(BW131-NH131),"")</f>
        <v>44761.2</v>
      </c>
      <c r="BS131" s="224">
        <f t="shared" ref="BS131:BS193" si="604">IF(AND(BP131="Corregida",BO131&gt;0,R131&gt;0,ISBLANK(BX131)),"SIN SEMANAS X ECO",IF(AND(BP131="Corregida",BO131&gt;0,R131&gt;0),SUM(R131-BR131)/7,IF(AND(OR(BP131="SI",BP131="NO"),BO131&gt;0,R131&gt;0),SUM(R131-BO131)/7,"")))</f>
        <v>34.542857142857557</v>
      </c>
      <c r="BT131" s="216" t="str">
        <f t="shared" ref="BT131:BT193" si="605">IF(AND(BS131="",IG131=""),"",IF(AND(BS131="",IG131="DEFINIR FPP POR ECO"),"SIN DATO",IF(BS131&lt;0,"ERROR FUM O INGRESO O ECO",IF(BP131="NO","DEFINIR CON ECO",IF(BS131&lt;10,"I TRIM",IF(BS131&lt;27,"II TRIM",IF(AND(BS131&gt;26,BS131&lt;45),"III TRIM","ERROR FUM O INGRESO O ECO")))))))</f>
        <v>III TRIM</v>
      </c>
      <c r="BU131" s="214" t="str">
        <f t="shared" ref="BU131:BU193" ca="1" si="606">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7">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8">DY131</f>
        <v>45003</v>
      </c>
      <c r="CL131" s="21"/>
      <c r="CM131" s="214" t="str">
        <f t="shared" ref="CM131:CM193" si="609">IF(AND(OR(O131&gt;0,R131&gt;0),CG131=""),"SD",IF(AND(OR(O131="",R131=""),CG131=""),"",IF(AND(OR(O131&gt;0,R131&gt;0),CG131&gt;0),SUM(CL131)/(CG131*CG131),"X")))</f>
        <v>SD</v>
      </c>
      <c r="CN131" s="216">
        <f t="shared" ref="CN131:CN193" si="610">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9"/>
        <v>ACUDE A CONTROL SEM 30 A 34- REGISTRE AHORA</v>
      </c>
      <c r="DA131" s="21"/>
      <c r="DB131" s="21"/>
      <c r="DC131" s="217" t="str">
        <f t="shared" ref="DC131:DC193" si="611">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9"/>
        <v>SALE SIN PLAN DE PARTO</v>
      </c>
      <c r="DV131" s="226" t="str">
        <f t="shared" si="440"/>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2">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3">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4">IF(AND(EA131&gt;=0,EA131&lt;4),"NO",IF(AND(EA131&gt;=4,EA131&lt;12),"SI",""))</f>
        <v>NO</v>
      </c>
      <c r="EC131" s="214">
        <f t="shared" ref="EC131:EC193" si="615">IF(BS131="","",IF(BS131&gt;0,INT(SUM(((40-BS131)/4)+2)),"X"))</f>
        <v>3</v>
      </c>
      <c r="ED131" s="227">
        <f t="shared" ref="ED131:ED193" si="616">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7">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8">IF(AND(OR(O131&gt;0,R131&gt;0),EM131=""),"",IF(AND(OR(O131&gt;0,R131&gt;0),EM131&gt;0,EM131&lt;11),"MANEJO MD POR ANEMIA FERROPENICA",IF(AND(OR(O131&gt;0,R131&gt;0),EM131&lt;=14),"NORMAL- SUMINISTRAR SULFATO FERROSO",IF(AND(OR(O131&gt;0,R131&gt;0),EM131&lt;20),"NO DAR SULFATO FERROSO",""))))</f>
        <v/>
      </c>
      <c r="EQ131" s="216" t="str">
        <f t="shared" ref="EQ131:EQ193" si="619">IF(AND(EO131="",BT131=""),"",IF(AND(EO131&lt;&gt;"",BT131="SIN DATO"),"SIN DATO",IF(AND(EO131="",BT131&lt;&gt;""),"",IF(AND(EO131&lt;0,BT131&gt;0),"ERROR FUM O INGRESO",IF(EO131&lt;=13,"I TRIM",IF(EO131&lt;28,"II TRIM",IF(AND(EO131&gt;27,EO131&lt;45),"III TRIM","POR DEFINIR")))))))</f>
        <v>POR DEFINIR</v>
      </c>
      <c r="ER131" s="24">
        <v>13.1</v>
      </c>
      <c r="ES131" s="22">
        <v>44803</v>
      </c>
      <c r="ET131" s="29">
        <f t="shared" ca="1" si="441"/>
        <v>5.9714285714289872</v>
      </c>
      <c r="EU131" s="25" t="str">
        <f t="shared" ref="EU131:EU193" si="620">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4"/>
        <v>CORREGIR FECHA RESULTADO</v>
      </c>
      <c r="EZ131" s="25" t="str">
        <f t="shared" si="455"/>
        <v>SIN RIESGO DE ISOINMUNIZACIÓN</v>
      </c>
      <c r="FA131" s="21">
        <v>79</v>
      </c>
      <c r="FB131" s="22">
        <v>45168</v>
      </c>
      <c r="FC131" s="29" t="str">
        <f t="shared" ref="FC131:FC193" si="621">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2">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3">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4">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2"/>
        <v>65.542857142857557</v>
      </c>
      <c r="FP131" s="22"/>
      <c r="FQ131" s="32"/>
      <c r="FR131" s="29" t="str">
        <f t="shared" ca="1" si="443"/>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5">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8"/>
        <v>58.114285714286133</v>
      </c>
      <c r="GB131" s="22"/>
      <c r="GC131" s="22"/>
      <c r="GD131" s="29" t="str">
        <f t="shared" ca="1" si="491"/>
        <v>NO APLICA-INGRESO TARDIO</v>
      </c>
      <c r="GE131" s="22"/>
      <c r="GF131" s="22"/>
      <c r="GG131" s="29" t="str">
        <f t="shared" ca="1" si="445"/>
        <v>PIERDE TOMA DE TAMIZAJE</v>
      </c>
      <c r="GH131" s="22"/>
      <c r="GI131" s="29"/>
      <c r="GJ131" s="22"/>
      <c r="GK131" s="22"/>
      <c r="GL131" s="22"/>
      <c r="GM131" s="22"/>
      <c r="GN131" s="28"/>
      <c r="GO131" s="22"/>
      <c r="GP131" s="29" t="str">
        <f t="shared" ref="GP131:GP193" si="626">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7">IF(GQ131="NEGATIVO","CONTROL Igm",IF(AND(GQ131="POSITIVO",GR131="NEGATIVO"),"SE EXCLUYE INFECCION",IF(AND(GQ131="POSITIVO",GR131="POSITIVO"),"TOXOPLASMOSIS, REMITIR PARA MANEJO","")))</f>
        <v>CONTROL Igm</v>
      </c>
      <c r="GT131" s="22">
        <v>45168</v>
      </c>
      <c r="GU131" s="29" t="str">
        <f t="shared" ref="GU131:GU193" si="628">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9">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30">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1">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t="str">
        <f t="shared" ref="HJ131:HJ193" ca="1" si="632">IF(OR(O131&gt;0,R131&gt;0),CONCATENATE(IF(AK131="CON RIESGO","RIESGO PSICOSOCIAL",""),"*",CONCATENATE(IF(AL131="SI","ANTECEDENTE PREECLAMPSIA",""),"*",CONCATENATE(IF(AM131="SI","ANTECEDENTE HEMORRAGIA POSTPARTO O RETENCIÓN DE PLACENTA",""),"*",CONCATENATE(IF(AN131="SI","ANTECEDENTE RN BAJO PESO",""),"*",CONCATENATE(IF(AQ131="SI","ANTECEDENTE TRABAJO DE PARTO PROLONGADO",""),"*",CONCATENATE(IF(AV131="SI","INFERTILIDAD",""),"*",CONCATENATE(IF(BD131="SI","ENFERMERDAD AUTOINMUNE",""),"*",CONCATENATE(IF(BE131="SI","DIABETES PREGESTACIONAL",""),"*",CONCATENATE(IF(BF131="SI","ENFERMEDAD CARDIACA",""),"*",CONCATENATE(IF(BG131="SI","HTA CRÓNICA",""),"*",CONCATENATE(IF(BH131="SI","ENFERMEDAD RENAL CRÓNICA",""),"*",CONCATENATE(IF(BK131="SI","ANOMALIA CONGÉNITA",""),"*",CONCATENATE(IF(OR(BL131="SI",BM131="SI"),"HEMORRAGIA DURANTE LA GESTACIÓN",""),"*",CONCATENATE(IF(CB131="SI","RCIU",""),"*",CONCATENATE(IF(CC131="SI","EMBARAZO GEMELAR",""),"*",CONCATENATE(IF(NA131=3,"PRESENTACIÓN FETAL PODALICA O TRANSVERSA",""),"*",CONCATENATE(IF(CE131="SI","POLIHIDRAMNIOS",""),"*",CONCATENATE(IF(FG131="DIABETES, REMITIR","DIABETES GESTACIONAL",""),"*",CONCATENATE(IF(FU131&lt;&gt;"","SEGUIMIENTO PARA SIFILIS GESTACIONAL",""),"*",CONCATENATE(IF(MZ131=3,"SEGUIMIENTO PARA VIH",""),"*",CONCATENATE(IF(MX131=1,"SEGUIMIENTO PARA ANEMIA",""),"*",CONCATENATE(IF(MU131=2,"MULTIPARIDAD",""),"*",CONCATENATE(IF(MU131=1,"MULTIPARIDAD",""),"*",CONCATENATE(IF(MT131=1,"ANTECEDENTE MUERTE PERINATAL",""),"*",CONCATENATE(IF(OR(MR131=2,MR131=1),"RIESGO POR EDAD",""),"*",CONCATENATE(IF(OR(MV131=1,MV131=2),"CESAREAS PREVIAS",""),"*",CONCATENATE(IF(MW131=1,"ANTECEDENTE ECTOPICO O CX UTERINA",""),"*",CONCATENATE(IF(MY131=1,"EMBARAZO PROLONGADO",""),"*",CONCATENATE(IF(NB131=2,"SEGUIMIENTO PARA CHAGAS",""),"*",CONCATENATE(IF(NC131=3,"SEGUIMIENTO PARA MALARIA",""),"*",CONCATENATE(IF(OR(HF131="COVID19 PRIMER TRIMESTRE",HF131="COVID19 SEGUNDO TRIMESTRE",HF131="COVID19 TERCER TRIMESTRE",HF131="COVID19 PUERPERIO"),"SEGUIMIENTO PARA COVID19",""),"*",CONCATENATE(IF(EZ131="COOMBS C/MES Y RESUMAN SEM 28","RIESGO DE ISOINMUNIZACIÓN RH",""),"*",CONCATENATE(IF(EZ131="TOMAR COOMBS CUANTITATIVO Y REMISIÓN","ISOINMUNIZACIÓN RH",""),"*",CONCATENATE(IF(BC131="SI, CONTROLADA","EPILEPSIA CONTROLADA",""),"*",CONCATENATE(IF(BC131="SI, SIN MANEJO","EPILEPSIA SIN MANEJO",""),"*",CONCATENATE(IF(BC131="SI, NO CONTROLADA","EPILEPSIA NO CONTROLADA",""),"*",CONCATENATE(IF(AP131="SI","AMENAZA PARTO PRETERMINO",""),"*",CONCATENATE(IF(AO131="SI","ANTECEDENTE MACROSOMICO",""),"*",CONCATENATE(IF(AD131="Consumo ActualI","USO SUSTANCIAS PSICOACTIVAS",""),"*"))))))))))))))))))))))))))))))))))))))),"")</f>
        <v>************************RIESGO POR EDAD***************</v>
      </c>
      <c r="HK131" s="21" t="str">
        <f t="shared" ref="HK131:HK193" si="633">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4">DC131</f>
        <v>REGISTRE DATO PRESIÓN ARTERIAL MENSUAL</v>
      </c>
      <c r="HM131" s="21" t="str">
        <f t="shared" ref="HM131:HM193" ca="1" si="635">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6"/>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6">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7">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8">IF(OR(BP131="SI",BP131="Corregida",BP131="NO"),(RW131+280),IF(BP131="Sin Dato","DEFINIR FPP POR ECO",""))</f>
        <v>45041.2</v>
      </c>
      <c r="IH131" s="29">
        <f t="shared" ref="IH131:IH193" ca="1" si="639">IF(OR(IG131="DEFINIR FPP POR ECO",BT131="ERROR FUM O INGRESO"),"SIN DEFINIR",IF(IG131="","",IF(IG131&gt;0,SUM(IG131-TODAY()),"X")))</f>
        <v>-190.80000000000291</v>
      </c>
      <c r="II131" s="22" t="str">
        <f t="shared" ref="II131:II193" ca="1" si="640">IF(IH131&lt;0,"POSIBLEMENTE NACIO",IF(IH131="SIN DEFINIR","SIN DATO",IF(AND(IH131&gt;=0,IH131&lt;=7),"SEMANA DE PARTO",IF(AND(IH131&gt;=8,IH131&lt;=28),"MENOS DE 4 SEMANAS",IF(AND(IH131&gt;=29,IH131&lt;=280),"PENDIENTE","")))))</f>
        <v>POSIBLEMENTE NACIO</v>
      </c>
      <c r="IJ131" s="22"/>
      <c r="IK131" s="21" t="s">
        <v>898</v>
      </c>
      <c r="IL131" s="21" t="s">
        <v>1639</v>
      </c>
      <c r="IM131" s="34"/>
      <c r="IN131" s="349">
        <v>45017</v>
      </c>
      <c r="IO131" s="21" t="s">
        <v>1186</v>
      </c>
      <c r="IP131" s="29">
        <f t="shared" si="490"/>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2"/>
        <v/>
      </c>
      <c r="JF131" s="30"/>
      <c r="JG131" s="21"/>
      <c r="JH131" s="21"/>
      <c r="JI131" s="21"/>
      <c r="JJ131" s="30"/>
      <c r="JK131" s="22"/>
      <c r="JL131" s="22"/>
      <c r="JM131" s="21"/>
      <c r="JN131" s="36"/>
      <c r="JO131" s="21" t="str">
        <f t="shared" si="493"/>
        <v/>
      </c>
      <c r="JP131" s="22"/>
      <c r="JQ131" s="21"/>
      <c r="JR131" s="21"/>
      <c r="JS131" s="21"/>
      <c r="JT131" s="30"/>
      <c r="JU131" s="22"/>
      <c r="JV131" s="22"/>
      <c r="JW131" s="33"/>
      <c r="JX131" s="28" t="str">
        <f t="shared" si="494"/>
        <v>INASISTENTE</v>
      </c>
      <c r="JY131" s="33"/>
      <c r="JZ131" s="28" t="str">
        <f t="shared" si="495"/>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41">SUM(COUNTIF(KU131,"PARTERO (A)"),COUNTIF(KY131,"PARTERO (A)"),COUNTIF(LC131,"PARTERO (A)"),COUNTIF(LG131,"PARTERO (A)"),COUNTIF(LK131,"PARTERO (A)"),COUNTIF(LO131,"PARTERO (A)"),COUNTIF(ME131,"PARTERO (A)"))</f>
        <v>0</v>
      </c>
      <c r="MI131" s="43" t="str">
        <f t="shared" ref="MI131:MI162" si="642">IF(AND(R131="",O131=""),"",IF(AND(OR(O131&gt;0,R131&gt;0),KT131&gt;0),SUM(KT131-RW131)/7,""))</f>
        <v/>
      </c>
      <c r="MJ131" s="43" t="str">
        <f t="shared" ref="MJ131:MJ162" si="643">IF(AND(MI131="",BT131=""),"",IF(AND(MI131&lt;&gt;"",BT131="SIN DATO"),"SIN DATO",IF(AND(MI131="",BT131&lt;&gt;""),"",IF(AND(MI131&lt;0,BT131&gt;0),"ERROR FUM O INGRESO",IF(MI131&lt;=13,"I TRIM",IF(MI131&lt;28,"II TRIM",IF(AND(MI131&gt;27,MI131&lt;45),"III TRIM","POR DEFINIR")))))))</f>
        <v/>
      </c>
      <c r="MK131" s="43">
        <f t="shared" ref="MK131:MK162" si="644">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5">IF(AND(O131&gt;0,RW131&gt;0),SUM(O131-RW131)/7,"")</f>
        <v>34.542857142857557</v>
      </c>
      <c r="MN131" s="43">
        <f t="shared" ref="MN131:MN162" si="646">IF(R131&gt;0,MONTH(R131),"")</f>
        <v>3</v>
      </c>
      <c r="MO131" s="43">
        <f t="shared" ref="MO131:MO162" si="647">IF(R131&gt;0,YEAR(R131),"")</f>
        <v>2023</v>
      </c>
      <c r="MP131" s="43" t="str">
        <f t="shared" ref="MP131:MP162" si="648">IF(AND(MN131&gt;=1,MN131&lt;=3),"I TRIMESTRE AÑO",IF(AND(MN131&gt;=4,MN131&lt;=6),"II TRIMESTRE AÑO",IF(AND(MN131&gt;=7,MN131&lt;=9),"III TRIMESTRE AÑO",IF(AND(MN131&gt;=10,MN131&lt;=12),"IV TRIMESTRE AÑO",""))))</f>
        <v>I TRIMESTRE AÑO</v>
      </c>
      <c r="MQ131" s="43">
        <f t="shared" ref="MQ131:MQ162" si="649">IF(AND(M131&gt;0,R131&gt;0),DAYS360(M131,R131)/30.44/12,IF(AND(M131&gt;0,O131&gt;0,R131=""),DAYS360(M131,O131)/30.44/12,""))</f>
        <v>39.197328077091548</v>
      </c>
      <c r="MR131" s="43">
        <f t="shared" ref="MR131:MR162" si="650">IF(AND(MQ131&gt;7,MQ131&lt;14),2,IF(MQ131&lt;16,1,IF(MQ131&lt;=35,0,IF(AND(MQ131&gt;35,MQ131&lt;50),2,""))))</f>
        <v>2</v>
      </c>
      <c r="MS131" s="43" t="str">
        <f t="shared" ref="MS131:MS162" si="651">+IF(MQ131="","",IF(MQ131&lt;14,"MENOR 14 AÑOS",IF(MQ131&lt;20,"DE 14 A 19AÑOS",IF(MQ131&lt;25," DE 20 A 24 AÑOS",IF(MQ131&lt;30," DE 25 A 29 AÑOS",IF(MQ131&lt;35," DE 30 A 34 AÑOS",IF(MQ131&lt;40," DE 35 A 39 AÑOS"," DE 40 Y MAS")))))))</f>
        <v xml:space="preserve"> DE 35 A 39 AÑOS</v>
      </c>
      <c r="MT131" s="43">
        <f t="shared" ref="MT131:MT162" si="652">IF(OR(AX131="SI",BA131="SI"),1,IF(AND(AX131="NO",BA131="NO"),0,""))</f>
        <v>0</v>
      </c>
      <c r="MU131" s="43">
        <f t="shared" ref="MU131:MU162" si="653">IF(AT131="","",IF(AT131=0,1,IF(AND(AT131&gt;=1,AT131&lt;=4),0,IF(AT131&gt;=5,2,"X"))))</f>
        <v>0</v>
      </c>
      <c r="MV131" s="43">
        <f t="shared" ref="MV131:MV162" si="654">IF(AW131="","",IF(AW131=0,0,IF(AW131=1,1,IF(OR(AW131=2,AW131="3 o MAS"),2,"X"))))</f>
        <v>0</v>
      </c>
      <c r="MW131" s="43">
        <f t="shared" ref="MW131:MW162" si="655">IF(AY131="SI",1,IF(AY131="NO",0,""))</f>
        <v>0</v>
      </c>
      <c r="MX131" s="43" t="str">
        <f t="shared" ref="MX131:MX162" si="656">IF(OR(AND(EM131&gt;0,EM131&lt;11),AND(ER131&gt;0,ER131&lt;10.5)),1,"")</f>
        <v/>
      </c>
      <c r="MY131" s="43" t="str">
        <f t="shared" ca="1" si="496"/>
        <v/>
      </c>
      <c r="MZ131" s="43" t="str">
        <f t="shared" ref="MZ131:MZ162" si="657">IF(AND(GJ131="",GL131="",BB131=""),"",IF(OR(OR(GJ131="P.R REACTIVA",GJ131="ELISA REACTIVA"),OR(BB131="SI",GL131="POSITIVA",GL131="NO CONCLUYENTE")),3,""))</f>
        <v/>
      </c>
      <c r="NA131" s="43" t="str">
        <f t="shared" ref="NA131:NA162" si="658">IF(CD131="","",IF(OR(CD131="CEFÁLICA",CD131="SD"),0,IF(OR(CD131="PODÁLICA",CD131="TRANSVERSA O DE FRENTE",CD131="OBLICUA"),3,"")))</f>
        <v/>
      </c>
      <c r="NB131" s="43" t="str">
        <f t="shared" ref="NB131:NB162" si="659">IF(GZ131="","",IF(GZ131="POSITIVO",2,"0"))</f>
        <v/>
      </c>
      <c r="NC131" s="43" t="str">
        <f t="shared" ref="NC131:NC162" si="660">IF(AND(HB131="",HD131=""),"",IF(OR(HB131="POSITIVO",HD131="POSITIVO"),3,0))</f>
        <v/>
      </c>
      <c r="ND131" s="43">
        <f t="shared" ref="ND131:ND162" ca="1" si="661">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2">IF(AND(R131="",O131=""),"",IF(AND(OR(O131&gt;0,R131&gt;0),RW131=""),"SD",IF(AND(OR(O131&gt;0,R131&gt;0),ID131&gt;0),SUM(ID131-RW131)/7,"")))</f>
        <v/>
      </c>
      <c r="NG131" s="43">
        <f t="shared" ref="NG131:NG162" si="663">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4">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5">IF(AND(O131&gt;0,R131=""),"NO CPN",IF(AND(O131="",R131=""),"",IF(AND(R131&gt;0,EJ131&gt;0,EI131&gt;0),_xlfn.DAYS(EJ131,EI131),IF(AND(R131&gt;0,EJ131&gt;0,EI131=""),"NO CITA","X"))))</f>
        <v>0</v>
      </c>
      <c r="NM131" s="43" t="str">
        <f t="shared" si="501"/>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6">IF(AND(BS131="",IG131=""),"",IF(AND(BS131="",IG131="DEFINIR FPP POR ECO"),"SIN DATO",IF(BS131&lt;0,"ERROR FUM O INGRESO",IF(BP131="NO","DEFINIR CON ECO",IF(BS131&lt;12,"I TRIM",IF(BS131&lt;27,"II TRIM",IF(AND(BS131&gt;26,BS131&lt;45),"III TRIM","ERROR FUM O INGRESO")))))))</f>
        <v>III TRIM</v>
      </c>
      <c r="NQ131" s="21" t="str">
        <f t="shared" si="500"/>
        <v/>
      </c>
      <c r="NR131" s="21">
        <f t="shared" si="497"/>
        <v>1</v>
      </c>
      <c r="NS131" s="205">
        <f t="shared" ref="NS131:NS162" ca="1" si="667">COUNT(FL131,FO131,FR131,FT131)</f>
        <v>2</v>
      </c>
      <c r="NT131" s="21">
        <f t="shared" ref="NT131:NT162" ca="1" si="668">COUNT(GA131,GD131,GG131,GI131)</f>
        <v>1</v>
      </c>
      <c r="NU131" s="21" t="str">
        <f t="shared" ref="NU131:NU162" ca="1" si="669">IF(NR131="","",IF(NR131="REVISAR FUM O FECHA SALIDA PROGRAMA","POR DEFINIR",IF(OR(NR131=NS131,NS131&gt;NR131),"COMPLETO",IF(NS131&lt;NR131,"INCOMPLETO",""))))</f>
        <v>COMPLETO</v>
      </c>
      <c r="NV131" s="21" t="str">
        <f t="shared" ref="NV131:NV162" ca="1" si="670">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71">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2"/>
        <v>34</v>
      </c>
      <c r="OA131" s="43" t="str">
        <f t="shared" si="503"/>
        <v/>
      </c>
      <c r="OB131" s="43" t="str">
        <f t="shared" si="504"/>
        <v/>
      </c>
      <c r="OC131" s="43" t="str">
        <f t="shared" si="505"/>
        <v/>
      </c>
      <c r="OD131" s="43" t="str">
        <f t="shared" si="506"/>
        <v/>
      </c>
      <c r="OE131" s="43" t="str">
        <f t="shared" si="507"/>
        <v/>
      </c>
      <c r="OF131" s="43" t="str">
        <f t="shared" si="508"/>
        <v/>
      </c>
      <c r="OG131" s="43" t="str">
        <f t="shared" si="509"/>
        <v/>
      </c>
      <c r="OH131" s="43" t="str">
        <f t="shared" si="510"/>
        <v/>
      </c>
      <c r="OI131" s="43" t="str">
        <f t="shared" si="511"/>
        <v/>
      </c>
      <c r="OJ131" s="43" t="str">
        <f t="shared" si="512"/>
        <v/>
      </c>
      <c r="OK131" s="43" t="str">
        <f t="shared" si="513"/>
        <v/>
      </c>
      <c r="OL131" s="43" t="str">
        <f t="shared" si="514"/>
        <v/>
      </c>
      <c r="OM131" s="43" t="str">
        <f t="shared" si="515"/>
        <v/>
      </c>
      <c r="ON131" s="43" t="str">
        <f t="shared" si="516"/>
        <v/>
      </c>
      <c r="OO131" s="43" t="str">
        <f t="shared" si="517"/>
        <v/>
      </c>
      <c r="OP131" s="43" t="str">
        <f t="shared" si="518"/>
        <v/>
      </c>
      <c r="OQ131" s="43" t="str">
        <f t="shared" si="519"/>
        <v/>
      </c>
      <c r="OR131" s="43" t="str">
        <f t="shared" si="520"/>
        <v/>
      </c>
      <c r="OS131" s="43" t="str">
        <f t="shared" si="521"/>
        <v/>
      </c>
      <c r="OT131" s="43" t="str">
        <f t="shared" si="522"/>
        <v/>
      </c>
      <c r="OU131" s="43" t="str">
        <f t="shared" si="523"/>
        <v/>
      </c>
      <c r="OV131" s="110" t="str">
        <f t="shared" si="524"/>
        <v/>
      </c>
      <c r="OW131" s="43" t="str">
        <f t="shared" si="525"/>
        <v/>
      </c>
      <c r="OX131" s="43" t="str">
        <f t="shared" si="526"/>
        <v/>
      </c>
      <c r="OY131" s="43" t="str">
        <f t="shared" si="527"/>
        <v/>
      </c>
      <c r="OZ131" s="43" t="str">
        <f t="shared" si="528"/>
        <v/>
      </c>
      <c r="PA131" s="43" t="str">
        <f t="shared" si="529"/>
        <v/>
      </c>
      <c r="PB131" s="43" t="str">
        <f t="shared" si="530"/>
        <v/>
      </c>
      <c r="PC131" s="43" t="str">
        <f t="shared" si="531"/>
        <v/>
      </c>
      <c r="PD131" s="43" t="str">
        <f t="shared" si="532"/>
        <v/>
      </c>
      <c r="PE131" s="43" t="str">
        <f t="shared" si="533"/>
        <v/>
      </c>
      <c r="PF131" s="43" t="str">
        <f t="shared" si="534"/>
        <v/>
      </c>
      <c r="PG131" s="43" t="str">
        <f t="shared" si="535"/>
        <v/>
      </c>
      <c r="PH131" s="43" t="str">
        <f t="shared" si="536"/>
        <v/>
      </c>
      <c r="PI131" s="43">
        <f t="shared" si="537"/>
        <v>34</v>
      </c>
      <c r="PJ131" s="43" t="str">
        <f t="shared" si="538"/>
        <v/>
      </c>
      <c r="PK131" s="43" t="str">
        <f t="shared" si="539"/>
        <v/>
      </c>
      <c r="PL131" s="43" t="str">
        <f t="shared" si="540"/>
        <v/>
      </c>
      <c r="PM131" s="43" t="str">
        <f t="shared" si="541"/>
        <v/>
      </c>
      <c r="PN131" s="43" t="str">
        <f t="shared" si="542"/>
        <v/>
      </c>
      <c r="PO131" s="43" t="str">
        <f t="shared" si="543"/>
        <v/>
      </c>
      <c r="PP131" s="43" t="str">
        <f t="shared" si="544"/>
        <v/>
      </c>
      <c r="PQ131" s="43" t="str">
        <f t="shared" si="545"/>
        <v/>
      </c>
      <c r="PR131" s="43" t="str">
        <f t="shared" si="546"/>
        <v/>
      </c>
      <c r="PS131" s="43" t="str">
        <f t="shared" si="547"/>
        <v/>
      </c>
      <c r="PT131" s="43" t="str">
        <f t="shared" si="548"/>
        <v/>
      </c>
      <c r="PU131" s="43" t="str">
        <f t="shared" si="549"/>
        <v/>
      </c>
      <c r="PV131" s="43" t="str">
        <f t="shared" si="550"/>
        <v/>
      </c>
      <c r="PW131" s="43" t="str">
        <f t="shared" si="551"/>
        <v/>
      </c>
      <c r="PX131" s="43" t="str">
        <f t="shared" si="552"/>
        <v/>
      </c>
      <c r="PY131" s="43" t="str">
        <f t="shared" si="553"/>
        <v/>
      </c>
      <c r="PZ131" s="43" t="str">
        <f t="shared" si="554"/>
        <v/>
      </c>
      <c r="QA131" s="43" t="str">
        <f t="shared" si="555"/>
        <v/>
      </c>
      <c r="QB131" s="43" t="str">
        <f t="shared" si="556"/>
        <v/>
      </c>
      <c r="QC131" s="43" t="str">
        <f t="shared" si="557"/>
        <v/>
      </c>
      <c r="QD131" s="43" t="str">
        <f t="shared" si="558"/>
        <v/>
      </c>
      <c r="QE131" s="43" t="str">
        <f t="shared" si="559"/>
        <v/>
      </c>
      <c r="QF131" s="43" t="str">
        <f t="shared" si="560"/>
        <v/>
      </c>
      <c r="QG131" s="43" t="str">
        <f t="shared" si="561"/>
        <v/>
      </c>
      <c r="QH131" s="43" t="str">
        <f t="shared" si="562"/>
        <v/>
      </c>
      <c r="QI131" s="43" t="str">
        <f t="shared" si="563"/>
        <v/>
      </c>
      <c r="QJ131" s="43" t="str">
        <f t="shared" si="564"/>
        <v/>
      </c>
      <c r="QK131" s="43" t="str">
        <f t="shared" si="565"/>
        <v/>
      </c>
      <c r="QL131" s="43" t="str">
        <f t="shared" si="566"/>
        <v/>
      </c>
      <c r="QM131" s="43" t="str">
        <f t="shared" si="567"/>
        <v/>
      </c>
      <c r="QN131" s="43" t="str">
        <f t="shared" si="568"/>
        <v/>
      </c>
      <c r="QO131" s="43" t="str">
        <f t="shared" si="569"/>
        <v/>
      </c>
      <c r="QP131" s="43" t="str">
        <f t="shared" si="570"/>
        <v/>
      </c>
      <c r="QQ131" s="43" t="str">
        <f t="shared" si="571"/>
        <v/>
      </c>
      <c r="QR131" s="43">
        <f t="shared" ref="QR131:QR191" si="672">IF(DZ131="","",IF(DZ131&lt;13,"Menor",IF(DZ131&gt;40,"Mayor",DZ131)))</f>
        <v>34</v>
      </c>
      <c r="QS131" s="43"/>
      <c r="QT131" s="21" t="str">
        <f t="shared" si="572"/>
        <v/>
      </c>
      <c r="QU131" s="21" t="str">
        <f t="shared" si="573"/>
        <v/>
      </c>
      <c r="QV131" s="21" t="str">
        <f t="shared" si="574"/>
        <v/>
      </c>
      <c r="QW131" s="21" t="str">
        <f t="shared" si="575"/>
        <v/>
      </c>
      <c r="QX131" s="21" t="str">
        <f t="shared" si="576"/>
        <v/>
      </c>
      <c r="QY131" s="21" t="str">
        <f t="shared" si="577"/>
        <v/>
      </c>
      <c r="QZ131" s="21" t="str">
        <f t="shared" si="578"/>
        <v/>
      </c>
      <c r="RA131" s="21" t="str">
        <f t="shared" si="579"/>
        <v/>
      </c>
      <c r="RB131" s="21" t="str">
        <f t="shared" si="580"/>
        <v/>
      </c>
      <c r="RC131" s="21" t="str">
        <f t="shared" si="581"/>
        <v/>
      </c>
      <c r="RD131" s="21" t="str">
        <f t="shared" si="582"/>
        <v/>
      </c>
      <c r="RE131" s="21" t="str">
        <f t="shared" si="583"/>
        <v/>
      </c>
      <c r="RF131" s="21" t="str">
        <f t="shared" si="584"/>
        <v/>
      </c>
      <c r="RG131" s="21" t="str">
        <f t="shared" si="585"/>
        <v/>
      </c>
      <c r="RH131" s="21" t="str">
        <f t="shared" si="586"/>
        <v/>
      </c>
      <c r="RI131" s="21" t="str">
        <f t="shared" si="587"/>
        <v/>
      </c>
      <c r="RJ131" s="21" t="str">
        <f t="shared" si="588"/>
        <v/>
      </c>
      <c r="RK131" s="21" t="str">
        <f t="shared" si="589"/>
        <v/>
      </c>
      <c r="RL131" s="21" t="str">
        <f t="shared" si="590"/>
        <v/>
      </c>
      <c r="RM131" s="21" t="str">
        <f t="shared" si="591"/>
        <v/>
      </c>
      <c r="RN131" s="21" t="str">
        <f t="shared" si="592"/>
        <v/>
      </c>
      <c r="RO131" s="21" t="str">
        <f t="shared" si="593"/>
        <v/>
      </c>
      <c r="RP131" s="21" t="str">
        <f t="shared" si="594"/>
        <v/>
      </c>
      <c r="RQ131" s="21" t="str">
        <f t="shared" si="595"/>
        <v/>
      </c>
      <c r="RR131" s="21" t="str">
        <f t="shared" si="596"/>
        <v/>
      </c>
      <c r="RS131" s="21" t="str">
        <f t="shared" si="597"/>
        <v/>
      </c>
      <c r="RT131" s="21" t="str">
        <f t="shared" si="598"/>
        <v/>
      </c>
      <c r="RU131" s="21" t="str">
        <f t="shared" si="599"/>
        <v/>
      </c>
      <c r="RV131" s="21">
        <f t="shared" si="600"/>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3">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1"/>
        <v>39.421917808219177</v>
      </c>
      <c r="O132" s="22">
        <v>45008</v>
      </c>
      <c r="P132" s="214" t="str">
        <f t="shared" si="438"/>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2"/>
        <v>102.8</v>
      </c>
      <c r="BR132" s="223">
        <f t="shared" si="603"/>
        <v>44970.5</v>
      </c>
      <c r="BS132" s="224">
        <f t="shared" si="604"/>
        <v>5.5714285714285712</v>
      </c>
      <c r="BT132" s="216" t="str">
        <f t="shared" si="605"/>
        <v>I TRIM</v>
      </c>
      <c r="BU132" s="214">
        <f t="shared" ca="1" si="606"/>
        <v>37.571428571428569</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7"/>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8"/>
        <v>45154</v>
      </c>
      <c r="CL132" s="21">
        <v>71.3</v>
      </c>
      <c r="CM132" s="214">
        <f t="shared" si="609"/>
        <v>29.677419354838705</v>
      </c>
      <c r="CN132" s="216">
        <f t="shared" si="610"/>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9"/>
        <v/>
      </c>
      <c r="DA132" s="21">
        <v>90</v>
      </c>
      <c r="DB132" s="21">
        <v>60</v>
      </c>
      <c r="DC132" s="217" t="str">
        <f t="shared" si="611"/>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9"/>
        <v>CONCERTAR PLAN DE PARTO INMEDIATO</v>
      </c>
      <c r="DV132" s="226" t="str">
        <f t="shared" si="440"/>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2"/>
        <v>#REF!</v>
      </c>
      <c r="DY132" s="212">
        <f>IF(R132="","",IF(R132&gt;0,MAX(Tabla1[[#This Row],[FECHA C2]:[FECHA C13]],Tabla1[[#This Row],[FECHA CONSULTA PRIMERA VEZ PROGRAMA CPN ]])))</f>
        <v>45154</v>
      </c>
      <c r="DZ132" s="216">
        <f t="shared" si="613"/>
        <v>26</v>
      </c>
      <c r="EA132" s="222">
        <f>IF(R132&gt;0,SUM(COUNTA(DF132:DQ132)+COUNTA(Tabla1[[#This Row],[FECHA CONSULTA PRIMERA VEZ PROGRAMA CPN ]])),"")</f>
        <v>4</v>
      </c>
      <c r="EB132" s="222" t="str">
        <f t="shared" si="614"/>
        <v>SI</v>
      </c>
      <c r="EC132" s="214">
        <f t="shared" si="615"/>
        <v>10</v>
      </c>
      <c r="ED132" s="227">
        <f t="shared" si="616"/>
        <v>0.4</v>
      </c>
      <c r="EE132" s="22">
        <v>45008</v>
      </c>
      <c r="EF132" s="22">
        <v>45008</v>
      </c>
      <c r="EG132" s="22">
        <v>45008</v>
      </c>
      <c r="EH132" s="22" t="s">
        <v>1675</v>
      </c>
      <c r="EI132" s="22">
        <v>45008</v>
      </c>
      <c r="EJ132" s="22">
        <v>45077</v>
      </c>
      <c r="EK132" s="22"/>
      <c r="EL132" s="21"/>
      <c r="EM132" s="21">
        <v>13.3</v>
      </c>
      <c r="EN132" s="22">
        <v>45008</v>
      </c>
      <c r="EO132" s="222">
        <f t="shared" si="617"/>
        <v>5.5714285714285712</v>
      </c>
      <c r="EP132" s="214" t="str">
        <f t="shared" si="618"/>
        <v>NORMAL- SUMINISTRAR SULFATO FERROSO</v>
      </c>
      <c r="EQ132" s="216" t="str">
        <f t="shared" si="619"/>
        <v>I TRIM</v>
      </c>
      <c r="ER132" s="24"/>
      <c r="ES132" s="22"/>
      <c r="ET132" s="29" t="str">
        <f t="shared" ca="1" si="441"/>
        <v>TOMA DE HEMOGLOBINA TARDÍA</v>
      </c>
      <c r="EU132" s="25" t="str">
        <f t="shared" si="620"/>
        <v/>
      </c>
      <c r="EV132" s="24" t="s">
        <v>1510</v>
      </c>
      <c r="EW132" s="24">
        <v>45008</v>
      </c>
      <c r="EX132" s="22"/>
      <c r="EY132" s="29">
        <f t="shared" si="454"/>
        <v>5.5714285714285712</v>
      </c>
      <c r="EZ132" s="25" t="str">
        <f t="shared" si="455"/>
        <v>SIN RIESGO DE ISOINMUNIZACIÓN</v>
      </c>
      <c r="FA132" s="21">
        <v>82</v>
      </c>
      <c r="FB132" s="22">
        <v>45008</v>
      </c>
      <c r="FC132" s="29">
        <f t="shared" si="621"/>
        <v>5.5714285714285712</v>
      </c>
      <c r="FD132" s="29"/>
      <c r="FE132" s="29"/>
      <c r="FF132" s="29"/>
      <c r="FG132" s="21" t="str">
        <f t="shared" ca="1" si="622"/>
        <v>TOMAR PTOG</v>
      </c>
      <c r="FH132" s="31"/>
      <c r="FI132" s="29" t="str">
        <f t="shared" si="623"/>
        <v>TOMAR EXAMEN</v>
      </c>
      <c r="FJ132" s="22" t="s">
        <v>867</v>
      </c>
      <c r="FK132" s="22">
        <v>45008</v>
      </c>
      <c r="FL132" s="29">
        <f t="shared" ca="1" si="624"/>
        <v>5.5714285714285712</v>
      </c>
      <c r="FM132" s="22"/>
      <c r="FN132" s="32"/>
      <c r="FO132" s="29" t="str">
        <f t="shared" ca="1" si="442"/>
        <v>PIERDE TOMA DE TAMIZAJE</v>
      </c>
      <c r="FP132" s="22"/>
      <c r="FQ132" s="32"/>
      <c r="FR132" s="29" t="str">
        <f t="shared" ca="1" si="443"/>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5"/>
        <v>TOMAR EXAMEN</v>
      </c>
      <c r="FY132" s="22"/>
      <c r="FZ132" s="22"/>
      <c r="GA132" s="29" t="str">
        <f t="shared" ca="1" si="498"/>
        <v>PIERDE TOMA DE TAMIZAJE</v>
      </c>
      <c r="GB132" s="22"/>
      <c r="GC132" s="22"/>
      <c r="GD132" s="29" t="str">
        <f t="shared" ca="1" si="491"/>
        <v>PIERDE TOMA DE TAMIZAJE</v>
      </c>
      <c r="GE132" s="22"/>
      <c r="GF132" s="22"/>
      <c r="GG132" s="29" t="str">
        <f t="shared" ca="1" si="445"/>
        <v>TOMA INMEDIATA DE TAMIZAJE</v>
      </c>
      <c r="GH132" s="22"/>
      <c r="GI132" s="29"/>
      <c r="GJ132" s="22"/>
      <c r="GK132" s="22"/>
      <c r="GL132" s="22"/>
      <c r="GM132" s="22"/>
      <c r="GN132" s="28" t="s">
        <v>869</v>
      </c>
      <c r="GO132" s="22">
        <v>45008</v>
      </c>
      <c r="GP132" s="29">
        <f t="shared" si="626"/>
        <v>5.5714285714285712</v>
      </c>
      <c r="GQ132" s="28" t="s">
        <v>869</v>
      </c>
      <c r="GR132" s="28" t="s">
        <v>869</v>
      </c>
      <c r="GS132" s="22" t="str">
        <f t="shared" si="627"/>
        <v>CONTROL Igm</v>
      </c>
      <c r="GT132" s="22">
        <v>45008</v>
      </c>
      <c r="GU132" s="29">
        <f t="shared" si="628"/>
        <v>5.5714285714285712</v>
      </c>
      <c r="GV132" s="21" t="str">
        <f t="shared" si="629"/>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30"/>
        <v>#REF!</v>
      </c>
      <c r="HI132" s="22" t="e">
        <f t="shared" ca="1" si="631"/>
        <v>#REF!</v>
      </c>
      <c r="HJ132" s="21" t="str">
        <f t="shared" ca="1" si="632"/>
        <v>************************RIESGO POR EDAD***************</v>
      </c>
      <c r="HK132" s="21" t="str">
        <f t="shared" si="633"/>
        <v>SIN ANTECEDENTES DE RIESGO</v>
      </c>
      <c r="HL132" s="24" t="str">
        <f t="shared" si="634"/>
        <v>APARENTEMENTE NORMAL</v>
      </c>
      <c r="HM132" s="21" t="e">
        <f t="shared" ca="1" si="635"/>
        <v>#REF!</v>
      </c>
      <c r="HN132" s="30" t="str">
        <f t="shared" si="446"/>
        <v>ACTIVA INGRESO A CPN</v>
      </c>
      <c r="HO132" s="21"/>
      <c r="HP132" s="21"/>
      <c r="HQ132" s="349"/>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6"/>
        <v>5.5714285714285712</v>
      </c>
      <c r="IA132" s="26" t="s">
        <v>864</v>
      </c>
      <c r="IB132" s="26"/>
      <c r="IC132" s="111"/>
      <c r="ID132" s="22"/>
      <c r="IE132" s="22" t="str">
        <f t="shared" ca="1" si="637"/>
        <v>INASISTENTE</v>
      </c>
      <c r="IF132" s="22"/>
      <c r="IG132" s="22">
        <f t="shared" si="638"/>
        <v>45249</v>
      </c>
      <c r="IH132" s="29">
        <f t="shared" ca="1" si="639"/>
        <v>17</v>
      </c>
      <c r="II132" s="22" t="str">
        <f t="shared" ca="1" si="640"/>
        <v>MENOS DE 4 SEMANAS</v>
      </c>
      <c r="IJ132" s="22"/>
      <c r="IK132" s="21"/>
      <c r="IL132" s="21"/>
      <c r="IM132" s="34"/>
      <c r="IN132" s="22"/>
      <c r="IO132" s="21"/>
      <c r="IP132" s="29" t="str">
        <f t="shared" si="490"/>
        <v/>
      </c>
      <c r="IQ132" s="35"/>
      <c r="IR132" s="21"/>
      <c r="IS132" s="21"/>
      <c r="IT132" s="21"/>
      <c r="IU132" s="21"/>
      <c r="IV132" s="21"/>
      <c r="IW132" s="21"/>
      <c r="IX132" s="21"/>
      <c r="IY132" s="21"/>
      <c r="IZ132" s="21"/>
      <c r="JA132" s="21"/>
      <c r="JB132" s="30"/>
      <c r="JC132" s="21"/>
      <c r="JD132" s="36"/>
      <c r="JE132" s="21" t="str">
        <f t="shared" si="492"/>
        <v/>
      </c>
      <c r="JF132" s="30"/>
      <c r="JG132" s="21"/>
      <c r="JH132" s="21"/>
      <c r="JI132" s="21"/>
      <c r="JJ132" s="30"/>
      <c r="JK132" s="22"/>
      <c r="JL132" s="22"/>
      <c r="JM132" s="21"/>
      <c r="JN132" s="36"/>
      <c r="JO132" s="21" t="str">
        <f t="shared" si="493"/>
        <v/>
      </c>
      <c r="JP132" s="22"/>
      <c r="JQ132" s="21"/>
      <c r="JR132" s="21"/>
      <c r="JS132" s="21"/>
      <c r="JT132" s="30"/>
      <c r="JU132" s="22"/>
      <c r="JV132" s="22"/>
      <c r="JW132" s="33"/>
      <c r="JX132" s="28" t="str">
        <f t="shared" si="494"/>
        <v/>
      </c>
      <c r="JY132" s="33"/>
      <c r="JZ132" s="28" t="str">
        <f t="shared" si="495"/>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41"/>
        <v>0</v>
      </c>
      <c r="MI132" s="43" t="str">
        <f t="shared" si="642"/>
        <v/>
      </c>
      <c r="MJ132" s="43" t="str">
        <f t="shared" si="643"/>
        <v/>
      </c>
      <c r="MK132" s="43">
        <f t="shared" si="644"/>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5"/>
        <v>5.5714285714285712</v>
      </c>
      <c r="MN132" s="43">
        <f t="shared" si="646"/>
        <v>3</v>
      </c>
      <c r="MO132" s="43">
        <f t="shared" si="647"/>
        <v>2023</v>
      </c>
      <c r="MP132" s="43" t="str">
        <f t="shared" si="648"/>
        <v>I TRIMESTRE AÑO</v>
      </c>
      <c r="MQ132" s="43">
        <f t="shared" si="649"/>
        <v>38.225470871660093</v>
      </c>
      <c r="MR132" s="43">
        <f t="shared" si="650"/>
        <v>2</v>
      </c>
      <c r="MS132" s="43" t="str">
        <f t="shared" si="651"/>
        <v xml:space="preserve"> DE 35 A 39 AÑOS</v>
      </c>
      <c r="MT132" s="43">
        <f t="shared" si="652"/>
        <v>0</v>
      </c>
      <c r="MU132" s="43">
        <f t="shared" si="653"/>
        <v>0</v>
      </c>
      <c r="MV132" s="43">
        <f t="shared" si="654"/>
        <v>0</v>
      </c>
      <c r="MW132" s="43">
        <f t="shared" si="655"/>
        <v>0</v>
      </c>
      <c r="MX132" s="43" t="str">
        <f t="shared" si="656"/>
        <v/>
      </c>
      <c r="MY132" s="43" t="str">
        <f t="shared" ca="1" si="496"/>
        <v/>
      </c>
      <c r="MZ132" s="43" t="str">
        <f t="shared" si="657"/>
        <v/>
      </c>
      <c r="NA132" s="43" t="str">
        <f t="shared" si="658"/>
        <v/>
      </c>
      <c r="NB132" s="43" t="str">
        <f t="shared" si="659"/>
        <v/>
      </c>
      <c r="NC132" s="43" t="str">
        <f t="shared" si="660"/>
        <v/>
      </c>
      <c r="ND132" s="43">
        <f t="shared" ca="1" si="661"/>
        <v>2</v>
      </c>
      <c r="NE132" s="43">
        <f>IF(OR(O132&gt;0,R132&gt;0),SUM(COUNTIF(Tabla1[[#This Row],[AÑOS AL INICIO5 CPN]],"&gt;=40"),COUNTIF(AS132,"0"),COUNTIF(AR132,"SI"),COUNTIF(CC132,"SI"),COUNTIF(BQ132,"&gt;119"),COUNTIF(CI132,"&gt;=35")),"")</f>
        <v>0</v>
      </c>
      <c r="NF132" s="43" t="str">
        <f t="shared" si="662"/>
        <v/>
      </c>
      <c r="NG132" s="43">
        <f t="shared" si="663"/>
        <v>0</v>
      </c>
      <c r="NH132" s="43">
        <f t="shared" si="664"/>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5"/>
        <v>69</v>
      </c>
      <c r="NM132" s="43" t="str">
        <f t="shared" si="501"/>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6"/>
        <v>I TRIM</v>
      </c>
      <c r="NQ132" s="21" t="str">
        <f t="shared" si="500"/>
        <v/>
      </c>
      <c r="NR132" s="21">
        <f t="shared" ca="1" si="497"/>
        <v>3</v>
      </c>
      <c r="NS132" s="205">
        <f t="shared" ca="1" si="667"/>
        <v>1</v>
      </c>
      <c r="NT132" s="21">
        <f t="shared" ca="1" si="668"/>
        <v>0</v>
      </c>
      <c r="NU132" s="21" t="str">
        <f t="shared" ca="1" si="669"/>
        <v>INCOMPLETO</v>
      </c>
      <c r="NV132" s="21" t="str">
        <f t="shared" ca="1" si="670"/>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71"/>
        <v>SIN VACUNAR</v>
      </c>
      <c r="NY132" s="43">
        <f>ROW(Tabla1[[#This Row],['# DE TAMIZAJES SIFILIS TOMADOS ]])</f>
        <v>132</v>
      </c>
      <c r="NZ132" s="43" t="str">
        <f t="shared" si="502"/>
        <v>Menor</v>
      </c>
      <c r="OA132" s="43" t="str">
        <f t="shared" si="503"/>
        <v>SOBREPESO</v>
      </c>
      <c r="OB132" s="43" t="str">
        <f t="shared" si="504"/>
        <v/>
      </c>
      <c r="OC132" s="43" t="str">
        <f t="shared" si="505"/>
        <v/>
      </c>
      <c r="OD132" s="43" t="str">
        <f t="shared" si="506"/>
        <v/>
      </c>
      <c r="OE132" s="43" t="str">
        <f t="shared" si="507"/>
        <v/>
      </c>
      <c r="OF132" s="43" t="str">
        <f t="shared" si="508"/>
        <v/>
      </c>
      <c r="OG132" s="43" t="str">
        <f t="shared" si="509"/>
        <v/>
      </c>
      <c r="OH132" s="43" t="str">
        <f t="shared" si="510"/>
        <v/>
      </c>
      <c r="OI132" s="43" t="str">
        <f t="shared" si="511"/>
        <v/>
      </c>
      <c r="OJ132" s="43" t="str">
        <f t="shared" si="512"/>
        <v/>
      </c>
      <c r="OK132" s="43" t="str">
        <f t="shared" si="513"/>
        <v/>
      </c>
      <c r="OL132" s="43" t="str">
        <f t="shared" si="514"/>
        <v/>
      </c>
      <c r="OM132" s="43" t="str">
        <f t="shared" si="515"/>
        <v/>
      </c>
      <c r="ON132" s="43" t="str">
        <f t="shared" si="516"/>
        <v/>
      </c>
      <c r="OO132" s="43" t="str">
        <f t="shared" si="517"/>
        <v/>
      </c>
      <c r="OP132" s="43" t="str">
        <f t="shared" si="518"/>
        <v/>
      </c>
      <c r="OQ132" s="43" t="str">
        <f t="shared" si="519"/>
        <v/>
      </c>
      <c r="OR132" s="43" t="str">
        <f t="shared" si="520"/>
        <v/>
      </c>
      <c r="OS132" s="43" t="str">
        <f t="shared" si="521"/>
        <v/>
      </c>
      <c r="OT132" s="43" t="str">
        <f t="shared" si="522"/>
        <v/>
      </c>
      <c r="OU132" s="43" t="str">
        <f t="shared" si="523"/>
        <v/>
      </c>
      <c r="OV132" s="110" t="str">
        <f t="shared" si="524"/>
        <v/>
      </c>
      <c r="OW132" s="43" t="str">
        <f t="shared" si="525"/>
        <v/>
      </c>
      <c r="OX132" s="43" t="str">
        <f t="shared" si="526"/>
        <v/>
      </c>
      <c r="OY132" s="43" t="str">
        <f t="shared" si="527"/>
        <v/>
      </c>
      <c r="OZ132" s="43" t="str">
        <f t="shared" si="528"/>
        <v/>
      </c>
      <c r="PA132" s="43" t="str">
        <f t="shared" si="529"/>
        <v/>
      </c>
      <c r="PB132" s="43" t="str">
        <f t="shared" si="530"/>
        <v/>
      </c>
      <c r="PC132" s="43" t="str">
        <f t="shared" si="531"/>
        <v/>
      </c>
      <c r="PD132" s="43" t="str">
        <f t="shared" si="532"/>
        <v/>
      </c>
      <c r="PE132" s="43" t="str">
        <f t="shared" si="533"/>
        <v/>
      </c>
      <c r="PF132" s="43" t="str">
        <f t="shared" si="534"/>
        <v/>
      </c>
      <c r="PG132" s="43" t="str">
        <f t="shared" si="535"/>
        <v/>
      </c>
      <c r="PH132" s="43" t="str">
        <f t="shared" si="536"/>
        <v/>
      </c>
      <c r="PI132" s="43">
        <f t="shared" si="537"/>
        <v>26</v>
      </c>
      <c r="PJ132" s="43" t="str">
        <f t="shared" si="538"/>
        <v/>
      </c>
      <c r="PK132" s="43" t="str">
        <f t="shared" si="539"/>
        <v/>
      </c>
      <c r="PL132" s="43" t="str">
        <f t="shared" si="540"/>
        <v/>
      </c>
      <c r="PM132" s="43" t="str">
        <f t="shared" si="541"/>
        <v/>
      </c>
      <c r="PN132" s="43" t="str">
        <f t="shared" si="542"/>
        <v/>
      </c>
      <c r="PO132" s="43" t="str">
        <f t="shared" si="543"/>
        <v/>
      </c>
      <c r="PP132" s="43" t="str">
        <f t="shared" si="544"/>
        <v/>
      </c>
      <c r="PQ132" s="43" t="str">
        <f t="shared" si="545"/>
        <v/>
      </c>
      <c r="PR132" s="43" t="str">
        <f t="shared" si="546"/>
        <v/>
      </c>
      <c r="PS132" s="43" t="str">
        <f t="shared" si="547"/>
        <v/>
      </c>
      <c r="PT132" s="43" t="str">
        <f t="shared" si="548"/>
        <v/>
      </c>
      <c r="PU132" s="43" t="str">
        <f t="shared" si="549"/>
        <v/>
      </c>
      <c r="PV132" s="43" t="str">
        <f t="shared" si="550"/>
        <v/>
      </c>
      <c r="PW132" s="43" t="str">
        <f t="shared" si="551"/>
        <v/>
      </c>
      <c r="PX132" s="43" t="str">
        <f t="shared" si="552"/>
        <v/>
      </c>
      <c r="PY132" s="43" t="str">
        <f t="shared" si="553"/>
        <v/>
      </c>
      <c r="PZ132" s="43" t="str">
        <f t="shared" si="554"/>
        <v/>
      </c>
      <c r="QA132" s="43" t="str">
        <f t="shared" si="555"/>
        <v>SOBREPESO</v>
      </c>
      <c r="QB132" s="43" t="str">
        <f t="shared" si="556"/>
        <v/>
      </c>
      <c r="QC132" s="43" t="str">
        <f t="shared" si="557"/>
        <v/>
      </c>
      <c r="QD132" s="43" t="str">
        <f t="shared" si="558"/>
        <v/>
      </c>
      <c r="QE132" s="43" t="str">
        <f t="shared" si="559"/>
        <v/>
      </c>
      <c r="QF132" s="43" t="str">
        <f t="shared" si="560"/>
        <v/>
      </c>
      <c r="QG132" s="43" t="str">
        <f t="shared" si="561"/>
        <v/>
      </c>
      <c r="QH132" s="43" t="str">
        <f t="shared" si="562"/>
        <v/>
      </c>
      <c r="QI132" s="43" t="str">
        <f t="shared" si="563"/>
        <v/>
      </c>
      <c r="QJ132" s="43" t="str">
        <f t="shared" si="564"/>
        <v/>
      </c>
      <c r="QK132" s="43" t="str">
        <f t="shared" si="565"/>
        <v/>
      </c>
      <c r="QL132" s="43" t="str">
        <f t="shared" si="566"/>
        <v/>
      </c>
      <c r="QM132" s="43" t="str">
        <f t="shared" si="567"/>
        <v/>
      </c>
      <c r="QN132" s="43" t="str">
        <f t="shared" si="568"/>
        <v/>
      </c>
      <c r="QO132" s="43" t="str">
        <f t="shared" si="569"/>
        <v/>
      </c>
      <c r="QP132" s="43" t="str">
        <f t="shared" si="570"/>
        <v/>
      </c>
      <c r="QQ132" s="43" t="str">
        <f t="shared" si="571"/>
        <v/>
      </c>
      <c r="QR132" s="43">
        <f t="shared" si="672"/>
        <v>26</v>
      </c>
      <c r="QS132" s="43"/>
      <c r="QT132" s="21" t="str">
        <f t="shared" si="572"/>
        <v/>
      </c>
      <c r="QU132" s="21" t="str">
        <f t="shared" si="573"/>
        <v/>
      </c>
      <c r="QV132" s="21" t="str">
        <f t="shared" si="574"/>
        <v/>
      </c>
      <c r="QW132" s="21" t="str">
        <f t="shared" si="575"/>
        <v/>
      </c>
      <c r="QX132" s="21" t="str">
        <f t="shared" si="576"/>
        <v/>
      </c>
      <c r="QY132" s="21" t="str">
        <f t="shared" si="577"/>
        <v/>
      </c>
      <c r="QZ132" s="21" t="str">
        <f t="shared" si="578"/>
        <v/>
      </c>
      <c r="RA132" s="21" t="str">
        <f t="shared" si="579"/>
        <v/>
      </c>
      <c r="RB132" s="21" t="str">
        <f t="shared" si="580"/>
        <v/>
      </c>
      <c r="RC132" s="21" t="str">
        <f t="shared" si="581"/>
        <v/>
      </c>
      <c r="RD132" s="21" t="str">
        <f t="shared" si="582"/>
        <v/>
      </c>
      <c r="RE132" s="21" t="str">
        <f t="shared" si="583"/>
        <v/>
      </c>
      <c r="RF132" s="21" t="str">
        <f t="shared" si="584"/>
        <v/>
      </c>
      <c r="RG132" s="21" t="str">
        <f t="shared" si="585"/>
        <v>ALTO PARA EDAD GESTACIONAL</v>
      </c>
      <c r="RH132" s="21" t="str">
        <f t="shared" si="586"/>
        <v/>
      </c>
      <c r="RI132" s="21" t="str">
        <f t="shared" si="587"/>
        <v/>
      </c>
      <c r="RJ132" s="21" t="str">
        <f t="shared" si="588"/>
        <v/>
      </c>
      <c r="RK132" s="21" t="str">
        <f t="shared" si="589"/>
        <v/>
      </c>
      <c r="RL132" s="21" t="str">
        <f t="shared" si="590"/>
        <v/>
      </c>
      <c r="RM132" s="21" t="str">
        <f t="shared" si="591"/>
        <v/>
      </c>
      <c r="RN132" s="21" t="str">
        <f t="shared" si="592"/>
        <v/>
      </c>
      <c r="RO132" s="21" t="str">
        <f t="shared" si="593"/>
        <v/>
      </c>
      <c r="RP132" s="21" t="str">
        <f t="shared" si="594"/>
        <v/>
      </c>
      <c r="RQ132" s="21" t="str">
        <f t="shared" si="595"/>
        <v/>
      </c>
      <c r="RR132" s="21" t="str">
        <f t="shared" si="596"/>
        <v/>
      </c>
      <c r="RS132" s="21" t="str">
        <f t="shared" si="597"/>
        <v/>
      </c>
      <c r="RT132" s="21" t="str">
        <f t="shared" si="598"/>
        <v/>
      </c>
      <c r="RU132" s="21" t="str">
        <f t="shared" si="599"/>
        <v/>
      </c>
      <c r="RV132" s="21">
        <f t="shared" si="600"/>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3"/>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1"/>
        <v>19.665753424657535</v>
      </c>
      <c r="O133" s="22">
        <v>45013</v>
      </c>
      <c r="P133" s="214" t="str">
        <f t="shared" si="438"/>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2"/>
        <v>58.396666666666718</v>
      </c>
      <c r="BR133" s="223">
        <f t="shared" si="603"/>
        <v>44901.9</v>
      </c>
      <c r="BS133" s="224">
        <f t="shared" si="604"/>
        <v>15.871428571428364</v>
      </c>
      <c r="BT133" s="216" t="str">
        <f t="shared" si="605"/>
        <v>II TRIM</v>
      </c>
      <c r="BU133" s="214" t="str">
        <f t="shared" ca="1" si="606"/>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7"/>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8"/>
        <v>45121</v>
      </c>
      <c r="CL133" s="21">
        <v>56.4</v>
      </c>
      <c r="CM133" s="214">
        <f t="shared" si="609"/>
        <v>20.969660916121359</v>
      </c>
      <c r="CN133" s="216">
        <f t="shared" si="610"/>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9"/>
        <v>APARENTEMENTE NORMAL</v>
      </c>
      <c r="DA133" s="21">
        <v>100</v>
      </c>
      <c r="DB133" s="21">
        <v>60</v>
      </c>
      <c r="DC133" s="217" t="str">
        <f t="shared" si="611"/>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9"/>
        <v>CONCERTAR PLAN DE PARTO INMEDIATO</v>
      </c>
      <c r="DV133" s="226" t="str">
        <f t="shared" si="440"/>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2"/>
        <v>#REF!</v>
      </c>
      <c r="DY133" s="212">
        <f>IF(R133="","",IF(R133&gt;0,MAX(Tabla1[[#This Row],[FECHA C2]:[FECHA C13]],Tabla1[[#This Row],[FECHA CONSULTA PRIMERA VEZ PROGRAMA CPN ]])))</f>
        <v>45121</v>
      </c>
      <c r="DZ133" s="216">
        <f t="shared" si="613"/>
        <v>31</v>
      </c>
      <c r="EA133" s="222">
        <f>IF(R133&gt;0,SUM(COUNTA(DF133:DQ133)+COUNTA(Tabla1[[#This Row],[FECHA CONSULTA PRIMERA VEZ PROGRAMA CPN ]])),"")</f>
        <v>3</v>
      </c>
      <c r="EB133" s="222" t="str">
        <f t="shared" si="614"/>
        <v>NO</v>
      </c>
      <c r="EC133" s="214">
        <f t="shared" si="615"/>
        <v>8</v>
      </c>
      <c r="ED133" s="227">
        <f t="shared" si="616"/>
        <v>0.375</v>
      </c>
      <c r="EE133" s="22">
        <v>45013</v>
      </c>
      <c r="EF133" s="22">
        <v>45013</v>
      </c>
      <c r="EG133" s="22">
        <v>45013</v>
      </c>
      <c r="EH133" s="22"/>
      <c r="EI133" s="22">
        <v>45013</v>
      </c>
      <c r="EJ133" s="22"/>
      <c r="EK133" s="22"/>
      <c r="EL133" s="21"/>
      <c r="EM133" s="21">
        <v>13.1</v>
      </c>
      <c r="EN133" s="22">
        <v>45010</v>
      </c>
      <c r="EO133" s="222">
        <f t="shared" si="617"/>
        <v>15.442857142856935</v>
      </c>
      <c r="EP133" s="214" t="str">
        <f t="shared" si="618"/>
        <v>NORMAL- SUMINISTRAR SULFATO FERROSO</v>
      </c>
      <c r="EQ133" s="216" t="str">
        <f t="shared" si="619"/>
        <v>II TRIM</v>
      </c>
      <c r="ER133" s="24">
        <v>13</v>
      </c>
      <c r="ES133" s="22">
        <v>45013</v>
      </c>
      <c r="ET133" s="29">
        <f t="shared" ca="1" si="441"/>
        <v>15.871428571428364</v>
      </c>
      <c r="EU133" s="25" t="str">
        <f t="shared" si="620"/>
        <v>NORMAL- SUMINISTRAR SULFATO FERROSO</v>
      </c>
      <c r="EV133" s="24" t="s">
        <v>1510</v>
      </c>
      <c r="EW133" s="24">
        <v>45013</v>
      </c>
      <c r="EX133" s="22"/>
      <c r="EY133" s="29">
        <f t="shared" si="454"/>
        <v>15.871428571428364</v>
      </c>
      <c r="EZ133" s="25" t="str">
        <f t="shared" si="455"/>
        <v>SIN RIESGO DE ISOINMUNIZACIÓN</v>
      </c>
      <c r="FA133" s="21">
        <v>66</v>
      </c>
      <c r="FB133" s="22">
        <v>45013</v>
      </c>
      <c r="FC133" s="29">
        <f t="shared" si="621"/>
        <v>15.871428571428364</v>
      </c>
      <c r="FD133" s="29"/>
      <c r="FE133" s="29"/>
      <c r="FF133" s="29"/>
      <c r="FG133" s="21" t="str">
        <f t="shared" ca="1" si="622"/>
        <v/>
      </c>
      <c r="FH133" s="31"/>
      <c r="FI133" s="29" t="str">
        <f t="shared" si="623"/>
        <v>TOMAR EXAMEN</v>
      </c>
      <c r="FJ133" s="22"/>
      <c r="FK133" s="22"/>
      <c r="FL133" s="29" t="str">
        <f t="shared" ca="1" si="624"/>
        <v>NO APLICA-INGRESO TARDIO</v>
      </c>
      <c r="FM133" s="22" t="s">
        <v>867</v>
      </c>
      <c r="FN133" s="32">
        <v>45013</v>
      </c>
      <c r="FO133" s="29">
        <f t="shared" ca="1" si="442"/>
        <v>15.871428571428364</v>
      </c>
      <c r="FP133" s="22"/>
      <c r="FQ133" s="32"/>
      <c r="FR133" s="29" t="str">
        <f t="shared" ca="1" si="443"/>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5"/>
        <v>TOMAR EXAMEN</v>
      </c>
      <c r="FY133" s="22"/>
      <c r="FZ133" s="22"/>
      <c r="GA133" s="29" t="str">
        <f t="shared" ca="1" si="498"/>
        <v>NO APLICA-INGRESO TARDIO</v>
      </c>
      <c r="GB133" s="22" t="s">
        <v>868</v>
      </c>
      <c r="GC133" s="22">
        <v>45013</v>
      </c>
      <c r="GD133" s="29">
        <f t="shared" ca="1" si="491"/>
        <v>15.871428571428364</v>
      </c>
      <c r="GE133" s="22"/>
      <c r="GF133" s="22"/>
      <c r="GG133" s="29" t="str">
        <f t="shared" ca="1" si="445"/>
        <v>TOMA INMEDIATA DE TAMIZAJE</v>
      </c>
      <c r="GH133" s="22"/>
      <c r="GI133" s="29"/>
      <c r="GJ133" s="22"/>
      <c r="GK133" s="22"/>
      <c r="GL133" s="22"/>
      <c r="GM133" s="22"/>
      <c r="GN133" s="28"/>
      <c r="GO133" s="22"/>
      <c r="GP133" s="29" t="str">
        <f t="shared" si="626"/>
        <v>TOMAR EXAMEN</v>
      </c>
      <c r="GQ133" s="28"/>
      <c r="GR133" s="28"/>
      <c r="GS133" s="22" t="str">
        <f t="shared" si="627"/>
        <v/>
      </c>
      <c r="GT133" s="22"/>
      <c r="GU133" s="29" t="str">
        <f t="shared" si="628"/>
        <v>TOMAR EXAMEN</v>
      </c>
      <c r="GV133" s="21" t="str">
        <f t="shared" si="629"/>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30"/>
        <v>#REF!</v>
      </c>
      <c r="HI133" s="22" t="e">
        <f t="shared" ca="1" si="631"/>
        <v>#REF!</v>
      </c>
      <c r="HJ133" s="21" t="str">
        <f t="shared" ca="1" si="632"/>
        <v>***************************************</v>
      </c>
      <c r="HK133" s="21" t="str">
        <f t="shared" si="633"/>
        <v>SIN ANTECEDENTES DE RIESGO</v>
      </c>
      <c r="HL133" s="24" t="str">
        <f t="shared" si="634"/>
        <v>APARENTEMENTE NORMAL</v>
      </c>
      <c r="HM133" s="21" t="e">
        <f t="shared" ca="1" si="635"/>
        <v>#REF!</v>
      </c>
      <c r="HN133" s="30" t="str">
        <f t="shared" si="446"/>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6"/>
        <v>15.871428571428364</v>
      </c>
      <c r="IA133" s="26"/>
      <c r="IB133" s="26"/>
      <c r="IC133" s="111"/>
      <c r="ID133" s="22">
        <v>45051</v>
      </c>
      <c r="IE133" s="22" t="str">
        <f t="shared" ca="1" si="637"/>
        <v>VACUNA APLICADA ENTRE SEMANA 20 Y SEMANA 26</v>
      </c>
      <c r="IF133" s="22"/>
      <c r="IG133" s="22">
        <f t="shared" si="638"/>
        <v>45181.9</v>
      </c>
      <c r="IH133" s="29">
        <f t="shared" ca="1" si="639"/>
        <v>-50.099999999998545</v>
      </c>
      <c r="II133" s="22" t="str">
        <f t="shared" ca="1" si="640"/>
        <v>POSIBLEMENTE NACIO</v>
      </c>
      <c r="IJ133" s="22"/>
      <c r="IK133" s="21"/>
      <c r="IL133" s="21"/>
      <c r="IM133" s="34"/>
      <c r="IN133" s="349"/>
      <c r="IO133" s="21"/>
      <c r="IP133" s="29" t="str">
        <f t="shared" si="490"/>
        <v/>
      </c>
      <c r="IQ133" s="35"/>
      <c r="IR133" s="21"/>
      <c r="IS133" s="21"/>
      <c r="IT133" s="21"/>
      <c r="IU133" s="21"/>
      <c r="IV133" s="21"/>
      <c r="IW133" s="21"/>
      <c r="IX133" s="21"/>
      <c r="IY133" s="21"/>
      <c r="IZ133" s="21"/>
      <c r="JA133" s="21"/>
      <c r="JB133" s="30"/>
      <c r="JC133" s="21"/>
      <c r="JD133" s="36"/>
      <c r="JE133" s="21" t="str">
        <f t="shared" si="492"/>
        <v/>
      </c>
      <c r="JF133" s="30"/>
      <c r="JG133" s="21"/>
      <c r="JH133" s="21"/>
      <c r="JI133" s="21"/>
      <c r="JJ133" s="30"/>
      <c r="JK133" s="22"/>
      <c r="JL133" s="22"/>
      <c r="JM133" s="21"/>
      <c r="JN133" s="36"/>
      <c r="JO133" s="21" t="str">
        <f t="shared" si="493"/>
        <v/>
      </c>
      <c r="JP133" s="22"/>
      <c r="JQ133" s="21"/>
      <c r="JR133" s="21"/>
      <c r="JS133" s="21"/>
      <c r="JT133" s="30"/>
      <c r="JU133" s="22"/>
      <c r="JV133" s="22"/>
      <c r="JW133" s="33"/>
      <c r="JX133" s="28" t="str">
        <f t="shared" si="494"/>
        <v/>
      </c>
      <c r="JY133" s="33"/>
      <c r="JZ133" s="28" t="str">
        <f t="shared" si="495"/>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41"/>
        <v>0</v>
      </c>
      <c r="MI133" s="43" t="str">
        <f t="shared" si="642"/>
        <v/>
      </c>
      <c r="MJ133" s="43" t="str">
        <f t="shared" si="643"/>
        <v/>
      </c>
      <c r="MK133" s="43">
        <f t="shared" si="644"/>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5"/>
        <v>15.871428571428364</v>
      </c>
      <c r="MN133" s="43">
        <f t="shared" si="646"/>
        <v>3</v>
      </c>
      <c r="MO133" s="43">
        <f t="shared" si="647"/>
        <v>2023</v>
      </c>
      <c r="MP133" s="43" t="str">
        <f t="shared" si="648"/>
        <v>I TRIMESTRE AÑO</v>
      </c>
      <c r="MQ133" s="43">
        <f t="shared" si="649"/>
        <v>18.78011388523872</v>
      </c>
      <c r="MR133" s="43">
        <f t="shared" si="650"/>
        <v>0</v>
      </c>
      <c r="MS133" s="43" t="str">
        <f t="shared" si="651"/>
        <v>DE 14 A 19AÑOS</v>
      </c>
      <c r="MT133" s="43">
        <f t="shared" si="652"/>
        <v>0</v>
      </c>
      <c r="MU133" s="43">
        <f t="shared" si="653"/>
        <v>0</v>
      </c>
      <c r="MV133" s="43">
        <f t="shared" si="654"/>
        <v>0</v>
      </c>
      <c r="MW133" s="43">
        <f t="shared" si="655"/>
        <v>0</v>
      </c>
      <c r="MX133" s="43" t="str">
        <f t="shared" si="656"/>
        <v/>
      </c>
      <c r="MY133" s="43" t="str">
        <f t="shared" ca="1" si="496"/>
        <v/>
      </c>
      <c r="MZ133" s="43" t="str">
        <f t="shared" si="657"/>
        <v/>
      </c>
      <c r="NA133" s="43" t="str">
        <f t="shared" si="658"/>
        <v/>
      </c>
      <c r="NB133" s="43" t="str">
        <f t="shared" si="659"/>
        <v/>
      </c>
      <c r="NC133" s="43" t="str">
        <f t="shared" si="660"/>
        <v/>
      </c>
      <c r="ND133" s="43">
        <f t="shared" ca="1" si="661"/>
        <v>0</v>
      </c>
      <c r="NE133" s="43">
        <f>IF(OR(O133&gt;0,R133&gt;0),SUM(COUNTIF(Tabla1[[#This Row],[AÑOS AL INICIO5 CPN]],"&gt;=40"),COUNTIF(AS133,"0"),COUNTIF(AR133,"SI"),COUNTIF(CC133,"SI"),COUNTIF(BQ133,"&gt;119"),COUNTIF(CI133,"&gt;=35")),"")</f>
        <v>0</v>
      </c>
      <c r="NF133" s="43">
        <f t="shared" si="662"/>
        <v>21.299999999999791</v>
      </c>
      <c r="NG133" s="43">
        <f t="shared" si="663"/>
        <v>0</v>
      </c>
      <c r="NH133" s="43">
        <f t="shared" si="664"/>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5"/>
        <v>X</v>
      </c>
      <c r="NM133" s="43" t="str">
        <f t="shared" si="501"/>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6"/>
        <v>II TRIM</v>
      </c>
      <c r="NQ133" s="21" t="str">
        <f t="shared" si="500"/>
        <v/>
      </c>
      <c r="NR133" s="21" t="str">
        <f t="shared" ca="1" si="497"/>
        <v>REVISAR FUM O FECHA SALIDA PROGRAMA</v>
      </c>
      <c r="NS133" s="205">
        <f t="shared" ca="1" si="667"/>
        <v>1</v>
      </c>
      <c r="NT133" s="21">
        <f t="shared" ca="1" si="668"/>
        <v>1</v>
      </c>
      <c r="NU133" s="21" t="str">
        <f t="shared" ca="1" si="669"/>
        <v>POR DEFINIR</v>
      </c>
      <c r="NV133" s="21" t="str">
        <f t="shared" ca="1" si="670"/>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71"/>
        <v>VACUNADA</v>
      </c>
      <c r="NY133" s="43">
        <f>ROW(Tabla1[[#This Row],['# DE TAMIZAJES SIFILIS TOMADOS ]])</f>
        <v>133</v>
      </c>
      <c r="NZ133" s="43">
        <f t="shared" si="502"/>
        <v>15</v>
      </c>
      <c r="OA133" s="43" t="str">
        <f t="shared" si="503"/>
        <v/>
      </c>
      <c r="OB133" s="43" t="str">
        <f t="shared" si="504"/>
        <v/>
      </c>
      <c r="OC133" s="43" t="str">
        <f t="shared" si="505"/>
        <v/>
      </c>
      <c r="OD133" s="43" t="str">
        <f t="shared" si="506"/>
        <v/>
      </c>
      <c r="OE133" s="43" t="str">
        <f t="shared" si="507"/>
        <v/>
      </c>
      <c r="OF133" s="43" t="str">
        <f t="shared" si="508"/>
        <v/>
      </c>
      <c r="OG133" s="43" t="str">
        <f t="shared" si="509"/>
        <v>BAJO PESO</v>
      </c>
      <c r="OH133" s="43" t="str">
        <f t="shared" si="510"/>
        <v/>
      </c>
      <c r="OI133" s="43" t="str">
        <f t="shared" si="511"/>
        <v/>
      </c>
      <c r="OJ133" s="43" t="str">
        <f t="shared" si="512"/>
        <v/>
      </c>
      <c r="OK133" s="43" t="str">
        <f t="shared" si="513"/>
        <v/>
      </c>
      <c r="OL133" s="43" t="str">
        <f t="shared" si="514"/>
        <v/>
      </c>
      <c r="OM133" s="43" t="str">
        <f t="shared" si="515"/>
        <v/>
      </c>
      <c r="ON133" s="43" t="str">
        <f t="shared" si="516"/>
        <v/>
      </c>
      <c r="OO133" s="43" t="str">
        <f t="shared" si="517"/>
        <v/>
      </c>
      <c r="OP133" s="43" t="str">
        <f t="shared" si="518"/>
        <v/>
      </c>
      <c r="OQ133" s="43" t="str">
        <f t="shared" si="519"/>
        <v/>
      </c>
      <c r="OR133" s="43" t="str">
        <f t="shared" si="520"/>
        <v/>
      </c>
      <c r="OS133" s="43" t="str">
        <f t="shared" si="521"/>
        <v/>
      </c>
      <c r="OT133" s="43" t="str">
        <f t="shared" si="522"/>
        <v/>
      </c>
      <c r="OU133" s="43" t="str">
        <f t="shared" si="523"/>
        <v/>
      </c>
      <c r="OV133" s="110" t="str">
        <f t="shared" si="524"/>
        <v/>
      </c>
      <c r="OW133" s="43" t="str">
        <f t="shared" si="525"/>
        <v/>
      </c>
      <c r="OX133" s="43" t="str">
        <f t="shared" si="526"/>
        <v/>
      </c>
      <c r="OY133" s="43" t="str">
        <f t="shared" si="527"/>
        <v/>
      </c>
      <c r="OZ133" s="43" t="str">
        <f t="shared" si="528"/>
        <v/>
      </c>
      <c r="PA133" s="43" t="str">
        <f t="shared" si="529"/>
        <v/>
      </c>
      <c r="PB133" s="43" t="str">
        <f t="shared" si="530"/>
        <v/>
      </c>
      <c r="PC133" s="43" t="str">
        <f t="shared" si="531"/>
        <v/>
      </c>
      <c r="PD133" s="43" t="str">
        <f t="shared" si="532"/>
        <v/>
      </c>
      <c r="PE133" s="43" t="str">
        <f t="shared" si="533"/>
        <v/>
      </c>
      <c r="PF133" s="43" t="str">
        <f t="shared" si="534"/>
        <v/>
      </c>
      <c r="PG133" s="43" t="str">
        <f t="shared" si="535"/>
        <v/>
      </c>
      <c r="PH133" s="43" t="str">
        <f t="shared" si="536"/>
        <v/>
      </c>
      <c r="PI133" s="43">
        <f t="shared" si="537"/>
        <v>31</v>
      </c>
      <c r="PJ133" s="43" t="str">
        <f t="shared" si="538"/>
        <v/>
      </c>
      <c r="PK133" s="43" t="str">
        <f t="shared" si="539"/>
        <v/>
      </c>
      <c r="PL133" s="43" t="str">
        <f t="shared" si="540"/>
        <v/>
      </c>
      <c r="PM133" s="43" t="str">
        <f t="shared" si="541"/>
        <v/>
      </c>
      <c r="PN133" s="43" t="str">
        <f t="shared" si="542"/>
        <v/>
      </c>
      <c r="PO133" s="43" t="str">
        <f t="shared" si="543"/>
        <v/>
      </c>
      <c r="PP133" s="43" t="str">
        <f t="shared" si="544"/>
        <v/>
      </c>
      <c r="PQ133" s="43" t="str">
        <f t="shared" si="545"/>
        <v/>
      </c>
      <c r="PR133" s="43" t="str">
        <f t="shared" si="546"/>
        <v/>
      </c>
      <c r="PS133" s="43" t="str">
        <f t="shared" si="547"/>
        <v/>
      </c>
      <c r="PT133" s="43" t="str">
        <f t="shared" si="548"/>
        <v/>
      </c>
      <c r="PU133" s="43" t="str">
        <f t="shared" si="549"/>
        <v/>
      </c>
      <c r="PV133" s="43" t="str">
        <f t="shared" si="550"/>
        <v/>
      </c>
      <c r="PW133" s="43" t="str">
        <f t="shared" si="551"/>
        <v/>
      </c>
      <c r="PX133" s="43" t="str">
        <f t="shared" si="552"/>
        <v/>
      </c>
      <c r="PY133" s="43" t="str">
        <f t="shared" si="553"/>
        <v/>
      </c>
      <c r="PZ133" s="43" t="str">
        <f t="shared" si="554"/>
        <v/>
      </c>
      <c r="QA133" s="43" t="str">
        <f t="shared" si="555"/>
        <v/>
      </c>
      <c r="QB133" s="43" t="str">
        <f t="shared" si="556"/>
        <v/>
      </c>
      <c r="QC133" s="43" t="str">
        <f t="shared" si="557"/>
        <v/>
      </c>
      <c r="QD133" s="43" t="str">
        <f t="shared" si="558"/>
        <v/>
      </c>
      <c r="QE133" s="43" t="str">
        <f t="shared" si="559"/>
        <v/>
      </c>
      <c r="QF133" s="43" t="str">
        <f t="shared" si="560"/>
        <v>BAJO PESO</v>
      </c>
      <c r="QG133" s="43" t="str">
        <f t="shared" si="561"/>
        <v/>
      </c>
      <c r="QH133" s="43" t="str">
        <f t="shared" si="562"/>
        <v/>
      </c>
      <c r="QI133" s="43" t="str">
        <f t="shared" si="563"/>
        <v/>
      </c>
      <c r="QJ133" s="43" t="str">
        <f t="shared" si="564"/>
        <v/>
      </c>
      <c r="QK133" s="43" t="str">
        <f t="shared" si="565"/>
        <v/>
      </c>
      <c r="QL133" s="43" t="str">
        <f t="shared" si="566"/>
        <v/>
      </c>
      <c r="QM133" s="43" t="str">
        <f t="shared" si="567"/>
        <v/>
      </c>
      <c r="QN133" s="43" t="str">
        <f t="shared" si="568"/>
        <v/>
      </c>
      <c r="QO133" s="43" t="str">
        <f t="shared" si="569"/>
        <v/>
      </c>
      <c r="QP133" s="43" t="str">
        <f t="shared" si="570"/>
        <v/>
      </c>
      <c r="QQ133" s="43" t="str">
        <f t="shared" si="571"/>
        <v/>
      </c>
      <c r="QR133" s="43">
        <f t="shared" si="672"/>
        <v>31</v>
      </c>
      <c r="QS133" s="43"/>
      <c r="QT133" s="21" t="str">
        <f t="shared" si="572"/>
        <v/>
      </c>
      <c r="QU133" s="21" t="str">
        <f t="shared" si="573"/>
        <v/>
      </c>
      <c r="QV133" s="21" t="str">
        <f t="shared" si="574"/>
        <v/>
      </c>
      <c r="QW133" s="21" t="str">
        <f t="shared" si="575"/>
        <v/>
      </c>
      <c r="QX133" s="21" t="str">
        <f t="shared" si="576"/>
        <v/>
      </c>
      <c r="QY133" s="21" t="str">
        <f t="shared" si="577"/>
        <v/>
      </c>
      <c r="QZ133" s="21" t="str">
        <f t="shared" si="578"/>
        <v/>
      </c>
      <c r="RA133" s="21" t="str">
        <f t="shared" si="579"/>
        <v/>
      </c>
      <c r="RB133" s="21" t="str">
        <f t="shared" si="580"/>
        <v/>
      </c>
      <c r="RC133" s="21" t="str">
        <f t="shared" si="581"/>
        <v/>
      </c>
      <c r="RD133" s="21" t="str">
        <f t="shared" si="582"/>
        <v/>
      </c>
      <c r="RE133" s="21" t="str">
        <f t="shared" si="583"/>
        <v/>
      </c>
      <c r="RF133" s="21" t="str">
        <f t="shared" si="584"/>
        <v/>
      </c>
      <c r="RG133" s="21" t="str">
        <f t="shared" si="585"/>
        <v/>
      </c>
      <c r="RH133" s="21" t="str">
        <f t="shared" si="586"/>
        <v/>
      </c>
      <c r="RI133" s="21" t="str">
        <f t="shared" si="587"/>
        <v/>
      </c>
      <c r="RJ133" s="21" t="str">
        <f t="shared" si="588"/>
        <v/>
      </c>
      <c r="RK133" s="21" t="str">
        <f t="shared" si="589"/>
        <v/>
      </c>
      <c r="RL133" s="21" t="str">
        <f t="shared" si="590"/>
        <v>ADECUADO PARA EDAD GESTACIONAL</v>
      </c>
      <c r="RM133" s="21" t="str">
        <f t="shared" si="591"/>
        <v/>
      </c>
      <c r="RN133" s="21" t="str">
        <f t="shared" si="592"/>
        <v/>
      </c>
      <c r="RO133" s="21" t="str">
        <f t="shared" si="593"/>
        <v/>
      </c>
      <c r="RP133" s="21" t="str">
        <f t="shared" si="594"/>
        <v/>
      </c>
      <c r="RQ133" s="21" t="str">
        <f t="shared" si="595"/>
        <v/>
      </c>
      <c r="RR133" s="21" t="str">
        <f t="shared" si="596"/>
        <v/>
      </c>
      <c r="RS133" s="21" t="str">
        <f t="shared" si="597"/>
        <v/>
      </c>
      <c r="RT133" s="21" t="str">
        <f t="shared" si="598"/>
        <v/>
      </c>
      <c r="RU133" s="21" t="str">
        <f t="shared" si="599"/>
        <v/>
      </c>
      <c r="RV133" s="21">
        <f t="shared" si="600"/>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3"/>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1"/>
        <v>25.375342465753423</v>
      </c>
      <c r="O134" s="22">
        <v>45001</v>
      </c>
      <c r="P134" s="214" t="str">
        <f t="shared" si="438"/>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2"/>
        <v>32.56666666666667</v>
      </c>
      <c r="BR134" s="223">
        <f t="shared" si="603"/>
        <v>44922.9</v>
      </c>
      <c r="BS134" s="224">
        <f t="shared" si="604"/>
        <v>11.285714285714286</v>
      </c>
      <c r="BT134" s="216" t="str">
        <f t="shared" si="605"/>
        <v>II TRIM</v>
      </c>
      <c r="BU134" s="214" t="str">
        <f t="shared" ca="1" si="606"/>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7"/>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8"/>
        <v>45134</v>
      </c>
      <c r="CL134" s="21">
        <v>80</v>
      </c>
      <c r="CM134" s="214">
        <f t="shared" si="609"/>
        <v>36.523009495982471</v>
      </c>
      <c r="CN134" s="216">
        <f t="shared" si="610"/>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9"/>
        <v/>
      </c>
      <c r="DA134" s="21">
        <v>115</v>
      </c>
      <c r="DB134" s="21">
        <v>85</v>
      </c>
      <c r="DC134" s="217" t="str">
        <f t="shared" si="611"/>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9"/>
        <v>CONCERTAR PLAN DE PARTO INMEDIATO</v>
      </c>
      <c r="DV134" s="226" t="str">
        <f t="shared" si="440"/>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2"/>
        <v>#REF!</v>
      </c>
      <c r="DY134" s="212">
        <f>IF(R134="","",IF(R134&gt;0,MAX(Tabla1[[#This Row],[FECHA C2]:[FECHA C13]],Tabla1[[#This Row],[FECHA CONSULTA PRIMERA VEZ PROGRAMA CPN ]])))</f>
        <v>45134</v>
      </c>
      <c r="DZ134" s="216">
        <f t="shared" si="613"/>
        <v>30</v>
      </c>
      <c r="EA134" s="222">
        <f>IF(R134&gt;0,SUM(COUNTA(DF134:DQ134)+COUNTA(Tabla1[[#This Row],[FECHA CONSULTA PRIMERA VEZ PROGRAMA CPN ]])),"")</f>
        <v>4</v>
      </c>
      <c r="EB134" s="222" t="str">
        <f t="shared" si="614"/>
        <v>SI</v>
      </c>
      <c r="EC134" s="214">
        <f t="shared" si="615"/>
        <v>9</v>
      </c>
      <c r="ED134" s="227">
        <f t="shared" si="616"/>
        <v>0.44444444444444442</v>
      </c>
      <c r="EE134" s="22">
        <v>45003</v>
      </c>
      <c r="EF134" s="22">
        <v>45003</v>
      </c>
      <c r="EG134" s="22">
        <v>45003</v>
      </c>
      <c r="EH134" s="22"/>
      <c r="EI134" s="22">
        <v>45003</v>
      </c>
      <c r="EJ134" s="22"/>
      <c r="EK134" s="22"/>
      <c r="EL134" s="21"/>
      <c r="EM134" s="21">
        <v>13.6</v>
      </c>
      <c r="EN134" s="22">
        <v>45016</v>
      </c>
      <c r="EO134" s="222">
        <f t="shared" si="617"/>
        <v>13.428571428571429</v>
      </c>
      <c r="EP134" s="214" t="str">
        <f t="shared" si="618"/>
        <v>NORMAL- SUMINISTRAR SULFATO FERROSO</v>
      </c>
      <c r="EQ134" s="216" t="str">
        <f t="shared" si="619"/>
        <v>II TRIM</v>
      </c>
      <c r="ER134" s="24"/>
      <c r="ES134" s="22"/>
      <c r="ET134" s="29" t="str">
        <f t="shared" ca="1" si="441"/>
        <v>TOMA DE HEMOGLOBINA TARDÍA</v>
      </c>
      <c r="EU134" s="25" t="str">
        <f t="shared" si="620"/>
        <v/>
      </c>
      <c r="EV134" s="24" t="s">
        <v>1510</v>
      </c>
      <c r="EW134" s="32">
        <v>45016</v>
      </c>
      <c r="EX134" s="22"/>
      <c r="EY134" s="29">
        <f t="shared" si="454"/>
        <v>13.428571428571429</v>
      </c>
      <c r="EZ134" s="25" t="str">
        <f t="shared" si="455"/>
        <v>SIN RIESGO DE ISOINMUNIZACIÓN</v>
      </c>
      <c r="FA134" s="21">
        <v>90</v>
      </c>
      <c r="FB134" s="22">
        <v>45016</v>
      </c>
      <c r="FC134" s="29">
        <f t="shared" si="621"/>
        <v>13.428571428571429</v>
      </c>
      <c r="FD134" s="29"/>
      <c r="FE134" s="29"/>
      <c r="FF134" s="29"/>
      <c r="FG134" s="21" t="str">
        <f t="shared" ca="1" si="622"/>
        <v/>
      </c>
      <c r="FH134" s="31"/>
      <c r="FI134" s="29" t="str">
        <f t="shared" si="623"/>
        <v>TOMAR EXAMEN</v>
      </c>
      <c r="FJ134" s="22"/>
      <c r="FK134" s="22"/>
      <c r="FL134" s="29" t="str">
        <f t="shared" ca="1" si="624"/>
        <v>PIERDE TOMA DE TAMIZAJE</v>
      </c>
      <c r="FM134" s="22" t="s">
        <v>867</v>
      </c>
      <c r="FN134" s="32">
        <v>45016</v>
      </c>
      <c r="FO134" s="29">
        <f t="shared" ca="1" si="442"/>
        <v>13.428571428571429</v>
      </c>
      <c r="FP134" s="22"/>
      <c r="FQ134" s="32"/>
      <c r="FR134" s="29" t="str">
        <f t="shared" ca="1" si="443"/>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5"/>
        <v>TOMAR EXAMEN</v>
      </c>
      <c r="FY134" s="22" t="s">
        <v>868</v>
      </c>
      <c r="FZ134" s="22">
        <v>45001</v>
      </c>
      <c r="GA134" s="29">
        <f t="shared" ca="1" si="498"/>
        <v>11.285714285714286</v>
      </c>
      <c r="GB134" s="22" t="s">
        <v>868</v>
      </c>
      <c r="GC134" s="22">
        <v>45016</v>
      </c>
      <c r="GD134" s="29">
        <f t="shared" ca="1" si="491"/>
        <v>13.428571428571429</v>
      </c>
      <c r="GE134" s="22"/>
      <c r="GF134" s="22"/>
      <c r="GG134" s="29" t="str">
        <f t="shared" ca="1" si="445"/>
        <v>TOMA INMEDIATA DE TAMIZAJE</v>
      </c>
      <c r="GH134" s="22"/>
      <c r="GI134" s="29"/>
      <c r="GJ134" s="22"/>
      <c r="GK134" s="22"/>
      <c r="GL134" s="22"/>
      <c r="GM134" s="22"/>
      <c r="GN134" s="28" t="s">
        <v>869</v>
      </c>
      <c r="GO134" s="22">
        <v>45016</v>
      </c>
      <c r="GP134" s="29">
        <f t="shared" si="626"/>
        <v>13.428571428571429</v>
      </c>
      <c r="GQ134" s="28" t="s">
        <v>869</v>
      </c>
      <c r="GR134" s="28" t="s">
        <v>869</v>
      </c>
      <c r="GS134" s="22" t="str">
        <f t="shared" si="627"/>
        <v>CONTROL Igm</v>
      </c>
      <c r="GT134" s="22">
        <v>45016</v>
      </c>
      <c r="GU134" s="29">
        <f t="shared" si="628"/>
        <v>13.428571428571429</v>
      </c>
      <c r="GV134" s="21" t="str">
        <f t="shared" si="629"/>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30"/>
        <v>#REF!</v>
      </c>
      <c r="HI134" s="22" t="e">
        <f t="shared" ca="1" si="631"/>
        <v>#REF!</v>
      </c>
      <c r="HJ134" s="21" t="str">
        <f t="shared" ca="1" si="632"/>
        <v>***************************************</v>
      </c>
      <c r="HK134" s="21" t="str">
        <f t="shared" si="633"/>
        <v>SIN ANTECEDENTES DE RIESGO</v>
      </c>
      <c r="HL134" s="24" t="str">
        <f t="shared" si="634"/>
        <v>PRE HTA,RIESGO ALTO PREECLAMPSIA</v>
      </c>
      <c r="HM134" s="21" t="e">
        <f t="shared" ca="1" si="635"/>
        <v>#REF!</v>
      </c>
      <c r="HN134" s="30" t="str">
        <f t="shared" si="446"/>
        <v>ACTIVA INGRESO A CPN</v>
      </c>
      <c r="HO134" s="21"/>
      <c r="HP134" s="21"/>
      <c r="HQ134" s="349">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6"/>
        <v>11.285714285714286</v>
      </c>
      <c r="IA134" s="26" t="s">
        <v>864</v>
      </c>
      <c r="IB134" s="26"/>
      <c r="IC134" s="111"/>
      <c r="ID134" s="22"/>
      <c r="IE134" s="22" t="str">
        <f t="shared" ca="1" si="637"/>
        <v/>
      </c>
      <c r="IF134" s="22"/>
      <c r="IG134" s="22">
        <f t="shared" si="638"/>
        <v>45202</v>
      </c>
      <c r="IH134" s="29">
        <f t="shared" ca="1" si="639"/>
        <v>-30</v>
      </c>
      <c r="II134" s="22" t="str">
        <f t="shared" ca="1" si="640"/>
        <v>POSIBLEMENTE NACIO</v>
      </c>
      <c r="IJ134" s="22"/>
      <c r="IK134" s="21"/>
      <c r="IL134" s="21"/>
      <c r="IM134" s="34"/>
      <c r="IN134" s="22"/>
      <c r="IO134" s="21"/>
      <c r="IP134" s="29" t="str">
        <f t="shared" si="490"/>
        <v/>
      </c>
      <c r="IQ134" s="35"/>
      <c r="IR134" s="21"/>
      <c r="IS134" s="21"/>
      <c r="IT134" s="21"/>
      <c r="IU134" s="21"/>
      <c r="IV134" s="21"/>
      <c r="IW134" s="21"/>
      <c r="IX134" s="21"/>
      <c r="IY134" s="21"/>
      <c r="IZ134" s="21"/>
      <c r="JA134" s="21"/>
      <c r="JB134" s="30"/>
      <c r="JC134" s="21"/>
      <c r="JD134" s="36"/>
      <c r="JE134" s="21" t="str">
        <f t="shared" si="492"/>
        <v/>
      </c>
      <c r="JF134" s="30"/>
      <c r="JG134" s="21"/>
      <c r="JH134" s="21"/>
      <c r="JI134" s="21"/>
      <c r="JJ134" s="30"/>
      <c r="JK134" s="22"/>
      <c r="JL134" s="22"/>
      <c r="JM134" s="21"/>
      <c r="JN134" s="36"/>
      <c r="JO134" s="21" t="str">
        <f t="shared" si="493"/>
        <v/>
      </c>
      <c r="JP134" s="22"/>
      <c r="JQ134" s="21"/>
      <c r="JR134" s="21"/>
      <c r="JS134" s="21"/>
      <c r="JT134" s="30"/>
      <c r="JU134" s="22"/>
      <c r="JV134" s="22"/>
      <c r="JW134" s="33"/>
      <c r="JX134" s="28" t="str">
        <f t="shared" si="494"/>
        <v/>
      </c>
      <c r="JY134" s="33"/>
      <c r="JZ134" s="28" t="str">
        <f t="shared" si="495"/>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41"/>
        <v>0</v>
      </c>
      <c r="MI134" s="43" t="str">
        <f t="shared" si="642"/>
        <v/>
      </c>
      <c r="MJ134" s="43" t="str">
        <f t="shared" si="643"/>
        <v/>
      </c>
      <c r="MK134" s="43">
        <f t="shared" si="644"/>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5"/>
        <v>11.285714285714286</v>
      </c>
      <c r="MN134" s="43">
        <f t="shared" si="646"/>
        <v>3</v>
      </c>
      <c r="MO134" s="43">
        <f t="shared" si="647"/>
        <v>2023</v>
      </c>
      <c r="MP134" s="43" t="str">
        <f t="shared" si="648"/>
        <v>I TRIMESTRE AÑO</v>
      </c>
      <c r="MQ134" s="43">
        <f t="shared" si="649"/>
        <v>24.370346035917649</v>
      </c>
      <c r="MR134" s="43">
        <f t="shared" si="650"/>
        <v>0</v>
      </c>
      <c r="MS134" s="43" t="str">
        <f t="shared" si="651"/>
        <v xml:space="preserve"> DE 20 A 24 AÑOS</v>
      </c>
      <c r="MT134" s="43">
        <f t="shared" si="652"/>
        <v>0</v>
      </c>
      <c r="MU134" s="43">
        <f t="shared" si="653"/>
        <v>0</v>
      </c>
      <c r="MV134" s="43">
        <f t="shared" si="654"/>
        <v>0</v>
      </c>
      <c r="MW134" s="43">
        <f t="shared" si="655"/>
        <v>0</v>
      </c>
      <c r="MX134" s="43" t="str">
        <f t="shared" si="656"/>
        <v/>
      </c>
      <c r="MY134" s="43" t="str">
        <f t="shared" ca="1" si="496"/>
        <v/>
      </c>
      <c r="MZ134" s="43" t="str">
        <f t="shared" si="657"/>
        <v/>
      </c>
      <c r="NA134" s="43" t="str">
        <f t="shared" si="658"/>
        <v/>
      </c>
      <c r="NB134" s="43" t="str">
        <f t="shared" si="659"/>
        <v/>
      </c>
      <c r="NC134" s="43" t="str">
        <f t="shared" si="660"/>
        <v/>
      </c>
      <c r="ND134" s="43">
        <f t="shared" ca="1" si="661"/>
        <v>0</v>
      </c>
      <c r="NE134" s="43">
        <f>IF(OR(O134&gt;0,R134&gt;0),SUM(COUNTIF(Tabla1[[#This Row],[AÑOS AL INICIO5 CPN]],"&gt;=40"),COUNTIF(AS134,"0"),COUNTIF(AR134,"SI"),COUNTIF(CC134,"SI"),COUNTIF(BQ134,"&gt;119"),COUNTIF(CI134,"&gt;=35")),"")</f>
        <v>0</v>
      </c>
      <c r="NF134" s="43" t="str">
        <f t="shared" si="662"/>
        <v/>
      </c>
      <c r="NG134" s="43">
        <f t="shared" si="663"/>
        <v>0</v>
      </c>
      <c r="NH134" s="43">
        <f t="shared" si="664"/>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5"/>
        <v>X</v>
      </c>
      <c r="NM134" s="43" t="str">
        <f t="shared" si="501"/>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6"/>
        <v>I TRIM</v>
      </c>
      <c r="NQ134" s="21" t="str">
        <f t="shared" si="500"/>
        <v/>
      </c>
      <c r="NR134" s="21" t="str">
        <f t="shared" ca="1" si="497"/>
        <v>REVISAR FUM O FECHA SALIDA PROGRAMA</v>
      </c>
      <c r="NS134" s="205">
        <f t="shared" ca="1" si="667"/>
        <v>1</v>
      </c>
      <c r="NT134" s="21">
        <f t="shared" ca="1" si="668"/>
        <v>2</v>
      </c>
      <c r="NU134" s="21" t="str">
        <f t="shared" ca="1" si="669"/>
        <v>POR DEFINIR</v>
      </c>
      <c r="NV134" s="21" t="str">
        <f t="shared" ca="1" si="670"/>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71"/>
        <v>SIN VACUNAR</v>
      </c>
      <c r="NY134" s="43">
        <f>ROW(Tabla1[[#This Row],['# DE TAMIZAJES SIFILIS TOMADOS ]])</f>
        <v>134</v>
      </c>
      <c r="NZ134" s="43">
        <f t="shared" si="502"/>
        <v>11</v>
      </c>
      <c r="OA134" s="43" t="str">
        <f t="shared" si="503"/>
        <v/>
      </c>
      <c r="OB134" s="43" t="str">
        <f t="shared" si="504"/>
        <v/>
      </c>
      <c r="OC134" s="43" t="str">
        <f t="shared" si="505"/>
        <v>OBESIDAD</v>
      </c>
      <c r="OD134" s="43" t="str">
        <f t="shared" si="506"/>
        <v/>
      </c>
      <c r="OE134" s="43" t="str">
        <f t="shared" si="507"/>
        <v/>
      </c>
      <c r="OF134" s="43" t="str">
        <f t="shared" si="508"/>
        <v/>
      </c>
      <c r="OG134" s="43" t="str">
        <f t="shared" si="509"/>
        <v/>
      </c>
      <c r="OH134" s="43" t="str">
        <f t="shared" si="510"/>
        <v/>
      </c>
      <c r="OI134" s="43" t="str">
        <f t="shared" si="511"/>
        <v/>
      </c>
      <c r="OJ134" s="43" t="str">
        <f t="shared" si="512"/>
        <v/>
      </c>
      <c r="OK134" s="43" t="str">
        <f t="shared" si="513"/>
        <v/>
      </c>
      <c r="OL134" s="43" t="str">
        <f t="shared" si="514"/>
        <v/>
      </c>
      <c r="OM134" s="43" t="str">
        <f t="shared" si="515"/>
        <v/>
      </c>
      <c r="ON134" s="43" t="str">
        <f t="shared" si="516"/>
        <v/>
      </c>
      <c r="OO134" s="43" t="str">
        <f t="shared" si="517"/>
        <v/>
      </c>
      <c r="OP134" s="43" t="str">
        <f t="shared" si="518"/>
        <v/>
      </c>
      <c r="OQ134" s="43" t="str">
        <f t="shared" si="519"/>
        <v/>
      </c>
      <c r="OR134" s="43" t="str">
        <f t="shared" si="520"/>
        <v/>
      </c>
      <c r="OS134" s="43" t="str">
        <f t="shared" si="521"/>
        <v/>
      </c>
      <c r="OT134" s="43" t="str">
        <f t="shared" si="522"/>
        <v/>
      </c>
      <c r="OU134" s="43" t="str">
        <f t="shared" si="523"/>
        <v/>
      </c>
      <c r="OV134" s="110" t="str">
        <f t="shared" si="524"/>
        <v/>
      </c>
      <c r="OW134" s="43" t="str">
        <f t="shared" si="525"/>
        <v/>
      </c>
      <c r="OX134" s="43" t="str">
        <f t="shared" si="526"/>
        <v/>
      </c>
      <c r="OY134" s="43" t="str">
        <f t="shared" si="527"/>
        <v/>
      </c>
      <c r="OZ134" s="43" t="str">
        <f t="shared" si="528"/>
        <v/>
      </c>
      <c r="PA134" s="43" t="str">
        <f t="shared" si="529"/>
        <v/>
      </c>
      <c r="PB134" s="43" t="str">
        <f t="shared" si="530"/>
        <v/>
      </c>
      <c r="PC134" s="43" t="str">
        <f t="shared" si="531"/>
        <v/>
      </c>
      <c r="PD134" s="43" t="str">
        <f t="shared" si="532"/>
        <v/>
      </c>
      <c r="PE134" s="43" t="str">
        <f t="shared" si="533"/>
        <v/>
      </c>
      <c r="PF134" s="43" t="str">
        <f t="shared" si="534"/>
        <v/>
      </c>
      <c r="PG134" s="43" t="str">
        <f t="shared" si="535"/>
        <v/>
      </c>
      <c r="PH134" s="43" t="str">
        <f t="shared" si="536"/>
        <v/>
      </c>
      <c r="PI134" s="43">
        <f t="shared" si="537"/>
        <v>30</v>
      </c>
      <c r="PJ134" s="43" t="str">
        <f t="shared" si="538"/>
        <v/>
      </c>
      <c r="PK134" s="43" t="str">
        <f t="shared" si="539"/>
        <v/>
      </c>
      <c r="PL134" s="43" t="str">
        <f t="shared" si="540"/>
        <v/>
      </c>
      <c r="PM134" s="43" t="str">
        <f t="shared" si="541"/>
        <v/>
      </c>
      <c r="PN134" s="43" t="str">
        <f t="shared" si="542"/>
        <v/>
      </c>
      <c r="PO134" s="43" t="str">
        <f t="shared" si="543"/>
        <v/>
      </c>
      <c r="PP134" s="43" t="str">
        <f t="shared" si="544"/>
        <v/>
      </c>
      <c r="PQ134" s="43" t="str">
        <f t="shared" si="545"/>
        <v/>
      </c>
      <c r="PR134" s="43" t="str">
        <f t="shared" si="546"/>
        <v/>
      </c>
      <c r="PS134" s="43" t="str">
        <f t="shared" si="547"/>
        <v/>
      </c>
      <c r="PT134" s="43" t="str">
        <f t="shared" si="548"/>
        <v/>
      </c>
      <c r="PU134" s="43" t="str">
        <f t="shared" si="549"/>
        <v/>
      </c>
      <c r="PV134" s="43" t="str">
        <f t="shared" si="550"/>
        <v/>
      </c>
      <c r="PW134" s="43" t="str">
        <f t="shared" si="551"/>
        <v/>
      </c>
      <c r="PX134" s="43" t="str">
        <f t="shared" si="552"/>
        <v/>
      </c>
      <c r="PY134" s="43" t="str">
        <f t="shared" si="553"/>
        <v/>
      </c>
      <c r="PZ134" s="43" t="str">
        <f t="shared" si="554"/>
        <v/>
      </c>
      <c r="QA134" s="43" t="str">
        <f t="shared" si="555"/>
        <v/>
      </c>
      <c r="QB134" s="43" t="str">
        <f t="shared" si="556"/>
        <v/>
      </c>
      <c r="QC134" s="43" t="str">
        <f t="shared" si="557"/>
        <v/>
      </c>
      <c r="QD134" s="43" t="str">
        <f t="shared" si="558"/>
        <v/>
      </c>
      <c r="QE134" s="43" t="str">
        <f t="shared" si="559"/>
        <v>OBESIDAD</v>
      </c>
      <c r="QF134" s="43" t="str">
        <f t="shared" si="560"/>
        <v/>
      </c>
      <c r="QG134" s="43" t="str">
        <f t="shared" si="561"/>
        <v/>
      </c>
      <c r="QH134" s="43" t="str">
        <f t="shared" si="562"/>
        <v/>
      </c>
      <c r="QI134" s="43" t="str">
        <f t="shared" si="563"/>
        <v/>
      </c>
      <c r="QJ134" s="43" t="str">
        <f t="shared" si="564"/>
        <v/>
      </c>
      <c r="QK134" s="43" t="str">
        <f t="shared" si="565"/>
        <v/>
      </c>
      <c r="QL134" s="43" t="str">
        <f t="shared" si="566"/>
        <v/>
      </c>
      <c r="QM134" s="43" t="str">
        <f t="shared" si="567"/>
        <v/>
      </c>
      <c r="QN134" s="43" t="str">
        <f t="shared" si="568"/>
        <v/>
      </c>
      <c r="QO134" s="43" t="str">
        <f t="shared" si="569"/>
        <v/>
      </c>
      <c r="QP134" s="43" t="str">
        <f t="shared" si="570"/>
        <v/>
      </c>
      <c r="QQ134" s="43" t="str">
        <f t="shared" si="571"/>
        <v/>
      </c>
      <c r="QR134" s="43">
        <f t="shared" si="672"/>
        <v>30</v>
      </c>
      <c r="QS134" s="43"/>
      <c r="QT134" s="21" t="str">
        <f t="shared" si="572"/>
        <v/>
      </c>
      <c r="QU134" s="21" t="str">
        <f t="shared" si="573"/>
        <v/>
      </c>
      <c r="QV134" s="21" t="str">
        <f t="shared" si="574"/>
        <v/>
      </c>
      <c r="QW134" s="21" t="str">
        <f t="shared" si="575"/>
        <v/>
      </c>
      <c r="QX134" s="21" t="str">
        <f t="shared" si="576"/>
        <v/>
      </c>
      <c r="QY134" s="21" t="str">
        <f t="shared" si="577"/>
        <v/>
      </c>
      <c r="QZ134" s="21" t="str">
        <f t="shared" si="578"/>
        <v/>
      </c>
      <c r="RA134" s="21" t="str">
        <f t="shared" si="579"/>
        <v/>
      </c>
      <c r="RB134" s="21" t="str">
        <f t="shared" si="580"/>
        <v/>
      </c>
      <c r="RC134" s="21" t="str">
        <f t="shared" si="581"/>
        <v/>
      </c>
      <c r="RD134" s="21" t="str">
        <f t="shared" si="582"/>
        <v/>
      </c>
      <c r="RE134" s="21" t="str">
        <f t="shared" si="583"/>
        <v/>
      </c>
      <c r="RF134" s="21" t="str">
        <f t="shared" si="584"/>
        <v/>
      </c>
      <c r="RG134" s="21" t="str">
        <f t="shared" si="585"/>
        <v/>
      </c>
      <c r="RH134" s="21" t="str">
        <f t="shared" si="586"/>
        <v/>
      </c>
      <c r="RI134" s="21" t="str">
        <f t="shared" si="587"/>
        <v/>
      </c>
      <c r="RJ134" s="21" t="str">
        <f t="shared" si="588"/>
        <v/>
      </c>
      <c r="RK134" s="21" t="str">
        <f t="shared" si="589"/>
        <v>ALTO PARA EDAD GESTACIONAL</v>
      </c>
      <c r="RL134" s="21" t="str">
        <f t="shared" si="590"/>
        <v/>
      </c>
      <c r="RM134" s="21" t="str">
        <f t="shared" si="591"/>
        <v/>
      </c>
      <c r="RN134" s="21" t="str">
        <f t="shared" si="592"/>
        <v/>
      </c>
      <c r="RO134" s="21" t="str">
        <f t="shared" si="593"/>
        <v/>
      </c>
      <c r="RP134" s="21" t="str">
        <f t="shared" si="594"/>
        <v/>
      </c>
      <c r="RQ134" s="21" t="str">
        <f t="shared" si="595"/>
        <v/>
      </c>
      <c r="RR134" s="21" t="str">
        <f t="shared" si="596"/>
        <v/>
      </c>
      <c r="RS134" s="21" t="str">
        <f t="shared" si="597"/>
        <v/>
      </c>
      <c r="RT134" s="21" t="str">
        <f t="shared" si="598"/>
        <v/>
      </c>
      <c r="RU134" s="21" t="str">
        <f t="shared" si="599"/>
        <v/>
      </c>
      <c r="RV134" s="21">
        <f t="shared" si="600"/>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3"/>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1"/>
        <v>23.753424657534246</v>
      </c>
      <c r="O135" s="22">
        <v>45012</v>
      </c>
      <c r="P135" s="214" t="str">
        <f t="shared" si="438"/>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2"/>
        <v>11.466666666666667</v>
      </c>
      <c r="BR135" s="223">
        <f t="shared" si="603"/>
        <v>44911</v>
      </c>
      <c r="BS135" s="224">
        <f t="shared" si="604"/>
        <v>14.714285714285714</v>
      </c>
      <c r="BT135" s="216" t="str">
        <f t="shared" si="605"/>
        <v>II TRIM</v>
      </c>
      <c r="BU135" s="214" t="str">
        <f t="shared" ca="1" si="606"/>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7"/>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8"/>
        <v>45121</v>
      </c>
      <c r="CL135" s="21">
        <v>50.1</v>
      </c>
      <c r="CM135" s="214">
        <f t="shared" si="609"/>
        <v>24.846260662566952</v>
      </c>
      <c r="CN135" s="216">
        <f t="shared" si="610"/>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9"/>
        <v/>
      </c>
      <c r="DA135" s="21">
        <v>110</v>
      </c>
      <c r="DB135" s="21">
        <v>70</v>
      </c>
      <c r="DC135" s="217" t="str">
        <f t="shared" si="611"/>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9"/>
        <v>CONCERTAR PLAN DE PARTO INMEDIATO</v>
      </c>
      <c r="DV135" s="226" t="str">
        <f t="shared" si="440"/>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2"/>
        <v>#REF!</v>
      </c>
      <c r="DY135" s="212">
        <f>IF(R135="","",IF(R135&gt;0,MAX(Tabla1[[#This Row],[FECHA C2]:[FECHA C13]],Tabla1[[#This Row],[FECHA CONSULTA PRIMERA VEZ PROGRAMA CPN ]])))</f>
        <v>45121</v>
      </c>
      <c r="DZ135" s="216">
        <f t="shared" si="613"/>
        <v>30</v>
      </c>
      <c r="EA135" s="222">
        <f>IF(R135&gt;0,SUM(COUNTA(DF135:DQ135)+COUNTA(Tabla1[[#This Row],[FECHA CONSULTA PRIMERA VEZ PROGRAMA CPN ]])),"")</f>
        <v>3</v>
      </c>
      <c r="EB135" s="222" t="str">
        <f t="shared" si="614"/>
        <v>NO</v>
      </c>
      <c r="EC135" s="214">
        <f t="shared" si="615"/>
        <v>8</v>
      </c>
      <c r="ED135" s="227">
        <f t="shared" si="616"/>
        <v>0.375</v>
      </c>
      <c r="EE135" s="22">
        <v>45012</v>
      </c>
      <c r="EF135" s="22">
        <v>45012</v>
      </c>
      <c r="EG135" s="22">
        <v>45012</v>
      </c>
      <c r="EH135" s="22"/>
      <c r="EI135" s="22">
        <v>45012</v>
      </c>
      <c r="EJ135" s="22"/>
      <c r="EK135" s="22"/>
      <c r="EL135" s="21"/>
      <c r="EM135" s="21">
        <v>12.2</v>
      </c>
      <c r="EN135" s="22">
        <v>45087</v>
      </c>
      <c r="EO135" s="222">
        <f t="shared" si="617"/>
        <v>25.428571428571427</v>
      </c>
      <c r="EP135" s="214" t="str">
        <f t="shared" si="618"/>
        <v>NORMAL- SUMINISTRAR SULFATO FERROSO</v>
      </c>
      <c r="EQ135" s="216" t="str">
        <f t="shared" si="619"/>
        <v>II TRIM</v>
      </c>
      <c r="ER135" s="24">
        <v>12.2</v>
      </c>
      <c r="ES135" s="22">
        <v>45087</v>
      </c>
      <c r="ET135" s="29">
        <f t="shared" ca="1" si="441"/>
        <v>25.428571428571427</v>
      </c>
      <c r="EU135" s="25" t="str">
        <f t="shared" si="620"/>
        <v>NORMAL- SUMINISTRAR SULFATO FERROSO</v>
      </c>
      <c r="EV135" s="24" t="s">
        <v>1510</v>
      </c>
      <c r="EW135" s="22">
        <v>45087</v>
      </c>
      <c r="EX135" s="22"/>
      <c r="EY135" s="29">
        <f t="shared" si="454"/>
        <v>25.428571428571427</v>
      </c>
      <c r="EZ135" s="25" t="str">
        <f t="shared" si="455"/>
        <v>SIN RIESGO DE ISOINMUNIZACIÓN</v>
      </c>
      <c r="FA135" s="21">
        <v>66</v>
      </c>
      <c r="FB135" s="22">
        <v>45087</v>
      </c>
      <c r="FC135" s="29" t="str">
        <f t="shared" si="621"/>
        <v>NO APLICA &gt; 23 SEM -TOMAR PTOG</v>
      </c>
      <c r="FD135" s="29"/>
      <c r="FE135" s="29"/>
      <c r="FF135" s="29"/>
      <c r="FG135" s="21" t="str">
        <f t="shared" ca="1" si="622"/>
        <v/>
      </c>
      <c r="FH135" s="31"/>
      <c r="FI135" s="29" t="str">
        <f t="shared" si="623"/>
        <v>TOMAR EXAMEN</v>
      </c>
      <c r="FJ135" s="22"/>
      <c r="FK135" s="22"/>
      <c r="FL135" s="29" t="str">
        <f t="shared" ca="1" si="624"/>
        <v>NO APLICA-INGRESO TARDIO</v>
      </c>
      <c r="FM135" s="22" t="s">
        <v>867</v>
      </c>
      <c r="FN135" s="32">
        <v>45087</v>
      </c>
      <c r="FO135" s="29">
        <f t="shared" ca="1" si="442"/>
        <v>25.428571428571427</v>
      </c>
      <c r="FP135" s="22"/>
      <c r="FQ135" s="32"/>
      <c r="FR135" s="29" t="str">
        <f t="shared" ca="1" si="443"/>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5"/>
        <v>TOMAR EXAMEN</v>
      </c>
      <c r="FY135" s="22"/>
      <c r="FZ135" s="22"/>
      <c r="GA135" s="29" t="str">
        <f t="shared" ca="1" si="498"/>
        <v>NO APLICA-INGRESO TARDIO</v>
      </c>
      <c r="GB135" s="22" t="s">
        <v>868</v>
      </c>
      <c r="GC135" s="22">
        <v>45087</v>
      </c>
      <c r="GD135" s="29">
        <f t="shared" ca="1" si="491"/>
        <v>25.428571428571427</v>
      </c>
      <c r="GE135" s="22"/>
      <c r="GF135" s="22"/>
      <c r="GG135" s="29" t="str">
        <f t="shared" ca="1" si="445"/>
        <v>TOMA INMEDIATA DE TAMIZAJE</v>
      </c>
      <c r="GH135" s="22"/>
      <c r="GI135" s="29"/>
      <c r="GJ135" s="22"/>
      <c r="GK135" s="22"/>
      <c r="GL135" s="22"/>
      <c r="GM135" s="22"/>
      <c r="GN135" s="28" t="s">
        <v>869</v>
      </c>
      <c r="GO135" s="22">
        <v>45087</v>
      </c>
      <c r="GP135" s="29">
        <f t="shared" si="626"/>
        <v>25.428571428571427</v>
      </c>
      <c r="GQ135" s="28"/>
      <c r="GR135" s="28"/>
      <c r="GS135" s="22" t="str">
        <f t="shared" si="627"/>
        <v/>
      </c>
      <c r="GT135" s="22"/>
      <c r="GU135" s="29" t="str">
        <f t="shared" si="628"/>
        <v>TOMAR EXAMEN</v>
      </c>
      <c r="GV135" s="21" t="str">
        <f t="shared" si="629"/>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30"/>
        <v>#REF!</v>
      </c>
      <c r="HI135" s="22" t="e">
        <f t="shared" ca="1" si="631"/>
        <v>#REF!</v>
      </c>
      <c r="HJ135" s="21" t="str">
        <f t="shared" ca="1" si="632"/>
        <v>*************RCIU**************************</v>
      </c>
      <c r="HK135" s="21" t="str">
        <f t="shared" si="633"/>
        <v>SIN ANTECEDENTES DE RIESGO</v>
      </c>
      <c r="HL135" s="24" t="str">
        <f t="shared" si="634"/>
        <v>APARENTEMENTE NORMAL</v>
      </c>
      <c r="HM135" s="21" t="e">
        <f t="shared" ca="1" si="635"/>
        <v>#REF!</v>
      </c>
      <c r="HN135" s="30" t="str">
        <f t="shared" si="446"/>
        <v>ACTIVA INGRESO A CPN</v>
      </c>
      <c r="HO135" s="21"/>
      <c r="HP135" s="21"/>
      <c r="HQ135" s="349"/>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6"/>
        <v>PENDIENTE CONSULTA</v>
      </c>
      <c r="IA135" s="26"/>
      <c r="IB135" s="26"/>
      <c r="IC135" s="111">
        <v>45121</v>
      </c>
      <c r="ID135" s="111">
        <v>45121</v>
      </c>
      <c r="IE135" s="22" t="str">
        <f t="shared" ca="1" si="637"/>
        <v>VACUNA APLICADA ENTRE SEMANA 27 Y EL PARTO</v>
      </c>
      <c r="IF135" s="22">
        <v>45016</v>
      </c>
      <c r="IG135" s="22">
        <f t="shared" si="638"/>
        <v>45189</v>
      </c>
      <c r="IH135" s="29">
        <f t="shared" ca="1" si="639"/>
        <v>-43</v>
      </c>
      <c r="II135" s="22" t="str">
        <f t="shared" ca="1" si="640"/>
        <v>POSIBLEMENTE NACIO</v>
      </c>
      <c r="IJ135" s="22"/>
      <c r="IK135" s="21"/>
      <c r="IL135" s="21"/>
      <c r="IM135" s="34"/>
      <c r="IN135" s="22"/>
      <c r="IO135" s="21"/>
      <c r="IP135" s="29" t="str">
        <f t="shared" si="490"/>
        <v/>
      </c>
      <c r="IQ135" s="35"/>
      <c r="IR135" s="21"/>
      <c r="IS135" s="21"/>
      <c r="IT135" s="21"/>
      <c r="IU135" s="21"/>
      <c r="IV135" s="21"/>
      <c r="IW135" s="21"/>
      <c r="IX135" s="21"/>
      <c r="IY135" s="21"/>
      <c r="IZ135" s="21"/>
      <c r="JA135" s="21"/>
      <c r="JB135" s="30"/>
      <c r="JC135" s="21"/>
      <c r="JD135" s="36"/>
      <c r="JE135" s="21" t="str">
        <f t="shared" si="492"/>
        <v/>
      </c>
      <c r="JF135" s="30"/>
      <c r="JG135" s="21"/>
      <c r="JH135" s="21"/>
      <c r="JI135" s="21"/>
      <c r="JJ135" s="30"/>
      <c r="JK135" s="22"/>
      <c r="JL135" s="22"/>
      <c r="JM135" s="21"/>
      <c r="JN135" s="36"/>
      <c r="JO135" s="21" t="str">
        <f t="shared" si="493"/>
        <v/>
      </c>
      <c r="JP135" s="22"/>
      <c r="JQ135" s="21"/>
      <c r="JR135" s="21"/>
      <c r="JS135" s="21"/>
      <c r="JT135" s="30"/>
      <c r="JU135" s="22"/>
      <c r="JV135" s="22"/>
      <c r="JW135" s="33"/>
      <c r="JX135" s="28" t="str">
        <f t="shared" si="494"/>
        <v/>
      </c>
      <c r="JY135" s="33"/>
      <c r="JZ135" s="28" t="str">
        <f t="shared" si="495"/>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41"/>
        <v>0</v>
      </c>
      <c r="MI135" s="43" t="str">
        <f t="shared" si="642"/>
        <v/>
      </c>
      <c r="MJ135" s="43" t="str">
        <f t="shared" si="643"/>
        <v/>
      </c>
      <c r="MK135" s="43">
        <f t="shared" si="644"/>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5"/>
        <v>14.714285714285714</v>
      </c>
      <c r="MN135" s="43">
        <f t="shared" si="646"/>
        <v>3</v>
      </c>
      <c r="MO135" s="43">
        <f t="shared" si="647"/>
        <v>2023</v>
      </c>
      <c r="MP135" s="43" t="str">
        <f t="shared" si="648"/>
        <v>I TRIMESTRE AÑO</v>
      </c>
      <c r="MQ135" s="43">
        <f t="shared" si="649"/>
        <v>22.807161629434955</v>
      </c>
      <c r="MR135" s="43">
        <f t="shared" si="650"/>
        <v>0</v>
      </c>
      <c r="MS135" s="43" t="str">
        <f t="shared" si="651"/>
        <v xml:space="preserve"> DE 20 A 24 AÑOS</v>
      </c>
      <c r="MT135" s="43">
        <f t="shared" si="652"/>
        <v>0</v>
      </c>
      <c r="MU135" s="43">
        <f t="shared" si="653"/>
        <v>0</v>
      </c>
      <c r="MV135" s="43">
        <f t="shared" si="654"/>
        <v>0</v>
      </c>
      <c r="MW135" s="43">
        <f t="shared" si="655"/>
        <v>0</v>
      </c>
      <c r="MX135" s="43" t="str">
        <f t="shared" si="656"/>
        <v/>
      </c>
      <c r="MY135" s="43" t="str">
        <f t="shared" ca="1" si="496"/>
        <v/>
      </c>
      <c r="MZ135" s="43" t="str">
        <f t="shared" si="657"/>
        <v/>
      </c>
      <c r="NA135" s="43">
        <f t="shared" si="658"/>
        <v>0</v>
      </c>
      <c r="NB135" s="43" t="str">
        <f t="shared" si="659"/>
        <v/>
      </c>
      <c r="NC135" s="43" t="str">
        <f t="shared" si="660"/>
        <v/>
      </c>
      <c r="ND135" s="43">
        <f t="shared" ca="1" si="661"/>
        <v>3</v>
      </c>
      <c r="NE135" s="43">
        <f>IF(OR(O135&gt;0,R135&gt;0),SUM(COUNTIF(Tabla1[[#This Row],[AÑOS AL INICIO5 CPN]],"&gt;=40"),COUNTIF(AS135,"0"),COUNTIF(AR135,"SI"),COUNTIF(CC135,"SI"),COUNTIF(BQ135,"&gt;119"),COUNTIF(CI135,"&gt;=35")),"")</f>
        <v>0</v>
      </c>
      <c r="NF135" s="43">
        <f t="shared" si="662"/>
        <v>30.285714285714285</v>
      </c>
      <c r="NG135" s="43">
        <f t="shared" si="663"/>
        <v>0</v>
      </c>
      <c r="NH135" s="43">
        <f t="shared" si="664"/>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5"/>
        <v>X</v>
      </c>
      <c r="NM135" s="43" t="str">
        <f t="shared" si="501"/>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6"/>
        <v>II TRIM</v>
      </c>
      <c r="NQ135" s="21" t="str">
        <f t="shared" si="500"/>
        <v/>
      </c>
      <c r="NR135" s="21" t="str">
        <f t="shared" ca="1" si="497"/>
        <v>REVISAR FUM O FECHA SALIDA PROGRAMA</v>
      </c>
      <c r="NS135" s="205">
        <f t="shared" ca="1" si="667"/>
        <v>1</v>
      </c>
      <c r="NT135" s="21">
        <f t="shared" ca="1" si="668"/>
        <v>1</v>
      </c>
      <c r="NU135" s="21" t="str">
        <f t="shared" ca="1" si="669"/>
        <v>POR DEFINIR</v>
      </c>
      <c r="NV135" s="21" t="str">
        <f t="shared" ca="1" si="670"/>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71"/>
        <v>VACUNADA</v>
      </c>
      <c r="NY135" s="43">
        <f>ROW(Tabla1[[#This Row],['# DE TAMIZAJES SIFILIS TOMADOS ]])</f>
        <v>135</v>
      </c>
      <c r="NZ135" s="43">
        <f t="shared" si="502"/>
        <v>14</v>
      </c>
      <c r="OA135" s="43" t="str">
        <f t="shared" si="503"/>
        <v/>
      </c>
      <c r="OB135" s="43" t="str">
        <f t="shared" si="504"/>
        <v/>
      </c>
      <c r="OC135" s="43" t="str">
        <f t="shared" si="505"/>
        <v/>
      </c>
      <c r="OD135" s="43" t="str">
        <f t="shared" si="506"/>
        <v/>
      </c>
      <c r="OE135" s="43" t="str">
        <f t="shared" si="507"/>
        <v/>
      </c>
      <c r="OF135" s="43" t="str">
        <f t="shared" si="508"/>
        <v>NORMAL</v>
      </c>
      <c r="OG135" s="43" t="str">
        <f t="shared" si="509"/>
        <v/>
      </c>
      <c r="OH135" s="43" t="str">
        <f t="shared" si="510"/>
        <v/>
      </c>
      <c r="OI135" s="43" t="str">
        <f t="shared" si="511"/>
        <v/>
      </c>
      <c r="OJ135" s="43" t="str">
        <f t="shared" si="512"/>
        <v/>
      </c>
      <c r="OK135" s="43" t="str">
        <f t="shared" si="513"/>
        <v/>
      </c>
      <c r="OL135" s="43" t="str">
        <f t="shared" si="514"/>
        <v/>
      </c>
      <c r="OM135" s="43" t="str">
        <f t="shared" si="515"/>
        <v/>
      </c>
      <c r="ON135" s="43" t="str">
        <f t="shared" si="516"/>
        <v/>
      </c>
      <c r="OO135" s="43" t="str">
        <f t="shared" si="517"/>
        <v/>
      </c>
      <c r="OP135" s="43" t="str">
        <f t="shared" si="518"/>
        <v/>
      </c>
      <c r="OQ135" s="43" t="str">
        <f t="shared" si="519"/>
        <v/>
      </c>
      <c r="OR135" s="43" t="str">
        <f t="shared" si="520"/>
        <v/>
      </c>
      <c r="OS135" s="43" t="str">
        <f t="shared" si="521"/>
        <v/>
      </c>
      <c r="OT135" s="43" t="str">
        <f t="shared" si="522"/>
        <v/>
      </c>
      <c r="OU135" s="43" t="str">
        <f t="shared" si="523"/>
        <v/>
      </c>
      <c r="OV135" s="110" t="str">
        <f t="shared" si="524"/>
        <v/>
      </c>
      <c r="OW135" s="43" t="str">
        <f t="shared" si="525"/>
        <v/>
      </c>
      <c r="OX135" s="43" t="str">
        <f t="shared" si="526"/>
        <v/>
      </c>
      <c r="OY135" s="43" t="str">
        <f t="shared" si="527"/>
        <v/>
      </c>
      <c r="OZ135" s="43" t="str">
        <f t="shared" si="528"/>
        <v/>
      </c>
      <c r="PA135" s="43" t="str">
        <f t="shared" si="529"/>
        <v/>
      </c>
      <c r="PB135" s="43" t="str">
        <f t="shared" si="530"/>
        <v/>
      </c>
      <c r="PC135" s="43" t="str">
        <f t="shared" si="531"/>
        <v/>
      </c>
      <c r="PD135" s="43" t="str">
        <f t="shared" si="532"/>
        <v/>
      </c>
      <c r="PE135" s="43" t="str">
        <f t="shared" si="533"/>
        <v/>
      </c>
      <c r="PF135" s="43" t="str">
        <f t="shared" si="534"/>
        <v/>
      </c>
      <c r="PG135" s="43" t="str">
        <f t="shared" si="535"/>
        <v/>
      </c>
      <c r="PH135" s="43" t="str">
        <f t="shared" si="536"/>
        <v/>
      </c>
      <c r="PI135" s="43">
        <f t="shared" si="537"/>
        <v>30</v>
      </c>
      <c r="PJ135" s="43" t="str">
        <f t="shared" si="538"/>
        <v/>
      </c>
      <c r="PK135" s="43" t="str">
        <f t="shared" si="539"/>
        <v/>
      </c>
      <c r="PL135" s="43" t="str">
        <f t="shared" si="540"/>
        <v/>
      </c>
      <c r="PM135" s="43" t="str">
        <f t="shared" si="541"/>
        <v/>
      </c>
      <c r="PN135" s="43" t="str">
        <f t="shared" si="542"/>
        <v/>
      </c>
      <c r="PO135" s="43" t="str">
        <f t="shared" si="543"/>
        <v/>
      </c>
      <c r="PP135" s="43" t="str">
        <f t="shared" si="544"/>
        <v/>
      </c>
      <c r="PQ135" s="43" t="str">
        <f t="shared" si="545"/>
        <v/>
      </c>
      <c r="PR135" s="43" t="str">
        <f t="shared" si="546"/>
        <v/>
      </c>
      <c r="PS135" s="43" t="str">
        <f t="shared" si="547"/>
        <v/>
      </c>
      <c r="PT135" s="43" t="str">
        <f t="shared" si="548"/>
        <v/>
      </c>
      <c r="PU135" s="43" t="str">
        <f t="shared" si="549"/>
        <v/>
      </c>
      <c r="PV135" s="43" t="str">
        <f t="shared" si="550"/>
        <v/>
      </c>
      <c r="PW135" s="43" t="str">
        <f t="shared" si="551"/>
        <v/>
      </c>
      <c r="PX135" s="43" t="str">
        <f t="shared" si="552"/>
        <v/>
      </c>
      <c r="PY135" s="43" t="str">
        <f t="shared" si="553"/>
        <v/>
      </c>
      <c r="PZ135" s="43" t="str">
        <f t="shared" si="554"/>
        <v/>
      </c>
      <c r="QA135" s="43" t="str">
        <f t="shared" si="555"/>
        <v/>
      </c>
      <c r="QB135" s="43" t="str">
        <f t="shared" si="556"/>
        <v/>
      </c>
      <c r="QC135" s="43" t="str">
        <f t="shared" si="557"/>
        <v/>
      </c>
      <c r="QD135" s="43" t="str">
        <f t="shared" si="558"/>
        <v/>
      </c>
      <c r="QE135" s="43" t="str">
        <f t="shared" si="559"/>
        <v>NORMAL</v>
      </c>
      <c r="QF135" s="43" t="str">
        <f t="shared" si="560"/>
        <v/>
      </c>
      <c r="QG135" s="43" t="str">
        <f t="shared" si="561"/>
        <v/>
      </c>
      <c r="QH135" s="43" t="str">
        <f t="shared" si="562"/>
        <v/>
      </c>
      <c r="QI135" s="43" t="str">
        <f t="shared" si="563"/>
        <v/>
      </c>
      <c r="QJ135" s="43" t="str">
        <f t="shared" si="564"/>
        <v/>
      </c>
      <c r="QK135" s="43" t="str">
        <f t="shared" si="565"/>
        <v/>
      </c>
      <c r="QL135" s="43" t="str">
        <f t="shared" si="566"/>
        <v/>
      </c>
      <c r="QM135" s="43" t="str">
        <f t="shared" si="567"/>
        <v/>
      </c>
      <c r="QN135" s="43" t="str">
        <f t="shared" si="568"/>
        <v/>
      </c>
      <c r="QO135" s="43" t="str">
        <f t="shared" si="569"/>
        <v/>
      </c>
      <c r="QP135" s="43" t="str">
        <f t="shared" si="570"/>
        <v/>
      </c>
      <c r="QQ135" s="43" t="str">
        <f t="shared" si="571"/>
        <v/>
      </c>
      <c r="QR135" s="43">
        <f t="shared" si="672"/>
        <v>30</v>
      </c>
      <c r="QS135" s="43"/>
      <c r="QT135" s="21" t="str">
        <f t="shared" si="572"/>
        <v/>
      </c>
      <c r="QU135" s="21" t="str">
        <f t="shared" si="573"/>
        <v/>
      </c>
      <c r="QV135" s="21" t="str">
        <f t="shared" si="574"/>
        <v/>
      </c>
      <c r="QW135" s="21" t="str">
        <f t="shared" si="575"/>
        <v/>
      </c>
      <c r="QX135" s="21" t="str">
        <f t="shared" si="576"/>
        <v/>
      </c>
      <c r="QY135" s="21" t="str">
        <f t="shared" si="577"/>
        <v/>
      </c>
      <c r="QZ135" s="21" t="str">
        <f t="shared" si="578"/>
        <v/>
      </c>
      <c r="RA135" s="21" t="str">
        <f t="shared" si="579"/>
        <v/>
      </c>
      <c r="RB135" s="21" t="str">
        <f t="shared" si="580"/>
        <v/>
      </c>
      <c r="RC135" s="21" t="str">
        <f t="shared" si="581"/>
        <v/>
      </c>
      <c r="RD135" s="21" t="str">
        <f t="shared" si="582"/>
        <v/>
      </c>
      <c r="RE135" s="21" t="str">
        <f t="shared" si="583"/>
        <v/>
      </c>
      <c r="RF135" s="21" t="str">
        <f t="shared" si="584"/>
        <v/>
      </c>
      <c r="RG135" s="21" t="str">
        <f t="shared" si="585"/>
        <v/>
      </c>
      <c r="RH135" s="21" t="str">
        <f t="shared" si="586"/>
        <v/>
      </c>
      <c r="RI135" s="21" t="str">
        <f t="shared" si="587"/>
        <v/>
      </c>
      <c r="RJ135" s="21" t="str">
        <f t="shared" si="588"/>
        <v/>
      </c>
      <c r="RK135" s="21" t="str">
        <f t="shared" si="589"/>
        <v>BAJO PARA EDAD GESTACIONAL</v>
      </c>
      <c r="RL135" s="21" t="str">
        <f t="shared" si="590"/>
        <v/>
      </c>
      <c r="RM135" s="21" t="str">
        <f t="shared" si="591"/>
        <v/>
      </c>
      <c r="RN135" s="21" t="str">
        <f t="shared" si="592"/>
        <v/>
      </c>
      <c r="RO135" s="21" t="str">
        <f t="shared" si="593"/>
        <v/>
      </c>
      <c r="RP135" s="21" t="str">
        <f t="shared" si="594"/>
        <v/>
      </c>
      <c r="RQ135" s="21" t="str">
        <f t="shared" si="595"/>
        <v/>
      </c>
      <c r="RR135" s="21" t="str">
        <f t="shared" si="596"/>
        <v/>
      </c>
      <c r="RS135" s="21" t="str">
        <f t="shared" si="597"/>
        <v/>
      </c>
      <c r="RT135" s="21" t="str">
        <f t="shared" si="598"/>
        <v/>
      </c>
      <c r="RU135" s="21" t="str">
        <f t="shared" si="599"/>
        <v/>
      </c>
      <c r="RV135" s="21">
        <f t="shared" si="600"/>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3"/>
        <v>0</v>
      </c>
    </row>
    <row r="136" spans="1:493" s="338" customFormat="1"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1"/>
        <v>22.065753424657533</v>
      </c>
      <c r="O136" s="305">
        <v>44998</v>
      </c>
      <c r="P136" s="307" t="str">
        <f t="shared" si="438"/>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2"/>
        <v>10.7</v>
      </c>
      <c r="BR136" s="316">
        <f t="shared" si="603"/>
        <v>44852.2</v>
      </c>
      <c r="BS136" s="317">
        <f t="shared" si="604"/>
        <v>20.571428571428573</v>
      </c>
      <c r="BT136" s="318" t="str">
        <f t="shared" si="605"/>
        <v>II TRIM</v>
      </c>
      <c r="BU136" s="307" t="str">
        <f t="shared" ca="1" si="606"/>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7"/>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8"/>
        <v>45072</v>
      </c>
      <c r="CL136" s="309">
        <v>57.2</v>
      </c>
      <c r="CM136" s="307" t="str">
        <f t="shared" si="609"/>
        <v>SD</v>
      </c>
      <c r="CN136" s="318">
        <f t="shared" si="610"/>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9"/>
        <v>APARENTEMENTE NORMAL</v>
      </c>
      <c r="DA136" s="309">
        <v>90</v>
      </c>
      <c r="DB136" s="309">
        <v>60</v>
      </c>
      <c r="DC136" s="323" t="str">
        <f t="shared" si="611"/>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9"/>
        <v>CONCERTAR PLAN DE PARTO INMEDIATO</v>
      </c>
      <c r="DV136" s="324" t="str">
        <f t="shared" si="440"/>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2"/>
        <v>#REF!</v>
      </c>
      <c r="DY136" s="322">
        <f>IF(R136="","",IF(R136&gt;0,MAX(Tabla1[[#This Row],[FECHA C2]:[FECHA C13]],Tabla1[[#This Row],[FECHA CONSULTA PRIMERA VEZ PROGRAMA CPN ]])))</f>
        <v>45072</v>
      </c>
      <c r="DZ136" s="318">
        <f t="shared" si="613"/>
        <v>31</v>
      </c>
      <c r="EA136" s="315">
        <f>IF(R136&gt;0,SUM(COUNTA(DF136:DQ136)+COUNTA(Tabla1[[#This Row],[FECHA CONSULTA PRIMERA VEZ PROGRAMA CPN ]])),"")</f>
        <v>2</v>
      </c>
      <c r="EB136" s="315" t="str">
        <f t="shared" si="614"/>
        <v>NO</v>
      </c>
      <c r="EC136" s="307">
        <f t="shared" si="615"/>
        <v>6</v>
      </c>
      <c r="ED136" s="325">
        <f t="shared" si="616"/>
        <v>0.33333333333333331</v>
      </c>
      <c r="EE136" s="305">
        <v>44998</v>
      </c>
      <c r="EF136" s="305">
        <v>44998</v>
      </c>
      <c r="EG136" s="305">
        <v>44998</v>
      </c>
      <c r="EH136" s="305"/>
      <c r="EI136" s="305">
        <v>44998</v>
      </c>
      <c r="EJ136" s="305"/>
      <c r="EK136" s="305"/>
      <c r="EL136" s="309"/>
      <c r="EM136" s="309">
        <v>13</v>
      </c>
      <c r="EN136" s="305">
        <v>45016</v>
      </c>
      <c r="EO136" s="315">
        <f t="shared" si="617"/>
        <v>23.142857142857142</v>
      </c>
      <c r="EP136" s="307" t="str">
        <f t="shared" si="618"/>
        <v>NORMAL- SUMINISTRAR SULFATO FERROSO</v>
      </c>
      <c r="EQ136" s="318" t="str">
        <f t="shared" si="619"/>
        <v>II TRIM</v>
      </c>
      <c r="ER136" s="310"/>
      <c r="ES136" s="305"/>
      <c r="ET136" s="326" t="str">
        <f t="shared" ca="1" si="441"/>
        <v>TOMA DE HEMOGLOBINA TARDÍA</v>
      </c>
      <c r="EU136" s="319" t="str">
        <f t="shared" si="620"/>
        <v/>
      </c>
      <c r="EV136" s="310" t="s">
        <v>1510</v>
      </c>
      <c r="EW136" s="310">
        <v>45016</v>
      </c>
      <c r="EX136" s="305"/>
      <c r="EY136" s="326">
        <f t="shared" si="454"/>
        <v>23.142857142857142</v>
      </c>
      <c r="EZ136" s="319" t="str">
        <f t="shared" si="455"/>
        <v>SIN RIESGO DE ISOINMUNIZACIÓN</v>
      </c>
      <c r="FA136" s="309">
        <v>93</v>
      </c>
      <c r="FB136" s="305">
        <v>45016</v>
      </c>
      <c r="FC136" s="326">
        <f t="shared" si="621"/>
        <v>23.142857142857142</v>
      </c>
      <c r="FD136" s="326"/>
      <c r="FE136" s="326"/>
      <c r="FF136" s="326"/>
      <c r="FG136" s="309" t="str">
        <f t="shared" ca="1" si="622"/>
        <v/>
      </c>
      <c r="FH136" s="327"/>
      <c r="FI136" s="326" t="str">
        <f t="shared" si="623"/>
        <v>TOMAR EXAMEN</v>
      </c>
      <c r="FJ136" s="305"/>
      <c r="FK136" s="305"/>
      <c r="FL136" s="326" t="str">
        <f t="shared" ca="1" si="624"/>
        <v>NO APLICA-INGRESO TARDIO</v>
      </c>
      <c r="FM136" s="305" t="s">
        <v>867</v>
      </c>
      <c r="FN136" s="328">
        <v>45016</v>
      </c>
      <c r="FO136" s="326">
        <f t="shared" ca="1" si="442"/>
        <v>23.142857142857142</v>
      </c>
      <c r="FP136" s="305"/>
      <c r="FQ136" s="328"/>
      <c r="FR136" s="326" t="str">
        <f t="shared" ca="1" si="443"/>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5"/>
        <v>TOMAR EXAMEN</v>
      </c>
      <c r="FY136" s="305">
        <v>44999</v>
      </c>
      <c r="FZ136" s="305">
        <v>44999</v>
      </c>
      <c r="GA136" s="326" t="str">
        <f t="shared" si="498"/>
        <v>REGISTRAR EN II TRIMESTRE</v>
      </c>
      <c r="GB136" s="305" t="s">
        <v>868</v>
      </c>
      <c r="GC136" s="305">
        <v>45016</v>
      </c>
      <c r="GD136" s="326">
        <f t="shared" ca="1" si="491"/>
        <v>23.142857142857142</v>
      </c>
      <c r="GE136" s="305"/>
      <c r="GF136" s="305"/>
      <c r="GG136" s="326" t="str">
        <f t="shared" ca="1" si="445"/>
        <v>TOMA INMEDIATA DE TAMIZAJE</v>
      </c>
      <c r="GH136" s="305"/>
      <c r="GI136" s="326"/>
      <c r="GJ136" s="305"/>
      <c r="GK136" s="305"/>
      <c r="GL136" s="305"/>
      <c r="GM136" s="305"/>
      <c r="GN136" s="320"/>
      <c r="GO136" s="305"/>
      <c r="GP136" s="326" t="str">
        <f t="shared" si="626"/>
        <v>TOMAR EXAMEN</v>
      </c>
      <c r="GQ136" s="320"/>
      <c r="GR136" s="320"/>
      <c r="GS136" s="305" t="str">
        <f t="shared" si="627"/>
        <v/>
      </c>
      <c r="GT136" s="305"/>
      <c r="GU136" s="326" t="str">
        <f t="shared" si="628"/>
        <v>TOMAR EXAMEN</v>
      </c>
      <c r="GV136" s="309" t="str">
        <f t="shared" si="629"/>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30"/>
        <v>#REF!</v>
      </c>
      <c r="HI136" s="305" t="e">
        <f t="shared" ca="1" si="631"/>
        <v>#REF!</v>
      </c>
      <c r="HJ136" s="309" t="str">
        <f t="shared" ca="1" si="632"/>
        <v>***************************************</v>
      </c>
      <c r="HK136" s="309" t="str">
        <f t="shared" si="633"/>
        <v>SIN ANTECEDENTES DE RIESGO</v>
      </c>
      <c r="HL136" s="310" t="str">
        <f t="shared" si="634"/>
        <v>APARENTEMENTE NORMAL</v>
      </c>
      <c r="HM136" s="309" t="e">
        <f t="shared" ca="1" si="635"/>
        <v>#REF!</v>
      </c>
      <c r="HN136" s="329" t="str">
        <f t="shared" si="446"/>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6"/>
        <v>20.571428571428573</v>
      </c>
      <c r="IA136" s="308" t="s">
        <v>864</v>
      </c>
      <c r="IB136" s="308"/>
      <c r="IC136" s="330"/>
      <c r="ID136" s="305"/>
      <c r="IE136" s="305" t="str">
        <f t="shared" ca="1" si="637"/>
        <v/>
      </c>
      <c r="IF136" s="305"/>
      <c r="IG136" s="305">
        <f t="shared" si="638"/>
        <v>45134</v>
      </c>
      <c r="IH136" s="326">
        <f t="shared" ca="1" si="639"/>
        <v>-98</v>
      </c>
      <c r="II136" s="305" t="str">
        <f t="shared" ca="1" si="640"/>
        <v>POSIBLEMENTE NACIO</v>
      </c>
      <c r="IJ136" s="305"/>
      <c r="IK136" s="309"/>
      <c r="IL136" s="309"/>
      <c r="IM136" s="331"/>
      <c r="IN136" s="350"/>
      <c r="IO136" s="309"/>
      <c r="IP136" s="326" t="str">
        <f t="shared" si="490"/>
        <v/>
      </c>
      <c r="IQ136" s="332"/>
      <c r="IR136" s="309"/>
      <c r="IS136" s="309"/>
      <c r="IT136" s="309"/>
      <c r="IU136" s="309"/>
      <c r="IV136" s="309"/>
      <c r="IW136" s="309"/>
      <c r="IX136" s="309"/>
      <c r="IY136" s="309"/>
      <c r="IZ136" s="309"/>
      <c r="JA136" s="309"/>
      <c r="JB136" s="329">
        <v>1</v>
      </c>
      <c r="JC136" s="309" t="s">
        <v>1643</v>
      </c>
      <c r="JD136" s="333">
        <v>2970</v>
      </c>
      <c r="JE136" s="309" t="str">
        <f t="shared" si="492"/>
        <v>PESO ADECUADO EDAD GESTACIONAL</v>
      </c>
      <c r="JF136" s="329"/>
      <c r="JG136" s="309"/>
      <c r="JH136" s="309"/>
      <c r="JI136" s="309" t="s">
        <v>854</v>
      </c>
      <c r="JJ136" s="329" t="s">
        <v>866</v>
      </c>
      <c r="JK136" s="305"/>
      <c r="JL136" s="305"/>
      <c r="JM136" s="309"/>
      <c r="JN136" s="333"/>
      <c r="JO136" s="309" t="str">
        <f t="shared" si="493"/>
        <v/>
      </c>
      <c r="JP136" s="305"/>
      <c r="JQ136" s="309"/>
      <c r="JR136" s="309"/>
      <c r="JS136" s="309"/>
      <c r="JT136" s="329"/>
      <c r="JU136" s="305"/>
      <c r="JV136" s="305"/>
      <c r="JW136" s="334"/>
      <c r="JX136" s="320" t="str">
        <f t="shared" si="494"/>
        <v/>
      </c>
      <c r="JY136" s="334"/>
      <c r="JZ136" s="320" t="str">
        <f t="shared" si="495"/>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41"/>
        <v>0</v>
      </c>
      <c r="MI136" s="43" t="str">
        <f t="shared" si="642"/>
        <v/>
      </c>
      <c r="MJ136" s="43" t="str">
        <f t="shared" si="643"/>
        <v/>
      </c>
      <c r="MK136" s="43">
        <f t="shared" si="644"/>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5"/>
        <v>20.571428571428573</v>
      </c>
      <c r="MN136" s="43">
        <f t="shared" si="646"/>
        <v>3</v>
      </c>
      <c r="MO136" s="43">
        <f t="shared" si="647"/>
        <v>2023</v>
      </c>
      <c r="MP136" s="43" t="str">
        <f t="shared" si="648"/>
        <v>I TRIMESTRE AÑO</v>
      </c>
      <c r="MQ136" s="43">
        <f t="shared" si="649"/>
        <v>21.10435830048182</v>
      </c>
      <c r="MR136" s="43">
        <f t="shared" si="650"/>
        <v>0</v>
      </c>
      <c r="MS136" s="43" t="str">
        <f t="shared" si="651"/>
        <v xml:space="preserve"> DE 20 A 24 AÑOS</v>
      </c>
      <c r="MT136" s="43">
        <f t="shared" si="652"/>
        <v>0</v>
      </c>
      <c r="MU136" s="43">
        <f t="shared" si="653"/>
        <v>0</v>
      </c>
      <c r="MV136" s="43">
        <f t="shared" si="654"/>
        <v>0</v>
      </c>
      <c r="MW136" s="43">
        <f t="shared" si="655"/>
        <v>0</v>
      </c>
      <c r="MX136" s="43" t="str">
        <f t="shared" si="656"/>
        <v/>
      </c>
      <c r="MY136" s="43" t="str">
        <f t="shared" ca="1" si="496"/>
        <v/>
      </c>
      <c r="MZ136" s="43" t="str">
        <f t="shared" si="657"/>
        <v/>
      </c>
      <c r="NA136" s="43">
        <f t="shared" si="658"/>
        <v>0</v>
      </c>
      <c r="NB136" s="43" t="str">
        <f t="shared" si="659"/>
        <v/>
      </c>
      <c r="NC136" s="43" t="str">
        <f t="shared" si="660"/>
        <v/>
      </c>
      <c r="ND136" s="43">
        <f t="shared" ca="1" si="661"/>
        <v>0</v>
      </c>
      <c r="NE136" s="43">
        <f>IF(OR(O136&gt;0,R136&gt;0),SUM(COUNTIF(Tabla1[[#This Row],[AÑOS AL INICIO5 CPN]],"&gt;=40"),COUNTIF(AS136,"0"),COUNTIF(AR136,"SI"),COUNTIF(CC136,"SI"),COUNTIF(BQ136,"&gt;119"),COUNTIF(CI136,"&gt;=35")),"")</f>
        <v>0</v>
      </c>
      <c r="NF136" s="43" t="str">
        <f t="shared" si="662"/>
        <v/>
      </c>
      <c r="NG136" s="43">
        <f t="shared" si="663"/>
        <v>0</v>
      </c>
      <c r="NH136" s="43">
        <f t="shared" si="664"/>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5"/>
        <v>X</v>
      </c>
      <c r="NM136" s="43" t="str">
        <f t="shared" si="501"/>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6"/>
        <v>II TRIM</v>
      </c>
      <c r="NQ136" s="21" t="str">
        <f t="shared" si="500"/>
        <v/>
      </c>
      <c r="NR136" s="21" t="str">
        <f t="shared" ca="1" si="497"/>
        <v>REVISAR FUM O FECHA SALIDA PROGRAMA</v>
      </c>
      <c r="NS136" s="205">
        <f t="shared" ca="1" si="667"/>
        <v>1</v>
      </c>
      <c r="NT136" s="21">
        <f t="shared" ca="1" si="668"/>
        <v>1</v>
      </c>
      <c r="NU136" s="21" t="str">
        <f t="shared" ca="1" si="669"/>
        <v>POR DEFINIR</v>
      </c>
      <c r="NV136" s="21" t="str">
        <f t="shared" ca="1" si="670"/>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71"/>
        <v>SIN VACUNAR</v>
      </c>
      <c r="NY136" s="43">
        <f>ROW(Tabla1[[#This Row],['# DE TAMIZAJES SIFILIS TOMADOS ]])</f>
        <v>136</v>
      </c>
      <c r="NZ136" s="43">
        <f t="shared" si="502"/>
        <v>20</v>
      </c>
      <c r="OA136" s="43" t="str">
        <f t="shared" si="503"/>
        <v/>
      </c>
      <c r="OB136" s="43" t="str">
        <f t="shared" si="504"/>
        <v/>
      </c>
      <c r="OC136" s="43" t="str">
        <f t="shared" si="505"/>
        <v/>
      </c>
      <c r="OD136" s="43" t="str">
        <f t="shared" si="506"/>
        <v/>
      </c>
      <c r="OE136" s="43" t="str">
        <f t="shared" si="507"/>
        <v/>
      </c>
      <c r="OF136" s="43" t="str">
        <f t="shared" si="508"/>
        <v/>
      </c>
      <c r="OG136" s="43" t="str">
        <f t="shared" si="509"/>
        <v/>
      </c>
      <c r="OH136" s="43" t="str">
        <f t="shared" si="510"/>
        <v/>
      </c>
      <c r="OI136" s="43" t="str">
        <f t="shared" si="511"/>
        <v/>
      </c>
      <c r="OJ136" s="43" t="str">
        <f t="shared" si="512"/>
        <v/>
      </c>
      <c r="OK136" s="43" t="str">
        <f t="shared" si="513"/>
        <v/>
      </c>
      <c r="OL136" s="43" t="str">
        <f t="shared" si="514"/>
        <v/>
      </c>
      <c r="OM136" s="43" t="str">
        <f t="shared" si="515"/>
        <v/>
      </c>
      <c r="ON136" s="43" t="str">
        <f t="shared" si="516"/>
        <v/>
      </c>
      <c r="OO136" s="43" t="str">
        <f t="shared" si="517"/>
        <v/>
      </c>
      <c r="OP136" s="43" t="str">
        <f t="shared" si="518"/>
        <v/>
      </c>
      <c r="OQ136" s="43" t="str">
        <f t="shared" si="519"/>
        <v/>
      </c>
      <c r="OR136" s="43" t="str">
        <f t="shared" si="520"/>
        <v/>
      </c>
      <c r="OS136" s="43" t="str">
        <f t="shared" si="521"/>
        <v/>
      </c>
      <c r="OT136" s="43" t="str">
        <f t="shared" si="522"/>
        <v/>
      </c>
      <c r="OU136" s="43" t="str">
        <f t="shared" si="523"/>
        <v/>
      </c>
      <c r="OV136" s="110" t="str">
        <f t="shared" si="524"/>
        <v/>
      </c>
      <c r="OW136" s="43" t="str">
        <f t="shared" si="525"/>
        <v/>
      </c>
      <c r="OX136" s="43" t="str">
        <f t="shared" si="526"/>
        <v/>
      </c>
      <c r="OY136" s="43" t="str">
        <f t="shared" si="527"/>
        <v/>
      </c>
      <c r="OZ136" s="43" t="str">
        <f t="shared" si="528"/>
        <v/>
      </c>
      <c r="PA136" s="43" t="str">
        <f t="shared" si="529"/>
        <v/>
      </c>
      <c r="PB136" s="43" t="str">
        <f t="shared" si="530"/>
        <v/>
      </c>
      <c r="PC136" s="43" t="str">
        <f t="shared" si="531"/>
        <v/>
      </c>
      <c r="PD136" s="43" t="str">
        <f t="shared" si="532"/>
        <v/>
      </c>
      <c r="PE136" s="43" t="str">
        <f t="shared" si="533"/>
        <v/>
      </c>
      <c r="PF136" s="43" t="str">
        <f t="shared" si="534"/>
        <v/>
      </c>
      <c r="PG136" s="43" t="str">
        <f t="shared" si="535"/>
        <v/>
      </c>
      <c r="PH136" s="43" t="str">
        <f t="shared" si="536"/>
        <v/>
      </c>
      <c r="PI136" s="43">
        <f t="shared" si="537"/>
        <v>31</v>
      </c>
      <c r="PJ136" s="43" t="str">
        <f t="shared" si="538"/>
        <v/>
      </c>
      <c r="PK136" s="43" t="str">
        <f t="shared" si="539"/>
        <v/>
      </c>
      <c r="PL136" s="43" t="str">
        <f t="shared" si="540"/>
        <v/>
      </c>
      <c r="PM136" s="43" t="str">
        <f t="shared" si="541"/>
        <v/>
      </c>
      <c r="PN136" s="43" t="str">
        <f t="shared" si="542"/>
        <v/>
      </c>
      <c r="PO136" s="43" t="str">
        <f t="shared" si="543"/>
        <v/>
      </c>
      <c r="PP136" s="43" t="str">
        <f t="shared" si="544"/>
        <v/>
      </c>
      <c r="PQ136" s="43" t="str">
        <f t="shared" si="545"/>
        <v/>
      </c>
      <c r="PR136" s="43" t="str">
        <f t="shared" si="546"/>
        <v/>
      </c>
      <c r="PS136" s="43" t="str">
        <f t="shared" si="547"/>
        <v/>
      </c>
      <c r="PT136" s="43" t="str">
        <f t="shared" si="548"/>
        <v/>
      </c>
      <c r="PU136" s="43" t="str">
        <f t="shared" si="549"/>
        <v/>
      </c>
      <c r="PV136" s="43" t="str">
        <f t="shared" si="550"/>
        <v/>
      </c>
      <c r="PW136" s="43" t="str">
        <f t="shared" si="551"/>
        <v/>
      </c>
      <c r="PX136" s="43" t="str">
        <f t="shared" si="552"/>
        <v/>
      </c>
      <c r="PY136" s="43" t="str">
        <f t="shared" si="553"/>
        <v/>
      </c>
      <c r="PZ136" s="43" t="str">
        <f t="shared" si="554"/>
        <v/>
      </c>
      <c r="QA136" s="43" t="str">
        <f t="shared" si="555"/>
        <v/>
      </c>
      <c r="QB136" s="43" t="str">
        <f t="shared" si="556"/>
        <v/>
      </c>
      <c r="QC136" s="43" t="str">
        <f t="shared" si="557"/>
        <v/>
      </c>
      <c r="QD136" s="43" t="str">
        <f t="shared" si="558"/>
        <v/>
      </c>
      <c r="QE136" s="43" t="str">
        <f t="shared" si="559"/>
        <v/>
      </c>
      <c r="QF136" s="43" t="str">
        <f t="shared" si="560"/>
        <v/>
      </c>
      <c r="QG136" s="43" t="str">
        <f t="shared" si="561"/>
        <v/>
      </c>
      <c r="QH136" s="43" t="str">
        <f t="shared" si="562"/>
        <v/>
      </c>
      <c r="QI136" s="43" t="str">
        <f t="shared" si="563"/>
        <v/>
      </c>
      <c r="QJ136" s="43" t="str">
        <f t="shared" si="564"/>
        <v/>
      </c>
      <c r="QK136" s="43" t="str">
        <f t="shared" si="565"/>
        <v/>
      </c>
      <c r="QL136" s="43" t="str">
        <f t="shared" si="566"/>
        <v/>
      </c>
      <c r="QM136" s="43" t="str">
        <f t="shared" si="567"/>
        <v/>
      </c>
      <c r="QN136" s="43" t="str">
        <f t="shared" si="568"/>
        <v/>
      </c>
      <c r="QO136" s="43" t="str">
        <f t="shared" si="569"/>
        <v/>
      </c>
      <c r="QP136" s="43" t="str">
        <f t="shared" si="570"/>
        <v/>
      </c>
      <c r="QQ136" s="43" t="str">
        <f t="shared" si="571"/>
        <v/>
      </c>
      <c r="QR136" s="43">
        <f t="shared" si="672"/>
        <v>31</v>
      </c>
      <c r="QS136" s="43"/>
      <c r="QT136" s="21" t="str">
        <f t="shared" si="572"/>
        <v/>
      </c>
      <c r="QU136" s="21" t="str">
        <f t="shared" si="573"/>
        <v/>
      </c>
      <c r="QV136" s="21" t="str">
        <f t="shared" si="574"/>
        <v/>
      </c>
      <c r="QW136" s="21" t="str">
        <f t="shared" si="575"/>
        <v/>
      </c>
      <c r="QX136" s="21" t="str">
        <f t="shared" si="576"/>
        <v/>
      </c>
      <c r="QY136" s="21" t="str">
        <f t="shared" si="577"/>
        <v/>
      </c>
      <c r="QZ136" s="21" t="str">
        <f t="shared" si="578"/>
        <v/>
      </c>
      <c r="RA136" s="21" t="str">
        <f t="shared" si="579"/>
        <v/>
      </c>
      <c r="RB136" s="21" t="str">
        <f t="shared" si="580"/>
        <v/>
      </c>
      <c r="RC136" s="21" t="str">
        <f t="shared" si="581"/>
        <v/>
      </c>
      <c r="RD136" s="21" t="str">
        <f t="shared" si="582"/>
        <v/>
      </c>
      <c r="RE136" s="21" t="str">
        <f t="shared" si="583"/>
        <v/>
      </c>
      <c r="RF136" s="21" t="str">
        <f t="shared" si="584"/>
        <v/>
      </c>
      <c r="RG136" s="21" t="str">
        <f t="shared" si="585"/>
        <v/>
      </c>
      <c r="RH136" s="21" t="str">
        <f t="shared" si="586"/>
        <v/>
      </c>
      <c r="RI136" s="21" t="str">
        <f t="shared" si="587"/>
        <v/>
      </c>
      <c r="RJ136" s="21" t="str">
        <f t="shared" si="588"/>
        <v/>
      </c>
      <c r="RK136" s="21" t="str">
        <f t="shared" si="589"/>
        <v/>
      </c>
      <c r="RL136" s="21" t="str">
        <f t="shared" si="590"/>
        <v>ADECUADO PARA EDAD GESTACIONAL</v>
      </c>
      <c r="RM136" s="21" t="str">
        <f t="shared" si="591"/>
        <v/>
      </c>
      <c r="RN136" s="21" t="str">
        <f t="shared" si="592"/>
        <v/>
      </c>
      <c r="RO136" s="21" t="str">
        <f t="shared" si="593"/>
        <v/>
      </c>
      <c r="RP136" s="21" t="str">
        <f t="shared" si="594"/>
        <v/>
      </c>
      <c r="RQ136" s="21" t="str">
        <f t="shared" si="595"/>
        <v/>
      </c>
      <c r="RR136" s="21" t="str">
        <f t="shared" si="596"/>
        <v/>
      </c>
      <c r="RS136" s="21" t="str">
        <f t="shared" si="597"/>
        <v/>
      </c>
      <c r="RT136" s="21" t="str">
        <f t="shared" si="598"/>
        <v/>
      </c>
      <c r="RU136" s="21" t="str">
        <f t="shared" si="599"/>
        <v/>
      </c>
      <c r="RV136" s="21">
        <f t="shared" si="600"/>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3"/>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1"/>
        <v>30.358904109589041</v>
      </c>
      <c r="O137" s="22">
        <v>45015</v>
      </c>
      <c r="P137" s="214" t="str">
        <f t="shared" si="438"/>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2"/>
        <v>72.333333333333329</v>
      </c>
      <c r="BR137" s="223">
        <f t="shared" si="603"/>
        <v>44981</v>
      </c>
      <c r="BS137" s="224">
        <f t="shared" si="604"/>
        <v>4.8571428571428568</v>
      </c>
      <c r="BT137" s="216" t="str">
        <f t="shared" si="605"/>
        <v>I TRIM</v>
      </c>
      <c r="BU137" s="214">
        <f t="shared" ca="1" si="606"/>
        <v>35.857142857142854</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7"/>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8"/>
        <v>45142</v>
      </c>
      <c r="CL137" s="21">
        <v>72.5</v>
      </c>
      <c r="CM137" s="214">
        <f t="shared" si="609"/>
        <v>28.320312499999993</v>
      </c>
      <c r="CN137" s="216">
        <f t="shared" si="610"/>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9"/>
        <v/>
      </c>
      <c r="DA137" s="21">
        <v>110</v>
      </c>
      <c r="DB137" s="21">
        <v>70</v>
      </c>
      <c r="DC137" s="217" t="str">
        <f t="shared" si="611"/>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9"/>
        <v>CONCERTAR PLAN DE PARTO INMEDIATO</v>
      </c>
      <c r="DV137" s="226" t="str">
        <f t="shared" si="440"/>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2"/>
        <v>#REF!</v>
      </c>
      <c r="DY137" s="212">
        <f>IF(R137="","",IF(R137&gt;0,MAX(Tabla1[[#This Row],[FECHA C2]:[FECHA C13]],Tabla1[[#This Row],[FECHA CONSULTA PRIMERA VEZ PROGRAMA CPN ]])))</f>
        <v>45142</v>
      </c>
      <c r="DZ137" s="216">
        <f t="shared" si="613"/>
        <v>23</v>
      </c>
      <c r="EA137" s="222">
        <f>IF(R137&gt;0,SUM(COUNTA(DF137:DQ137)+COUNTA(Tabla1[[#This Row],[FECHA CONSULTA PRIMERA VEZ PROGRAMA CPN ]])),"")</f>
        <v>5</v>
      </c>
      <c r="EB137" s="222" t="str">
        <f t="shared" si="614"/>
        <v>SI</v>
      </c>
      <c r="EC137" s="214">
        <f t="shared" si="615"/>
        <v>10</v>
      </c>
      <c r="ED137" s="227">
        <f t="shared" si="616"/>
        <v>0.5</v>
      </c>
      <c r="EE137" s="22">
        <v>45015</v>
      </c>
      <c r="EF137" s="22">
        <v>45015</v>
      </c>
      <c r="EG137" s="22">
        <v>45015</v>
      </c>
      <c r="EH137" s="22">
        <v>45035</v>
      </c>
      <c r="EI137" s="22">
        <v>45015</v>
      </c>
      <c r="EJ137" s="22">
        <v>45035</v>
      </c>
      <c r="EK137" s="344">
        <v>45035</v>
      </c>
      <c r="EL137" s="21"/>
      <c r="EM137" s="21">
        <v>13</v>
      </c>
      <c r="EN137" s="22">
        <v>45015</v>
      </c>
      <c r="EO137" s="222">
        <f t="shared" si="617"/>
        <v>4.8571428571428568</v>
      </c>
      <c r="EP137" s="214" t="str">
        <f t="shared" si="618"/>
        <v>NORMAL- SUMINISTRAR SULFATO FERROSO</v>
      </c>
      <c r="EQ137" s="216" t="str">
        <f t="shared" si="619"/>
        <v>I TRIM</v>
      </c>
      <c r="ER137" s="24"/>
      <c r="ES137" s="22"/>
      <c r="ET137" s="29" t="str">
        <f t="shared" ca="1" si="441"/>
        <v>TOMA DE HEMOGLOBINA TARDÍA</v>
      </c>
      <c r="EU137" s="25" t="str">
        <f t="shared" si="620"/>
        <v/>
      </c>
      <c r="EV137" s="24" t="s">
        <v>1510</v>
      </c>
      <c r="EW137" s="32">
        <v>45015</v>
      </c>
      <c r="EX137" s="22"/>
      <c r="EY137" s="29">
        <f t="shared" si="454"/>
        <v>4.8571428571428568</v>
      </c>
      <c r="EZ137" s="25" t="str">
        <f t="shared" si="455"/>
        <v>SIN RIESGO DE ISOINMUNIZACIÓN</v>
      </c>
      <c r="FA137" s="21">
        <v>66</v>
      </c>
      <c r="FB137" s="22">
        <v>45016</v>
      </c>
      <c r="FC137" s="29">
        <f t="shared" si="621"/>
        <v>5</v>
      </c>
      <c r="FD137" s="29"/>
      <c r="FE137" s="29"/>
      <c r="FF137" s="29"/>
      <c r="FG137" s="21" t="str">
        <f t="shared" ca="1" si="622"/>
        <v>TOMAR PTOG</v>
      </c>
      <c r="FH137" s="31"/>
      <c r="FI137" s="29" t="str">
        <f t="shared" si="623"/>
        <v>TOMAR EXAMEN</v>
      </c>
      <c r="FJ137" s="22" t="s">
        <v>867</v>
      </c>
      <c r="FK137" s="22">
        <v>45015</v>
      </c>
      <c r="FL137" s="29">
        <f t="shared" ca="1" si="624"/>
        <v>4.8571428571428568</v>
      </c>
      <c r="FM137" s="22"/>
      <c r="FN137" s="32"/>
      <c r="FO137" s="29" t="str">
        <f t="shared" ca="1" si="442"/>
        <v>PIERDE TOMA DE TAMIZAJE</v>
      </c>
      <c r="FP137" s="22"/>
      <c r="FQ137" s="32"/>
      <c r="FR137" s="29" t="str">
        <f t="shared" ca="1" si="443"/>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5"/>
        <v>TOMAR EXAMEN</v>
      </c>
      <c r="FY137" s="22">
        <v>45015</v>
      </c>
      <c r="FZ137" s="22">
        <v>45015</v>
      </c>
      <c r="GA137" s="29">
        <f t="shared" ca="1" si="498"/>
        <v>4.8571428571428568</v>
      </c>
      <c r="GB137" s="22"/>
      <c r="GC137" s="22"/>
      <c r="GD137" s="29" t="str">
        <f t="shared" ca="1" si="491"/>
        <v>PIERDE TOMA DE TAMIZAJE</v>
      </c>
      <c r="GE137" s="22"/>
      <c r="GF137" s="22"/>
      <c r="GG137" s="29" t="str">
        <f t="shared" ca="1" si="445"/>
        <v>TOMA INMEDIATA DE TAMIZAJE</v>
      </c>
      <c r="GH137" s="22"/>
      <c r="GI137" s="29"/>
      <c r="GJ137" s="22"/>
      <c r="GK137" s="22"/>
      <c r="GL137" s="22"/>
      <c r="GM137" s="22"/>
      <c r="GN137" s="28" t="s">
        <v>869</v>
      </c>
      <c r="GO137" s="22">
        <v>45019</v>
      </c>
      <c r="GP137" s="29">
        <f t="shared" si="626"/>
        <v>5.4285714285714288</v>
      </c>
      <c r="GQ137" s="28" t="s">
        <v>869</v>
      </c>
      <c r="GR137" s="28" t="s">
        <v>869</v>
      </c>
      <c r="GS137" s="22" t="str">
        <f t="shared" si="627"/>
        <v>CONTROL Igm</v>
      </c>
      <c r="GT137" s="22">
        <v>45015</v>
      </c>
      <c r="GU137" s="29">
        <f t="shared" si="628"/>
        <v>4.8571428571428568</v>
      </c>
      <c r="GV137" s="21" t="str">
        <f t="shared" si="629"/>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30"/>
        <v>#REF!</v>
      </c>
      <c r="HI137" s="22" t="e">
        <f t="shared" ca="1" si="631"/>
        <v>#REF!</v>
      </c>
      <c r="HJ137" s="21" t="str">
        <f t="shared" ca="1" si="632"/>
        <v>***************************************</v>
      </c>
      <c r="HK137" s="21" t="str">
        <f t="shared" si="633"/>
        <v>SIN ANTECEDENTES DE RIESGO</v>
      </c>
      <c r="HL137" s="24" t="str">
        <f t="shared" si="634"/>
        <v>APARENTEMENTE NORMAL</v>
      </c>
      <c r="HM137" s="21" t="e">
        <f t="shared" ca="1" si="635"/>
        <v>#REF!</v>
      </c>
      <c r="HN137" s="30" t="str">
        <f t="shared" si="446"/>
        <v>ACTIVA INGRESO A CPN</v>
      </c>
      <c r="HO137" s="21"/>
      <c r="HP137" s="21"/>
      <c r="HQ137" s="349"/>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6"/>
        <v>4.8571428571428568</v>
      </c>
      <c r="IA137" s="26" t="s">
        <v>864</v>
      </c>
      <c r="IB137" s="26"/>
      <c r="IC137" s="111"/>
      <c r="ID137" s="22"/>
      <c r="IE137" s="22" t="str">
        <f t="shared" ca="1" si="637"/>
        <v>INASISTENTE</v>
      </c>
      <c r="IF137" s="22"/>
      <c r="IG137" s="22">
        <f t="shared" si="638"/>
        <v>45261</v>
      </c>
      <c r="IH137" s="29">
        <f t="shared" ca="1" si="639"/>
        <v>29</v>
      </c>
      <c r="II137" s="22" t="str">
        <f t="shared" ca="1" si="640"/>
        <v>PENDIENTE</v>
      </c>
      <c r="IJ137" s="22"/>
      <c r="IK137" s="21"/>
      <c r="IL137" s="21"/>
      <c r="IM137" s="34"/>
      <c r="IN137" s="22"/>
      <c r="IO137" s="21"/>
      <c r="IP137" s="29" t="str">
        <f t="shared" si="490"/>
        <v/>
      </c>
      <c r="IQ137" s="35"/>
      <c r="IR137" s="21"/>
      <c r="IS137" s="21"/>
      <c r="IT137" s="21"/>
      <c r="IU137" s="21"/>
      <c r="IV137" s="21"/>
      <c r="IW137" s="21"/>
      <c r="IX137" s="21"/>
      <c r="IY137" s="21"/>
      <c r="IZ137" s="21"/>
      <c r="JA137" s="21"/>
      <c r="JB137" s="30"/>
      <c r="JC137" s="21"/>
      <c r="JD137" s="36"/>
      <c r="JE137" s="21" t="str">
        <f t="shared" si="492"/>
        <v/>
      </c>
      <c r="JF137" s="30"/>
      <c r="JG137" s="21"/>
      <c r="JH137" s="21"/>
      <c r="JI137" s="21"/>
      <c r="JJ137" s="30"/>
      <c r="JK137" s="22"/>
      <c r="JL137" s="22"/>
      <c r="JM137" s="21"/>
      <c r="JN137" s="36"/>
      <c r="JO137" s="21" t="str">
        <f t="shared" si="493"/>
        <v/>
      </c>
      <c r="JP137" s="22"/>
      <c r="JQ137" s="21"/>
      <c r="JR137" s="21"/>
      <c r="JS137" s="21"/>
      <c r="JT137" s="30"/>
      <c r="JU137" s="22"/>
      <c r="JV137" s="22"/>
      <c r="JW137" s="33"/>
      <c r="JX137" s="28" t="str">
        <f t="shared" si="494"/>
        <v/>
      </c>
      <c r="JY137" s="33"/>
      <c r="JZ137" s="28" t="str">
        <f t="shared" si="495"/>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41"/>
        <v>0</v>
      </c>
      <c r="MI137" s="43" t="str">
        <f t="shared" si="642"/>
        <v/>
      </c>
      <c r="MJ137" s="43" t="str">
        <f t="shared" si="643"/>
        <v/>
      </c>
      <c r="MK137" s="43">
        <f t="shared" si="644"/>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5"/>
        <v>4.8571428571428568</v>
      </c>
      <c r="MN137" s="43">
        <f t="shared" si="646"/>
        <v>3</v>
      </c>
      <c r="MO137" s="43">
        <f t="shared" si="647"/>
        <v>2023</v>
      </c>
      <c r="MP137" s="43" t="str">
        <f t="shared" si="648"/>
        <v>I TRIMESTRE AÑO</v>
      </c>
      <c r="MQ137" s="43">
        <f t="shared" si="649"/>
        <v>29.31723609286027</v>
      </c>
      <c r="MR137" s="43">
        <f t="shared" si="650"/>
        <v>0</v>
      </c>
      <c r="MS137" s="43" t="str">
        <f t="shared" si="651"/>
        <v xml:space="preserve"> DE 25 A 29 AÑOS</v>
      </c>
      <c r="MT137" s="43">
        <f t="shared" si="652"/>
        <v>0</v>
      </c>
      <c r="MU137" s="43">
        <f t="shared" si="653"/>
        <v>0</v>
      </c>
      <c r="MV137" s="43">
        <f t="shared" si="654"/>
        <v>0</v>
      </c>
      <c r="MW137" s="43">
        <f t="shared" si="655"/>
        <v>0</v>
      </c>
      <c r="MX137" s="43" t="str">
        <f t="shared" si="656"/>
        <v/>
      </c>
      <c r="MY137" s="43" t="str">
        <f t="shared" ca="1" si="496"/>
        <v/>
      </c>
      <c r="MZ137" s="43" t="str">
        <f t="shared" si="657"/>
        <v/>
      </c>
      <c r="NA137" s="43" t="str">
        <f t="shared" si="658"/>
        <v/>
      </c>
      <c r="NB137" s="43" t="str">
        <f t="shared" si="659"/>
        <v/>
      </c>
      <c r="NC137" s="43" t="str">
        <f t="shared" si="660"/>
        <v/>
      </c>
      <c r="ND137" s="43">
        <f t="shared" ca="1" si="661"/>
        <v>0</v>
      </c>
      <c r="NE137" s="43">
        <f>IF(OR(O137&gt;0,R137&gt;0),SUM(COUNTIF(Tabla1[[#This Row],[AÑOS AL INICIO5 CPN]],"&gt;=40"),COUNTIF(AS137,"0"),COUNTIF(AR137,"SI"),COUNTIF(CC137,"SI"),COUNTIF(BQ137,"&gt;119"),COUNTIF(CI137,"&gt;=35")),"")</f>
        <v>0</v>
      </c>
      <c r="NF137" s="43" t="str">
        <f t="shared" si="662"/>
        <v/>
      </c>
      <c r="NG137" s="43">
        <f t="shared" si="663"/>
        <v>0</v>
      </c>
      <c r="NH137" s="43">
        <f t="shared" si="664"/>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5"/>
        <v>20</v>
      </c>
      <c r="NM137" s="43" t="str">
        <f t="shared" si="501"/>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6"/>
        <v>I TRIM</v>
      </c>
      <c r="NQ137" s="21" t="str">
        <f t="shared" si="500"/>
        <v/>
      </c>
      <c r="NR137" s="21">
        <f t="shared" ca="1" si="497"/>
        <v>3</v>
      </c>
      <c r="NS137" s="205">
        <f t="shared" ca="1" si="667"/>
        <v>1</v>
      </c>
      <c r="NT137" s="21">
        <f t="shared" ca="1" si="668"/>
        <v>1</v>
      </c>
      <c r="NU137" s="21" t="str">
        <f t="shared" ca="1" si="669"/>
        <v>INCOMPLETO</v>
      </c>
      <c r="NV137" s="21" t="str">
        <f t="shared" ca="1" si="670"/>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71"/>
        <v>SIN VACUNAR</v>
      </c>
      <c r="NY137" s="43">
        <f>ROW(Tabla1[[#This Row],['# DE TAMIZAJES SIFILIS TOMADOS ]])</f>
        <v>137</v>
      </c>
      <c r="NZ137" s="43" t="str">
        <f t="shared" si="502"/>
        <v>Menor</v>
      </c>
      <c r="OA137" s="43" t="str">
        <f t="shared" si="503"/>
        <v>SOBREPESO</v>
      </c>
      <c r="OB137" s="43" t="str">
        <f t="shared" si="504"/>
        <v/>
      </c>
      <c r="OC137" s="43" t="str">
        <f t="shared" si="505"/>
        <v/>
      </c>
      <c r="OD137" s="43" t="str">
        <f t="shared" si="506"/>
        <v/>
      </c>
      <c r="OE137" s="43" t="str">
        <f t="shared" si="507"/>
        <v/>
      </c>
      <c r="OF137" s="43" t="str">
        <f t="shared" si="508"/>
        <v/>
      </c>
      <c r="OG137" s="43" t="str">
        <f t="shared" si="509"/>
        <v/>
      </c>
      <c r="OH137" s="43" t="str">
        <f t="shared" si="510"/>
        <v/>
      </c>
      <c r="OI137" s="43" t="str">
        <f t="shared" si="511"/>
        <v/>
      </c>
      <c r="OJ137" s="43" t="str">
        <f t="shared" si="512"/>
        <v/>
      </c>
      <c r="OK137" s="43" t="str">
        <f t="shared" si="513"/>
        <v/>
      </c>
      <c r="OL137" s="43" t="str">
        <f t="shared" si="514"/>
        <v/>
      </c>
      <c r="OM137" s="43" t="str">
        <f t="shared" si="515"/>
        <v/>
      </c>
      <c r="ON137" s="43" t="str">
        <f t="shared" si="516"/>
        <v/>
      </c>
      <c r="OO137" s="43" t="str">
        <f t="shared" si="517"/>
        <v/>
      </c>
      <c r="OP137" s="43" t="str">
        <f t="shared" si="518"/>
        <v/>
      </c>
      <c r="OQ137" s="43" t="str">
        <f t="shared" si="519"/>
        <v/>
      </c>
      <c r="OR137" s="43" t="str">
        <f t="shared" si="520"/>
        <v/>
      </c>
      <c r="OS137" s="43" t="str">
        <f t="shared" si="521"/>
        <v/>
      </c>
      <c r="OT137" s="43" t="str">
        <f t="shared" si="522"/>
        <v/>
      </c>
      <c r="OU137" s="43" t="str">
        <f t="shared" si="523"/>
        <v/>
      </c>
      <c r="OV137" s="110" t="str">
        <f t="shared" si="524"/>
        <v/>
      </c>
      <c r="OW137" s="43" t="str">
        <f t="shared" si="525"/>
        <v/>
      </c>
      <c r="OX137" s="43" t="str">
        <f t="shared" si="526"/>
        <v/>
      </c>
      <c r="OY137" s="43" t="str">
        <f t="shared" si="527"/>
        <v/>
      </c>
      <c r="OZ137" s="43" t="str">
        <f t="shared" si="528"/>
        <v/>
      </c>
      <c r="PA137" s="43" t="str">
        <f t="shared" si="529"/>
        <v/>
      </c>
      <c r="PB137" s="43" t="str">
        <f t="shared" si="530"/>
        <v/>
      </c>
      <c r="PC137" s="43" t="str">
        <f t="shared" si="531"/>
        <v/>
      </c>
      <c r="PD137" s="43" t="str">
        <f t="shared" si="532"/>
        <v/>
      </c>
      <c r="PE137" s="43" t="str">
        <f t="shared" si="533"/>
        <v/>
      </c>
      <c r="PF137" s="43" t="str">
        <f t="shared" si="534"/>
        <v/>
      </c>
      <c r="PG137" s="43" t="str">
        <f t="shared" si="535"/>
        <v/>
      </c>
      <c r="PH137" s="43" t="str">
        <f t="shared" si="536"/>
        <v/>
      </c>
      <c r="PI137" s="43">
        <f t="shared" si="537"/>
        <v>23</v>
      </c>
      <c r="PJ137" s="43" t="str">
        <f t="shared" si="538"/>
        <v/>
      </c>
      <c r="PK137" s="43" t="str">
        <f t="shared" si="539"/>
        <v/>
      </c>
      <c r="PL137" s="43" t="str">
        <f t="shared" si="540"/>
        <v/>
      </c>
      <c r="PM137" s="43" t="str">
        <f t="shared" si="541"/>
        <v/>
      </c>
      <c r="PN137" s="43" t="str">
        <f t="shared" si="542"/>
        <v/>
      </c>
      <c r="PO137" s="43" t="str">
        <f t="shared" si="543"/>
        <v/>
      </c>
      <c r="PP137" s="43" t="str">
        <f t="shared" si="544"/>
        <v/>
      </c>
      <c r="PQ137" s="43" t="str">
        <f t="shared" si="545"/>
        <v/>
      </c>
      <c r="PR137" s="43" t="str">
        <f t="shared" si="546"/>
        <v/>
      </c>
      <c r="PS137" s="43" t="str">
        <f t="shared" si="547"/>
        <v/>
      </c>
      <c r="PT137" s="43" t="str">
        <f t="shared" si="548"/>
        <v/>
      </c>
      <c r="PU137" s="43" t="str">
        <f t="shared" si="549"/>
        <v/>
      </c>
      <c r="PV137" s="43" t="str">
        <f t="shared" si="550"/>
        <v/>
      </c>
      <c r="PW137" s="43" t="str">
        <f t="shared" si="551"/>
        <v/>
      </c>
      <c r="PX137" s="43" t="str">
        <f t="shared" si="552"/>
        <v>SOBREPESO</v>
      </c>
      <c r="PY137" s="43" t="str">
        <f t="shared" si="553"/>
        <v/>
      </c>
      <c r="PZ137" s="43" t="str">
        <f t="shared" si="554"/>
        <v/>
      </c>
      <c r="QA137" s="43" t="str">
        <f t="shared" si="555"/>
        <v/>
      </c>
      <c r="QB137" s="43" t="str">
        <f t="shared" si="556"/>
        <v/>
      </c>
      <c r="QC137" s="43" t="str">
        <f t="shared" si="557"/>
        <v/>
      </c>
      <c r="QD137" s="43" t="str">
        <f t="shared" si="558"/>
        <v/>
      </c>
      <c r="QE137" s="43" t="str">
        <f t="shared" si="559"/>
        <v/>
      </c>
      <c r="QF137" s="43" t="str">
        <f t="shared" si="560"/>
        <v/>
      </c>
      <c r="QG137" s="43" t="str">
        <f t="shared" si="561"/>
        <v/>
      </c>
      <c r="QH137" s="43" t="str">
        <f t="shared" si="562"/>
        <v/>
      </c>
      <c r="QI137" s="43" t="str">
        <f t="shared" si="563"/>
        <v/>
      </c>
      <c r="QJ137" s="43" t="str">
        <f t="shared" si="564"/>
        <v/>
      </c>
      <c r="QK137" s="43" t="str">
        <f t="shared" si="565"/>
        <v/>
      </c>
      <c r="QL137" s="43" t="str">
        <f t="shared" si="566"/>
        <v/>
      </c>
      <c r="QM137" s="43" t="str">
        <f t="shared" si="567"/>
        <v/>
      </c>
      <c r="QN137" s="43" t="str">
        <f t="shared" si="568"/>
        <v/>
      </c>
      <c r="QO137" s="43" t="str">
        <f t="shared" si="569"/>
        <v/>
      </c>
      <c r="QP137" s="43" t="str">
        <f t="shared" si="570"/>
        <v/>
      </c>
      <c r="QQ137" s="43" t="str">
        <f t="shared" si="571"/>
        <v/>
      </c>
      <c r="QR137" s="43">
        <f t="shared" si="672"/>
        <v>23</v>
      </c>
      <c r="QS137" s="43"/>
      <c r="QT137" s="21" t="str">
        <f t="shared" si="572"/>
        <v/>
      </c>
      <c r="QU137" s="21" t="str">
        <f t="shared" si="573"/>
        <v/>
      </c>
      <c r="QV137" s="21" t="str">
        <f t="shared" si="574"/>
        <v/>
      </c>
      <c r="QW137" s="21" t="str">
        <f t="shared" si="575"/>
        <v/>
      </c>
      <c r="QX137" s="21" t="str">
        <f t="shared" si="576"/>
        <v/>
      </c>
      <c r="QY137" s="21" t="str">
        <f t="shared" si="577"/>
        <v/>
      </c>
      <c r="QZ137" s="21" t="str">
        <f t="shared" si="578"/>
        <v/>
      </c>
      <c r="RA137" s="21" t="str">
        <f t="shared" si="579"/>
        <v/>
      </c>
      <c r="RB137" s="21" t="str">
        <f t="shared" si="580"/>
        <v/>
      </c>
      <c r="RC137" s="21" t="str">
        <f t="shared" si="581"/>
        <v/>
      </c>
      <c r="RD137" s="21" t="str">
        <f t="shared" si="582"/>
        <v>ADECUADO PARA EDAD GESTACIONAL</v>
      </c>
      <c r="RE137" s="21" t="str">
        <f t="shared" si="583"/>
        <v/>
      </c>
      <c r="RF137" s="21" t="str">
        <f t="shared" si="584"/>
        <v/>
      </c>
      <c r="RG137" s="21" t="str">
        <f t="shared" si="585"/>
        <v/>
      </c>
      <c r="RH137" s="21" t="str">
        <f t="shared" si="586"/>
        <v/>
      </c>
      <c r="RI137" s="21" t="str">
        <f t="shared" si="587"/>
        <v/>
      </c>
      <c r="RJ137" s="21" t="str">
        <f t="shared" si="588"/>
        <v/>
      </c>
      <c r="RK137" s="21" t="str">
        <f t="shared" si="589"/>
        <v/>
      </c>
      <c r="RL137" s="21" t="str">
        <f t="shared" si="590"/>
        <v/>
      </c>
      <c r="RM137" s="21" t="str">
        <f t="shared" si="591"/>
        <v/>
      </c>
      <c r="RN137" s="21" t="str">
        <f t="shared" si="592"/>
        <v/>
      </c>
      <c r="RO137" s="21" t="str">
        <f t="shared" si="593"/>
        <v/>
      </c>
      <c r="RP137" s="21" t="str">
        <f t="shared" si="594"/>
        <v/>
      </c>
      <c r="RQ137" s="21" t="str">
        <f t="shared" si="595"/>
        <v/>
      </c>
      <c r="RR137" s="21" t="str">
        <f t="shared" si="596"/>
        <v/>
      </c>
      <c r="RS137" s="21" t="str">
        <f t="shared" si="597"/>
        <v/>
      </c>
      <c r="RT137" s="21" t="str">
        <f t="shared" si="598"/>
        <v/>
      </c>
      <c r="RU137" s="21" t="str">
        <f t="shared" si="599"/>
        <v/>
      </c>
      <c r="RV137" s="21">
        <f t="shared" si="600"/>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3"/>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1"/>
        <v>22.495890410958904</v>
      </c>
      <c r="O138" s="22">
        <v>45016</v>
      </c>
      <c r="P138" s="214" t="str">
        <f t="shared" si="438"/>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2"/>
        <v>0</v>
      </c>
      <c r="BR138" s="223">
        <f t="shared" si="603"/>
        <v>44936.2</v>
      </c>
      <c r="BS138" s="224">
        <f t="shared" si="604"/>
        <v>11.571428571428571</v>
      </c>
      <c r="BT138" s="216" t="str">
        <f t="shared" si="605"/>
        <v>II TRIM</v>
      </c>
      <c r="BU138" s="214">
        <f t="shared" ca="1" si="606"/>
        <v>42.428571428571431</v>
      </c>
      <c r="BV138" s="341"/>
      <c r="BW138" s="22">
        <v>45016</v>
      </c>
      <c r="BX138" s="28">
        <v>11.4</v>
      </c>
      <c r="BY138" s="28"/>
      <c r="BZ138" s="22"/>
      <c r="CA138" s="21"/>
      <c r="CB138" s="26" t="s">
        <v>864</v>
      </c>
      <c r="CC138" s="26" t="s">
        <v>864</v>
      </c>
      <c r="CD138" s="26"/>
      <c r="CE138" s="26" t="s">
        <v>864</v>
      </c>
      <c r="CF138" s="22" t="s">
        <v>1517</v>
      </c>
      <c r="CG138" s="21">
        <v>1.53</v>
      </c>
      <c r="CH138" s="21">
        <v>53</v>
      </c>
      <c r="CI138" s="214">
        <f t="shared" si="607"/>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8"/>
        <v>45149</v>
      </c>
      <c r="CL138" s="21">
        <v>64.8</v>
      </c>
      <c r="CM138" s="214">
        <f t="shared" si="609"/>
        <v>27.681660899653977</v>
      </c>
      <c r="CN138" s="216">
        <f t="shared" si="610"/>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9"/>
        <v>APARENTEMENTE NORMAL</v>
      </c>
      <c r="DA138" s="21">
        <v>100</v>
      </c>
      <c r="DB138" s="21">
        <v>60</v>
      </c>
      <c r="DC138" s="217" t="str">
        <f t="shared" si="611"/>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9"/>
        <v>CONCERTAR PLAN DE PARTO INMEDIATO</v>
      </c>
      <c r="DV138" s="226" t="str">
        <f t="shared" si="440"/>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2"/>
        <v>#REF!</v>
      </c>
      <c r="DY138" s="212">
        <f>IF(R138="","",IF(R138&gt;0,MAX(Tabla1[[#This Row],[FECHA C2]:[FECHA C13]],Tabla1[[#This Row],[FECHA CONSULTA PRIMERA VEZ PROGRAMA CPN ]])))</f>
        <v>45149</v>
      </c>
      <c r="DZ138" s="216">
        <f t="shared" si="613"/>
        <v>30</v>
      </c>
      <c r="EA138" s="222">
        <f>IF(R138&gt;0,SUM(COUNTA(DF138:DQ138)+COUNTA(Tabla1[[#This Row],[FECHA CONSULTA PRIMERA VEZ PROGRAMA CPN ]])),"")</f>
        <v>4</v>
      </c>
      <c r="EB138" s="222" t="str">
        <f t="shared" si="614"/>
        <v>SI</v>
      </c>
      <c r="EC138" s="214">
        <f t="shared" si="615"/>
        <v>9</v>
      </c>
      <c r="ED138" s="227">
        <f t="shared" si="616"/>
        <v>0.44444444444444442</v>
      </c>
      <c r="EE138" s="22">
        <v>45016</v>
      </c>
      <c r="EF138" s="22">
        <v>45016</v>
      </c>
      <c r="EG138" s="22">
        <v>45016</v>
      </c>
      <c r="EH138" s="22"/>
      <c r="EI138" s="22">
        <v>45016</v>
      </c>
      <c r="EJ138" s="22"/>
      <c r="EK138" s="22"/>
      <c r="EL138" s="21"/>
      <c r="EM138" s="21">
        <v>13</v>
      </c>
      <c r="EN138" s="22">
        <v>45016</v>
      </c>
      <c r="EO138" s="222">
        <f t="shared" si="617"/>
        <v>11.571428571428571</v>
      </c>
      <c r="EP138" s="214" t="str">
        <f t="shared" si="618"/>
        <v>NORMAL- SUMINISTRAR SULFATO FERROSO</v>
      </c>
      <c r="EQ138" s="216" t="str">
        <f t="shared" si="619"/>
        <v>I TRIM</v>
      </c>
      <c r="ER138" s="24">
        <v>13.8</v>
      </c>
      <c r="ES138" s="22">
        <v>45114</v>
      </c>
      <c r="ET138" s="29">
        <f t="shared" ca="1" si="441"/>
        <v>25.571428571428573</v>
      </c>
      <c r="EU138" s="25" t="str">
        <f t="shared" si="620"/>
        <v>NORMAL- SUMINISTRAR SULFATO FERROSO</v>
      </c>
      <c r="EV138" s="24" t="s">
        <v>1510</v>
      </c>
      <c r="EW138" s="32">
        <v>45016</v>
      </c>
      <c r="EX138" s="22"/>
      <c r="EY138" s="29">
        <f t="shared" si="454"/>
        <v>11.571428571428571</v>
      </c>
      <c r="EZ138" s="25" t="str">
        <f t="shared" si="455"/>
        <v>SIN RIESGO DE ISOINMUNIZACIÓN</v>
      </c>
      <c r="FA138" s="21">
        <v>81</v>
      </c>
      <c r="FB138" s="22">
        <v>45016</v>
      </c>
      <c r="FC138" s="29">
        <f t="shared" si="621"/>
        <v>11.571428571428571</v>
      </c>
      <c r="FD138" s="29">
        <v>75</v>
      </c>
      <c r="FE138" s="29">
        <v>100</v>
      </c>
      <c r="FF138" s="29">
        <v>125</v>
      </c>
      <c r="FG138" s="21" t="str">
        <f t="shared" ca="1" si="622"/>
        <v>NORMAL</v>
      </c>
      <c r="FH138" s="31">
        <v>45115</v>
      </c>
      <c r="FI138" s="29">
        <f t="shared" si="623"/>
        <v>25.714285714285715</v>
      </c>
      <c r="FJ138" s="22" t="s">
        <v>867</v>
      </c>
      <c r="FK138" s="22">
        <v>45016</v>
      </c>
      <c r="FL138" s="29">
        <f t="shared" ca="1" si="624"/>
        <v>11.571428571428571</v>
      </c>
      <c r="FM138" s="22" t="s">
        <v>867</v>
      </c>
      <c r="FN138" s="32">
        <v>45115</v>
      </c>
      <c r="FO138" s="29">
        <f t="shared" ca="1" si="442"/>
        <v>25.714285714285715</v>
      </c>
      <c r="FP138" s="22"/>
      <c r="FQ138" s="32"/>
      <c r="FR138" s="29" t="str">
        <f t="shared" ca="1" si="443"/>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5"/>
        <v>TOMAR EXAMEN</v>
      </c>
      <c r="FY138" s="22">
        <v>45016</v>
      </c>
      <c r="FZ138" s="22">
        <v>45016</v>
      </c>
      <c r="GA138" s="29">
        <f t="shared" ca="1" si="498"/>
        <v>11.571428571428571</v>
      </c>
      <c r="GB138" s="22" t="s">
        <v>868</v>
      </c>
      <c r="GC138" s="22">
        <v>45115</v>
      </c>
      <c r="GD138" s="29">
        <f t="shared" ca="1" si="491"/>
        <v>25.714285714285715</v>
      </c>
      <c r="GE138" s="22"/>
      <c r="GF138" s="22"/>
      <c r="GG138" s="29" t="str">
        <f t="shared" ca="1" si="445"/>
        <v>TOMA INMEDIATA DE TAMIZAJE</v>
      </c>
      <c r="GH138" s="22"/>
      <c r="GI138" s="29"/>
      <c r="GJ138" s="22"/>
      <c r="GK138" s="22"/>
      <c r="GL138" s="22"/>
      <c r="GM138" s="22"/>
      <c r="GN138" s="28" t="s">
        <v>869</v>
      </c>
      <c r="GO138" s="22">
        <v>45016</v>
      </c>
      <c r="GP138" s="29">
        <f t="shared" si="626"/>
        <v>11.571428571428571</v>
      </c>
      <c r="GQ138" s="28" t="s">
        <v>869</v>
      </c>
      <c r="GR138" s="28"/>
      <c r="GS138" s="22" t="str">
        <f t="shared" si="627"/>
        <v>CONTROL Igm</v>
      </c>
      <c r="GT138" s="22">
        <v>45016</v>
      </c>
      <c r="GU138" s="29">
        <f t="shared" si="628"/>
        <v>11.571428571428571</v>
      </c>
      <c r="GV138" s="21" t="str">
        <f t="shared" si="629"/>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30"/>
        <v>#REF!</v>
      </c>
      <c r="HI138" s="22" t="e">
        <f t="shared" ca="1" si="631"/>
        <v>#REF!</v>
      </c>
      <c r="HJ138" s="21" t="str">
        <f t="shared" ca="1" si="632"/>
        <v>**********************MULTIPARIDAD*****EMBARAZO PROLONGADO************</v>
      </c>
      <c r="HK138" s="21" t="str">
        <f t="shared" si="633"/>
        <v>SIN ANTECEDENTES DE RIESGO</v>
      </c>
      <c r="HL138" s="24" t="str">
        <f t="shared" si="634"/>
        <v>APARENTEMENTE NORMAL</v>
      </c>
      <c r="HM138" s="21" t="e">
        <f t="shared" ca="1" si="635"/>
        <v>#REF!</v>
      </c>
      <c r="HN138" s="30" t="str">
        <f t="shared" si="446"/>
        <v>ACTIVA INGRESO A CPN</v>
      </c>
      <c r="HO138" s="21"/>
      <c r="HP138" s="21"/>
      <c r="HQ138" s="349">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6"/>
        <v>11.571428571428571</v>
      </c>
      <c r="IA138" s="26" t="s">
        <v>864</v>
      </c>
      <c r="IB138" s="26"/>
      <c r="IC138" s="111"/>
      <c r="ID138" s="22"/>
      <c r="IE138" s="22" t="str">
        <f t="shared" ca="1" si="637"/>
        <v>INASISTENTE</v>
      </c>
      <c r="IF138" s="22"/>
      <c r="IG138" s="22">
        <f t="shared" si="638"/>
        <v>45215</v>
      </c>
      <c r="IH138" s="29">
        <f t="shared" ca="1" si="639"/>
        <v>-17</v>
      </c>
      <c r="II138" s="22" t="str">
        <f t="shared" ca="1" si="640"/>
        <v>POSIBLEMENTE NACIO</v>
      </c>
      <c r="IJ138" s="22"/>
      <c r="IK138" s="21"/>
      <c r="IL138" s="21"/>
      <c r="IM138" s="34"/>
      <c r="IN138" s="22"/>
      <c r="IO138" s="21"/>
      <c r="IP138" s="29" t="str">
        <f t="shared" si="490"/>
        <v/>
      </c>
      <c r="IQ138" s="35"/>
      <c r="IR138" s="21"/>
      <c r="IS138" s="21"/>
      <c r="IT138" s="21"/>
      <c r="IU138" s="21"/>
      <c r="IV138" s="21"/>
      <c r="IW138" s="21"/>
      <c r="IX138" s="21"/>
      <c r="IY138" s="21"/>
      <c r="IZ138" s="21"/>
      <c r="JA138" s="21"/>
      <c r="JB138" s="30"/>
      <c r="JC138" s="21"/>
      <c r="JD138" s="36"/>
      <c r="JE138" s="21" t="str">
        <f t="shared" si="492"/>
        <v/>
      </c>
      <c r="JF138" s="30"/>
      <c r="JG138" s="21"/>
      <c r="JH138" s="21"/>
      <c r="JI138" s="21"/>
      <c r="JJ138" s="30"/>
      <c r="JK138" s="22"/>
      <c r="JL138" s="22"/>
      <c r="JM138" s="21"/>
      <c r="JN138" s="36"/>
      <c r="JO138" s="21" t="str">
        <f t="shared" si="493"/>
        <v/>
      </c>
      <c r="JP138" s="22"/>
      <c r="JQ138" s="21"/>
      <c r="JR138" s="21"/>
      <c r="JS138" s="21"/>
      <c r="JT138" s="30"/>
      <c r="JU138" s="22"/>
      <c r="JV138" s="22"/>
      <c r="JW138" s="33"/>
      <c r="JX138" s="28" t="str">
        <f t="shared" si="494"/>
        <v/>
      </c>
      <c r="JY138" s="33"/>
      <c r="JZ138" s="28" t="str">
        <f t="shared" si="495"/>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41"/>
        <v>0</v>
      </c>
      <c r="MI138" s="43" t="str">
        <f t="shared" si="642"/>
        <v/>
      </c>
      <c r="MJ138" s="43" t="str">
        <f t="shared" si="643"/>
        <v/>
      </c>
      <c r="MK138" s="43">
        <f t="shared" si="644"/>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5"/>
        <v>11.571428571428571</v>
      </c>
      <c r="MN138" s="43">
        <f t="shared" si="646"/>
        <v>3</v>
      </c>
      <c r="MO138" s="43">
        <f t="shared" si="647"/>
        <v>2023</v>
      </c>
      <c r="MP138" s="43" t="str">
        <f t="shared" si="648"/>
        <v>I TRIMESTRE AÑO</v>
      </c>
      <c r="MQ138" s="43">
        <f t="shared" si="649"/>
        <v>21.575229960578184</v>
      </c>
      <c r="MR138" s="43">
        <f t="shared" si="650"/>
        <v>0</v>
      </c>
      <c r="MS138" s="43" t="str">
        <f t="shared" si="651"/>
        <v xml:space="preserve"> DE 20 A 24 AÑOS</v>
      </c>
      <c r="MT138" s="43">
        <f t="shared" si="652"/>
        <v>0</v>
      </c>
      <c r="MU138" s="43">
        <f t="shared" si="653"/>
        <v>1</v>
      </c>
      <c r="MV138" s="43">
        <f t="shared" si="654"/>
        <v>0</v>
      </c>
      <c r="MW138" s="43">
        <f t="shared" si="655"/>
        <v>0</v>
      </c>
      <c r="MX138" s="43" t="str">
        <f t="shared" si="656"/>
        <v/>
      </c>
      <c r="MY138" s="43">
        <f t="shared" ca="1" si="496"/>
        <v>1</v>
      </c>
      <c r="MZ138" s="43" t="str">
        <f t="shared" si="657"/>
        <v/>
      </c>
      <c r="NA138" s="43" t="str">
        <f t="shared" si="658"/>
        <v/>
      </c>
      <c r="NB138" s="43" t="str">
        <f t="shared" si="659"/>
        <v/>
      </c>
      <c r="NC138" s="43" t="str">
        <f t="shared" si="660"/>
        <v/>
      </c>
      <c r="ND138" s="43">
        <f t="shared" ca="1" si="661"/>
        <v>2</v>
      </c>
      <c r="NE138" s="43">
        <f>IF(OR(O138&gt;0,R138&gt;0),SUM(COUNTIF(Tabla1[[#This Row],[AÑOS AL INICIO5 CPN]],"&gt;=40"),COUNTIF(AS138,"0"),COUNTIF(AR138,"SI"),COUNTIF(CC138,"SI"),COUNTIF(BQ138,"&gt;119"),COUNTIF(CI138,"&gt;=35")),"")</f>
        <v>1</v>
      </c>
      <c r="NF138" s="43" t="str">
        <f t="shared" si="662"/>
        <v/>
      </c>
      <c r="NG138" s="43">
        <f t="shared" si="663"/>
        <v>0</v>
      </c>
      <c r="NH138" s="43">
        <f t="shared" si="664"/>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5"/>
        <v>X</v>
      </c>
      <c r="NM138" s="43" t="str">
        <f t="shared" si="501"/>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6"/>
        <v>I TRIM</v>
      </c>
      <c r="NQ138" s="21" t="str">
        <f t="shared" si="500"/>
        <v/>
      </c>
      <c r="NR138" s="21">
        <f t="shared" ca="1" si="497"/>
        <v>3</v>
      </c>
      <c r="NS138" s="205">
        <f t="shared" ca="1" si="667"/>
        <v>2</v>
      </c>
      <c r="NT138" s="21">
        <f t="shared" ca="1" si="668"/>
        <v>2</v>
      </c>
      <c r="NU138" s="21" t="str">
        <f t="shared" ca="1" si="669"/>
        <v>INCOMPLETO</v>
      </c>
      <c r="NV138" s="21" t="str">
        <f t="shared" ca="1" si="670"/>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71"/>
        <v>SIN VACUNAR</v>
      </c>
      <c r="NY138" s="43">
        <f>ROW(Tabla1[[#This Row],['# DE TAMIZAJES SIFILIS TOMADOS ]])</f>
        <v>138</v>
      </c>
      <c r="NZ138" s="43">
        <f t="shared" si="502"/>
        <v>11</v>
      </c>
      <c r="OA138" s="43" t="str">
        <f t="shared" si="503"/>
        <v/>
      </c>
      <c r="OB138" s="43" t="str">
        <f t="shared" si="504"/>
        <v/>
      </c>
      <c r="OC138" s="43" t="str">
        <f t="shared" si="505"/>
        <v>NORMAL</v>
      </c>
      <c r="OD138" s="43" t="str">
        <f t="shared" si="506"/>
        <v/>
      </c>
      <c r="OE138" s="43" t="str">
        <f t="shared" si="507"/>
        <v/>
      </c>
      <c r="OF138" s="43" t="str">
        <f t="shared" si="508"/>
        <v/>
      </c>
      <c r="OG138" s="43" t="str">
        <f t="shared" si="509"/>
        <v/>
      </c>
      <c r="OH138" s="43" t="str">
        <f t="shared" si="510"/>
        <v/>
      </c>
      <c r="OI138" s="43" t="str">
        <f t="shared" si="511"/>
        <v/>
      </c>
      <c r="OJ138" s="43" t="str">
        <f t="shared" si="512"/>
        <v/>
      </c>
      <c r="OK138" s="43" t="str">
        <f t="shared" si="513"/>
        <v/>
      </c>
      <c r="OL138" s="43" t="str">
        <f t="shared" si="514"/>
        <v/>
      </c>
      <c r="OM138" s="43" t="str">
        <f t="shared" si="515"/>
        <v/>
      </c>
      <c r="ON138" s="43" t="str">
        <f t="shared" si="516"/>
        <v/>
      </c>
      <c r="OO138" s="43" t="str">
        <f t="shared" si="517"/>
        <v/>
      </c>
      <c r="OP138" s="43" t="str">
        <f t="shared" si="518"/>
        <v/>
      </c>
      <c r="OQ138" s="43" t="str">
        <f t="shared" si="519"/>
        <v/>
      </c>
      <c r="OR138" s="43" t="str">
        <f t="shared" si="520"/>
        <v/>
      </c>
      <c r="OS138" s="43" t="str">
        <f t="shared" si="521"/>
        <v/>
      </c>
      <c r="OT138" s="43" t="str">
        <f t="shared" si="522"/>
        <v/>
      </c>
      <c r="OU138" s="43" t="str">
        <f t="shared" si="523"/>
        <v/>
      </c>
      <c r="OV138" s="110" t="str">
        <f t="shared" si="524"/>
        <v/>
      </c>
      <c r="OW138" s="43" t="str">
        <f t="shared" si="525"/>
        <v/>
      </c>
      <c r="OX138" s="43" t="str">
        <f t="shared" si="526"/>
        <v/>
      </c>
      <c r="OY138" s="43" t="str">
        <f t="shared" si="527"/>
        <v/>
      </c>
      <c r="OZ138" s="43" t="str">
        <f t="shared" si="528"/>
        <v/>
      </c>
      <c r="PA138" s="43" t="str">
        <f t="shared" si="529"/>
        <v/>
      </c>
      <c r="PB138" s="43" t="str">
        <f t="shared" si="530"/>
        <v/>
      </c>
      <c r="PC138" s="43" t="str">
        <f t="shared" si="531"/>
        <v/>
      </c>
      <c r="PD138" s="43" t="str">
        <f t="shared" si="532"/>
        <v/>
      </c>
      <c r="PE138" s="43" t="str">
        <f t="shared" si="533"/>
        <v/>
      </c>
      <c r="PF138" s="43" t="str">
        <f t="shared" si="534"/>
        <v/>
      </c>
      <c r="PG138" s="43" t="str">
        <f t="shared" si="535"/>
        <v/>
      </c>
      <c r="PH138" s="43" t="str">
        <f t="shared" si="536"/>
        <v/>
      </c>
      <c r="PI138" s="43">
        <f t="shared" si="537"/>
        <v>30</v>
      </c>
      <c r="PJ138" s="43" t="str">
        <f t="shared" si="538"/>
        <v/>
      </c>
      <c r="PK138" s="43" t="str">
        <f t="shared" si="539"/>
        <v/>
      </c>
      <c r="PL138" s="43" t="str">
        <f t="shared" si="540"/>
        <v/>
      </c>
      <c r="PM138" s="43" t="str">
        <f t="shared" si="541"/>
        <v/>
      </c>
      <c r="PN138" s="43" t="str">
        <f t="shared" si="542"/>
        <v/>
      </c>
      <c r="PO138" s="43" t="str">
        <f t="shared" si="543"/>
        <v/>
      </c>
      <c r="PP138" s="43" t="str">
        <f t="shared" si="544"/>
        <v/>
      </c>
      <c r="PQ138" s="43" t="str">
        <f t="shared" si="545"/>
        <v/>
      </c>
      <c r="PR138" s="43" t="str">
        <f t="shared" si="546"/>
        <v/>
      </c>
      <c r="PS138" s="43" t="str">
        <f t="shared" si="547"/>
        <v/>
      </c>
      <c r="PT138" s="43" t="str">
        <f t="shared" si="548"/>
        <v/>
      </c>
      <c r="PU138" s="43" t="str">
        <f t="shared" si="549"/>
        <v/>
      </c>
      <c r="PV138" s="43" t="str">
        <f t="shared" si="550"/>
        <v/>
      </c>
      <c r="PW138" s="43" t="str">
        <f t="shared" si="551"/>
        <v/>
      </c>
      <c r="PX138" s="43" t="str">
        <f t="shared" si="552"/>
        <v/>
      </c>
      <c r="PY138" s="43" t="str">
        <f t="shared" si="553"/>
        <v/>
      </c>
      <c r="PZ138" s="43" t="str">
        <f t="shared" si="554"/>
        <v/>
      </c>
      <c r="QA138" s="43" t="str">
        <f t="shared" si="555"/>
        <v/>
      </c>
      <c r="QB138" s="43" t="str">
        <f t="shared" si="556"/>
        <v/>
      </c>
      <c r="QC138" s="43" t="str">
        <f t="shared" si="557"/>
        <v/>
      </c>
      <c r="QD138" s="43" t="str">
        <f t="shared" si="558"/>
        <v/>
      </c>
      <c r="QE138" s="43" t="str">
        <f t="shared" si="559"/>
        <v>NORMAL</v>
      </c>
      <c r="QF138" s="43" t="str">
        <f t="shared" si="560"/>
        <v/>
      </c>
      <c r="QG138" s="43" t="str">
        <f t="shared" si="561"/>
        <v/>
      </c>
      <c r="QH138" s="43" t="str">
        <f t="shared" si="562"/>
        <v/>
      </c>
      <c r="QI138" s="43" t="str">
        <f t="shared" si="563"/>
        <v/>
      </c>
      <c r="QJ138" s="43" t="str">
        <f t="shared" si="564"/>
        <v/>
      </c>
      <c r="QK138" s="43" t="str">
        <f t="shared" si="565"/>
        <v/>
      </c>
      <c r="QL138" s="43" t="str">
        <f t="shared" si="566"/>
        <v/>
      </c>
      <c r="QM138" s="43" t="str">
        <f t="shared" si="567"/>
        <v/>
      </c>
      <c r="QN138" s="43" t="str">
        <f t="shared" si="568"/>
        <v/>
      </c>
      <c r="QO138" s="43" t="str">
        <f t="shared" si="569"/>
        <v/>
      </c>
      <c r="QP138" s="43" t="str">
        <f t="shared" si="570"/>
        <v/>
      </c>
      <c r="QQ138" s="43" t="str">
        <f t="shared" si="571"/>
        <v/>
      </c>
      <c r="QR138" s="43">
        <f t="shared" si="672"/>
        <v>30</v>
      </c>
      <c r="QS138" s="43"/>
      <c r="QT138" s="21" t="str">
        <f t="shared" si="572"/>
        <v/>
      </c>
      <c r="QU138" s="21" t="str">
        <f t="shared" si="573"/>
        <v/>
      </c>
      <c r="QV138" s="21" t="str">
        <f t="shared" si="574"/>
        <v/>
      </c>
      <c r="QW138" s="21" t="str">
        <f t="shared" si="575"/>
        <v/>
      </c>
      <c r="QX138" s="21" t="str">
        <f t="shared" si="576"/>
        <v/>
      </c>
      <c r="QY138" s="21" t="str">
        <f t="shared" si="577"/>
        <v/>
      </c>
      <c r="QZ138" s="21" t="str">
        <f t="shared" si="578"/>
        <v/>
      </c>
      <c r="RA138" s="21" t="str">
        <f t="shared" si="579"/>
        <v/>
      </c>
      <c r="RB138" s="21" t="str">
        <f t="shared" si="580"/>
        <v/>
      </c>
      <c r="RC138" s="21" t="str">
        <f t="shared" si="581"/>
        <v/>
      </c>
      <c r="RD138" s="21" t="str">
        <f t="shared" si="582"/>
        <v/>
      </c>
      <c r="RE138" s="21" t="str">
        <f t="shared" si="583"/>
        <v/>
      </c>
      <c r="RF138" s="21" t="str">
        <f t="shared" si="584"/>
        <v/>
      </c>
      <c r="RG138" s="21" t="str">
        <f t="shared" si="585"/>
        <v/>
      </c>
      <c r="RH138" s="21" t="str">
        <f t="shared" si="586"/>
        <v/>
      </c>
      <c r="RI138" s="21" t="str">
        <f t="shared" si="587"/>
        <v/>
      </c>
      <c r="RJ138" s="21" t="str">
        <f t="shared" si="588"/>
        <v/>
      </c>
      <c r="RK138" s="21" t="str">
        <f t="shared" si="589"/>
        <v>ALTO PARA EDAD GESTACIONAL</v>
      </c>
      <c r="RL138" s="21" t="str">
        <f t="shared" si="590"/>
        <v/>
      </c>
      <c r="RM138" s="21" t="str">
        <f t="shared" si="591"/>
        <v/>
      </c>
      <c r="RN138" s="21" t="str">
        <f t="shared" si="592"/>
        <v/>
      </c>
      <c r="RO138" s="21" t="str">
        <f t="shared" si="593"/>
        <v/>
      </c>
      <c r="RP138" s="21" t="str">
        <f t="shared" si="594"/>
        <v/>
      </c>
      <c r="RQ138" s="21" t="str">
        <f t="shared" si="595"/>
        <v/>
      </c>
      <c r="RR138" s="21" t="str">
        <f t="shared" si="596"/>
        <v/>
      </c>
      <c r="RS138" s="21" t="str">
        <f t="shared" si="597"/>
        <v/>
      </c>
      <c r="RT138" s="21" t="str">
        <f t="shared" si="598"/>
        <v/>
      </c>
      <c r="RU138" s="21" t="str">
        <f t="shared" si="599"/>
        <v/>
      </c>
      <c r="RV138" s="21">
        <f t="shared" si="600"/>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3"/>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1"/>
        <v>18.389041095890413</v>
      </c>
      <c r="O139" s="22">
        <v>44995</v>
      </c>
      <c r="P139" s="214" t="str">
        <f t="shared" si="438"/>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2"/>
        <v>0</v>
      </c>
      <c r="BR139" s="223">
        <f t="shared" si="603"/>
        <v>44908.9</v>
      </c>
      <c r="BS139" s="224">
        <f t="shared" si="604"/>
        <v>12.299999999999793</v>
      </c>
      <c r="BT139" s="216" t="str">
        <f t="shared" si="605"/>
        <v>II TRIM</v>
      </c>
      <c r="BU139" s="214" t="str">
        <f t="shared" ca="1" si="606"/>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7"/>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8"/>
        <v>45164</v>
      </c>
      <c r="CL139" s="21">
        <v>61.7</v>
      </c>
      <c r="CM139" s="214">
        <f t="shared" si="609"/>
        <v>24.405680155057155</v>
      </c>
      <c r="CN139" s="216">
        <f t="shared" si="610"/>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9"/>
        <v/>
      </c>
      <c r="DA139" s="21">
        <v>90</v>
      </c>
      <c r="DB139" s="21">
        <v>60</v>
      </c>
      <c r="DC139" s="217" t="str">
        <f t="shared" si="611"/>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9"/>
        <v>CONCERTAR PLAN DE PARTO INMEDIATO</v>
      </c>
      <c r="DV139" s="226" t="str">
        <f t="shared" si="440"/>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2"/>
        <v>#REF!</v>
      </c>
      <c r="DY139" s="212">
        <f>IF(R139="","",IF(R139&gt;0,MAX(Tabla1[[#This Row],[FECHA C2]:[FECHA C13]],Tabla1[[#This Row],[FECHA CONSULTA PRIMERA VEZ PROGRAMA CPN ]])))</f>
        <v>45164</v>
      </c>
      <c r="DZ139" s="216">
        <f t="shared" si="613"/>
        <v>36</v>
      </c>
      <c r="EA139" s="222">
        <f>IF(R139&gt;0,SUM(COUNTA(DF139:DQ139)+COUNTA(Tabla1[[#This Row],[FECHA CONSULTA PRIMERA VEZ PROGRAMA CPN ]])),"")</f>
        <v>5</v>
      </c>
      <c r="EB139" s="222" t="str">
        <f t="shared" si="614"/>
        <v>SI</v>
      </c>
      <c r="EC139" s="214">
        <f t="shared" si="615"/>
        <v>8</v>
      </c>
      <c r="ED139" s="227">
        <f t="shared" si="616"/>
        <v>0.625</v>
      </c>
      <c r="EE139" s="22">
        <v>44995</v>
      </c>
      <c r="EF139" s="22">
        <v>44995</v>
      </c>
      <c r="EG139" s="22">
        <v>44995</v>
      </c>
      <c r="EH139" s="22"/>
      <c r="EI139" s="22">
        <v>44995</v>
      </c>
      <c r="EJ139" s="22">
        <v>45140</v>
      </c>
      <c r="EK139" s="22"/>
      <c r="EL139" s="21"/>
      <c r="EM139" s="21">
        <v>13.1</v>
      </c>
      <c r="EN139" s="22">
        <v>44995</v>
      </c>
      <c r="EO139" s="222">
        <f t="shared" si="617"/>
        <v>12.299999999999793</v>
      </c>
      <c r="EP139" s="214" t="str">
        <f t="shared" si="618"/>
        <v>NORMAL- SUMINISTRAR SULFATO FERROSO</v>
      </c>
      <c r="EQ139" s="216" t="str">
        <f t="shared" si="619"/>
        <v>I TRIM</v>
      </c>
      <c r="ER139" s="24"/>
      <c r="ES139" s="22"/>
      <c r="ET139" s="29" t="str">
        <f t="shared" ca="1" si="441"/>
        <v>TOMA DE HEMOGLOBINA TARDÍA</v>
      </c>
      <c r="EU139" s="25" t="str">
        <f t="shared" si="620"/>
        <v/>
      </c>
      <c r="EV139" s="24" t="s">
        <v>1510</v>
      </c>
      <c r="EW139" s="32">
        <v>44995</v>
      </c>
      <c r="EX139" s="22"/>
      <c r="EY139" s="29">
        <f t="shared" si="454"/>
        <v>12.299999999999793</v>
      </c>
      <c r="EZ139" s="25" t="str">
        <f t="shared" si="455"/>
        <v>SIN RIESGO DE ISOINMUNIZACIÓN</v>
      </c>
      <c r="FA139" s="21">
        <v>85</v>
      </c>
      <c r="FB139" s="22">
        <v>44995</v>
      </c>
      <c r="FC139" s="29">
        <f t="shared" si="621"/>
        <v>12.299999999999793</v>
      </c>
      <c r="FD139" s="29"/>
      <c r="FE139" s="29"/>
      <c r="FF139" s="29"/>
      <c r="FG139" s="21" t="str">
        <f t="shared" ca="1" si="622"/>
        <v/>
      </c>
      <c r="FH139" s="31"/>
      <c r="FI139" s="29" t="str">
        <f t="shared" si="623"/>
        <v>TOMAR EXAMEN</v>
      </c>
      <c r="FJ139" s="22"/>
      <c r="FK139" s="22"/>
      <c r="FL139" s="29" t="str">
        <f t="shared" ca="1" si="624"/>
        <v>PIERDE TOMA DE TAMIZAJE</v>
      </c>
      <c r="FM139" s="22" t="s">
        <v>867</v>
      </c>
      <c r="FN139" s="32">
        <v>44995</v>
      </c>
      <c r="FO139" s="29" t="str">
        <f t="shared" ca="1" si="442"/>
        <v>REGISTRAR EN I TRIMESTRE</v>
      </c>
      <c r="FP139" s="22"/>
      <c r="FQ139" s="32"/>
      <c r="FR139" s="29" t="str">
        <f t="shared" ca="1" si="443"/>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5"/>
        <v>TOMAR EXAMEN</v>
      </c>
      <c r="FY139" s="22">
        <v>44995</v>
      </c>
      <c r="FZ139" s="22">
        <v>44995</v>
      </c>
      <c r="GA139" s="29">
        <f t="shared" ca="1" si="498"/>
        <v>12.299999999999793</v>
      </c>
      <c r="GB139" s="22" t="s">
        <v>868</v>
      </c>
      <c r="GC139" s="22">
        <v>44995</v>
      </c>
      <c r="GD139" s="29" t="str">
        <f t="shared" ca="1" si="491"/>
        <v>REGISTRAR EN I TRIMESTRE</v>
      </c>
      <c r="GE139" s="22"/>
      <c r="GF139" s="22"/>
      <c r="GG139" s="29" t="str">
        <f t="shared" ca="1" si="445"/>
        <v>TOMA INMEDIATA DE TAMIZAJE</v>
      </c>
      <c r="GH139" s="22"/>
      <c r="GI139" s="29"/>
      <c r="GJ139" s="22"/>
      <c r="GK139" s="22"/>
      <c r="GL139" s="22"/>
      <c r="GM139" s="22"/>
      <c r="GN139" s="28"/>
      <c r="GO139" s="22"/>
      <c r="GP139" s="29" t="str">
        <f t="shared" si="626"/>
        <v>TOMAR EXAMEN</v>
      </c>
      <c r="GQ139" s="28" t="s">
        <v>880</v>
      </c>
      <c r="GR139" s="28" t="s">
        <v>869</v>
      </c>
      <c r="GS139" s="22" t="str">
        <f t="shared" si="627"/>
        <v>SE EXCLUYE INFECCION</v>
      </c>
      <c r="GT139" s="22">
        <v>44995</v>
      </c>
      <c r="GU139" s="29">
        <f t="shared" si="628"/>
        <v>15.857142857142858</v>
      </c>
      <c r="GV139" s="21" t="str">
        <f t="shared" si="629"/>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30"/>
        <v>#REF!</v>
      </c>
      <c r="HI139" s="22" t="e">
        <f t="shared" ca="1" si="631"/>
        <v>#REF!</v>
      </c>
      <c r="HJ139" s="21" t="str">
        <f t="shared" ca="1" si="632"/>
        <v>**********************MULTIPARIDAD*****************</v>
      </c>
      <c r="HK139" s="21" t="str">
        <f t="shared" si="633"/>
        <v>SIN ANTECEDENTES DE RIESGO</v>
      </c>
      <c r="HL139" s="24" t="str">
        <f t="shared" si="634"/>
        <v>VIGILAR CIFRAS PRESION ARTERIAL</v>
      </c>
      <c r="HM139" s="21" t="e">
        <f t="shared" ca="1" si="635"/>
        <v>#REF!</v>
      </c>
      <c r="HN139" s="30" t="str">
        <f t="shared" si="446"/>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6"/>
        <v>12.299999999999793</v>
      </c>
      <c r="IA139" s="26" t="s">
        <v>864</v>
      </c>
      <c r="IB139" s="26"/>
      <c r="IC139" s="111"/>
      <c r="ID139" s="22"/>
      <c r="IE139" s="22" t="str">
        <f t="shared" ca="1" si="637"/>
        <v/>
      </c>
      <c r="IF139" s="22"/>
      <c r="IG139" s="22">
        <f t="shared" si="638"/>
        <v>45188.9</v>
      </c>
      <c r="IH139" s="29">
        <f t="shared" ca="1" si="639"/>
        <v>-43.099999999998545</v>
      </c>
      <c r="II139" s="22" t="str">
        <f t="shared" ca="1" si="640"/>
        <v>POSIBLEMENTE NACIO</v>
      </c>
      <c r="IJ139" s="22"/>
      <c r="IK139" s="21"/>
      <c r="IL139" s="21"/>
      <c r="IM139" s="34"/>
      <c r="IN139" s="349"/>
      <c r="IO139" s="21"/>
      <c r="IP139" s="29" t="str">
        <f t="shared" ref="IP139:IP170" si="674">IF(AND(IN139&gt;0,IK139&lt;&gt;""),SUM(IN139-RW139)/7,"")</f>
        <v/>
      </c>
      <c r="IQ139" s="35"/>
      <c r="IR139" s="21"/>
      <c r="IS139" s="21"/>
      <c r="IT139" s="21"/>
      <c r="IU139" s="21"/>
      <c r="IV139" s="21"/>
      <c r="IW139" s="21"/>
      <c r="IX139" s="21"/>
      <c r="IY139" s="21"/>
      <c r="IZ139" s="21"/>
      <c r="JA139" s="21"/>
      <c r="JB139" s="30"/>
      <c r="JC139" s="21"/>
      <c r="JD139" s="36"/>
      <c r="JE139" s="21" t="str">
        <f t="shared" si="492"/>
        <v/>
      </c>
      <c r="JF139" s="30"/>
      <c r="JG139" s="21"/>
      <c r="JH139" s="21"/>
      <c r="JI139" s="21"/>
      <c r="JJ139" s="30"/>
      <c r="JK139" s="22"/>
      <c r="JL139" s="22"/>
      <c r="JM139" s="21"/>
      <c r="JN139" s="36"/>
      <c r="JO139" s="21" t="str">
        <f t="shared" si="493"/>
        <v/>
      </c>
      <c r="JP139" s="22"/>
      <c r="JQ139" s="21"/>
      <c r="JR139" s="21"/>
      <c r="JS139" s="21"/>
      <c r="JT139" s="30"/>
      <c r="JU139" s="22"/>
      <c r="JV139" s="22"/>
      <c r="JW139" s="33"/>
      <c r="JX139" s="28" t="str">
        <f t="shared" si="494"/>
        <v/>
      </c>
      <c r="JY139" s="33"/>
      <c r="JZ139" s="28" t="str">
        <f t="shared" si="495"/>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41"/>
        <v>0</v>
      </c>
      <c r="MI139" s="43" t="str">
        <f t="shared" si="642"/>
        <v/>
      </c>
      <c r="MJ139" s="43" t="str">
        <f t="shared" si="643"/>
        <v/>
      </c>
      <c r="MK139" s="43">
        <f t="shared" si="644"/>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5"/>
        <v>12.299999999999793</v>
      </c>
      <c r="MN139" s="43">
        <f t="shared" si="646"/>
        <v>3</v>
      </c>
      <c r="MO139" s="43">
        <f t="shared" si="647"/>
        <v>2023</v>
      </c>
      <c r="MP139" s="43" t="str">
        <f t="shared" si="648"/>
        <v>I TRIMESTRE AÑO</v>
      </c>
      <c r="MQ139" s="43">
        <f t="shared" si="649"/>
        <v>17.474266316250546</v>
      </c>
      <c r="MR139" s="43">
        <f t="shared" si="650"/>
        <v>0</v>
      </c>
      <c r="MS139" s="43" t="str">
        <f t="shared" si="651"/>
        <v>DE 14 A 19AÑOS</v>
      </c>
      <c r="MT139" s="43">
        <f t="shared" si="652"/>
        <v>0</v>
      </c>
      <c r="MU139" s="43">
        <f t="shared" si="653"/>
        <v>1</v>
      </c>
      <c r="MV139" s="43">
        <f t="shared" si="654"/>
        <v>0</v>
      </c>
      <c r="MW139" s="43">
        <f t="shared" si="655"/>
        <v>0</v>
      </c>
      <c r="MX139" s="43" t="str">
        <f t="shared" si="656"/>
        <v/>
      </c>
      <c r="MY139" s="43" t="str">
        <f t="shared" ca="1" si="496"/>
        <v/>
      </c>
      <c r="MZ139" s="43" t="str">
        <f t="shared" si="657"/>
        <v/>
      </c>
      <c r="NA139" s="43" t="str">
        <f t="shared" si="658"/>
        <v/>
      </c>
      <c r="NB139" s="43" t="str">
        <f t="shared" si="659"/>
        <v/>
      </c>
      <c r="NC139" s="43" t="str">
        <f t="shared" si="660"/>
        <v/>
      </c>
      <c r="ND139" s="43">
        <f t="shared" ca="1" si="661"/>
        <v>1</v>
      </c>
      <c r="NE139" s="43">
        <f>IF(OR(O139&gt;0,R139&gt;0),SUM(COUNTIF(Tabla1[[#This Row],[AÑOS AL INICIO5 CPN]],"&gt;=40"),COUNTIF(AS139,"0"),COUNTIF(AR139,"SI"),COUNTIF(CC139,"SI"),COUNTIF(BQ139,"&gt;119"),COUNTIF(CI139,"&gt;=35")),"")</f>
        <v>1</v>
      </c>
      <c r="NF139" s="43" t="str">
        <f t="shared" si="662"/>
        <v/>
      </c>
      <c r="NG139" s="43">
        <f t="shared" si="663"/>
        <v>0</v>
      </c>
      <c r="NH139" s="43">
        <f t="shared" si="664"/>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5"/>
        <v>145</v>
      </c>
      <c r="NM139" s="43" t="str">
        <f t="shared" si="501"/>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6"/>
        <v>II TRIM</v>
      </c>
      <c r="NQ139" s="21">
        <f t="shared" si="500"/>
        <v>1</v>
      </c>
      <c r="NR139" s="21" t="str">
        <f t="shared" ca="1" si="497"/>
        <v>REVISAR FUM O FECHA SALIDA PROGRAMA</v>
      </c>
      <c r="NS139" s="205">
        <f t="shared" ca="1" si="667"/>
        <v>0</v>
      </c>
      <c r="NT139" s="21">
        <f t="shared" ca="1" si="668"/>
        <v>1</v>
      </c>
      <c r="NU139" s="21" t="str">
        <f t="shared" ca="1" si="669"/>
        <v>POR DEFINIR</v>
      </c>
      <c r="NV139" s="21" t="str">
        <f t="shared" ca="1" si="670"/>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71"/>
        <v>SIN VACUNAR</v>
      </c>
      <c r="NY139" s="43">
        <f>ROW(Tabla1[[#This Row],['# DE TAMIZAJES SIFILIS TOMADOS ]])</f>
        <v>139</v>
      </c>
      <c r="NZ139" s="43">
        <f t="shared" si="502"/>
        <v>12</v>
      </c>
      <c r="OA139" s="43" t="str">
        <f t="shared" si="503"/>
        <v/>
      </c>
      <c r="OB139" s="43" t="str">
        <f t="shared" si="504"/>
        <v/>
      </c>
      <c r="OC139" s="43" t="str">
        <f t="shared" si="505"/>
        <v/>
      </c>
      <c r="OD139" s="43" t="str">
        <f t="shared" si="506"/>
        <v>BAJO PESO</v>
      </c>
      <c r="OE139" s="43" t="str">
        <f t="shared" si="507"/>
        <v/>
      </c>
      <c r="OF139" s="43" t="str">
        <f t="shared" si="508"/>
        <v/>
      </c>
      <c r="OG139" s="43" t="str">
        <f t="shared" si="509"/>
        <v/>
      </c>
      <c r="OH139" s="43" t="str">
        <f t="shared" si="510"/>
        <v/>
      </c>
      <c r="OI139" s="43" t="str">
        <f t="shared" si="511"/>
        <v/>
      </c>
      <c r="OJ139" s="43" t="str">
        <f t="shared" si="512"/>
        <v/>
      </c>
      <c r="OK139" s="43" t="str">
        <f t="shared" si="513"/>
        <v/>
      </c>
      <c r="OL139" s="43" t="str">
        <f t="shared" si="514"/>
        <v/>
      </c>
      <c r="OM139" s="43" t="str">
        <f t="shared" si="515"/>
        <v/>
      </c>
      <c r="ON139" s="43" t="str">
        <f t="shared" si="516"/>
        <v/>
      </c>
      <c r="OO139" s="43" t="str">
        <f t="shared" si="517"/>
        <v/>
      </c>
      <c r="OP139" s="43" t="str">
        <f t="shared" si="518"/>
        <v/>
      </c>
      <c r="OQ139" s="43" t="str">
        <f t="shared" si="519"/>
        <v/>
      </c>
      <c r="OR139" s="43" t="str">
        <f t="shared" si="520"/>
        <v/>
      </c>
      <c r="OS139" s="43" t="str">
        <f t="shared" si="521"/>
        <v/>
      </c>
      <c r="OT139" s="43" t="str">
        <f t="shared" si="522"/>
        <v/>
      </c>
      <c r="OU139" s="43" t="str">
        <f t="shared" si="523"/>
        <v/>
      </c>
      <c r="OV139" s="110" t="str">
        <f t="shared" si="524"/>
        <v/>
      </c>
      <c r="OW139" s="43" t="str">
        <f t="shared" si="525"/>
        <v/>
      </c>
      <c r="OX139" s="43" t="str">
        <f t="shared" si="526"/>
        <v/>
      </c>
      <c r="OY139" s="43" t="str">
        <f t="shared" si="527"/>
        <v/>
      </c>
      <c r="OZ139" s="43" t="str">
        <f t="shared" si="528"/>
        <v/>
      </c>
      <c r="PA139" s="43" t="str">
        <f t="shared" si="529"/>
        <v/>
      </c>
      <c r="PB139" s="43" t="str">
        <f t="shared" si="530"/>
        <v/>
      </c>
      <c r="PC139" s="43" t="str">
        <f t="shared" si="531"/>
        <v/>
      </c>
      <c r="PD139" s="43" t="str">
        <f t="shared" si="532"/>
        <v/>
      </c>
      <c r="PE139" s="43" t="str">
        <f t="shared" si="533"/>
        <v/>
      </c>
      <c r="PF139" s="43" t="str">
        <f t="shared" si="534"/>
        <v/>
      </c>
      <c r="PG139" s="43" t="str">
        <f t="shared" si="535"/>
        <v/>
      </c>
      <c r="PH139" s="43" t="str">
        <f t="shared" si="536"/>
        <v/>
      </c>
      <c r="PI139" s="43">
        <f t="shared" si="537"/>
        <v>36</v>
      </c>
      <c r="PJ139" s="43" t="str">
        <f t="shared" si="538"/>
        <v/>
      </c>
      <c r="PK139" s="43" t="str">
        <f t="shared" si="539"/>
        <v/>
      </c>
      <c r="PL139" s="43" t="str">
        <f t="shared" si="540"/>
        <v/>
      </c>
      <c r="PM139" s="43" t="str">
        <f t="shared" si="541"/>
        <v/>
      </c>
      <c r="PN139" s="43" t="str">
        <f t="shared" si="542"/>
        <v/>
      </c>
      <c r="PO139" s="43" t="str">
        <f t="shared" si="543"/>
        <v/>
      </c>
      <c r="PP139" s="43" t="str">
        <f t="shared" si="544"/>
        <v/>
      </c>
      <c r="PQ139" s="43" t="str">
        <f t="shared" si="545"/>
        <v/>
      </c>
      <c r="PR139" s="43" t="str">
        <f t="shared" si="546"/>
        <v/>
      </c>
      <c r="PS139" s="43" t="str">
        <f t="shared" si="547"/>
        <v/>
      </c>
      <c r="PT139" s="43" t="str">
        <f t="shared" si="548"/>
        <v/>
      </c>
      <c r="PU139" s="43" t="str">
        <f t="shared" si="549"/>
        <v/>
      </c>
      <c r="PV139" s="43" t="str">
        <f t="shared" si="550"/>
        <v/>
      </c>
      <c r="PW139" s="43" t="str">
        <f t="shared" si="551"/>
        <v/>
      </c>
      <c r="PX139" s="43" t="str">
        <f t="shared" si="552"/>
        <v/>
      </c>
      <c r="PY139" s="43" t="str">
        <f t="shared" si="553"/>
        <v/>
      </c>
      <c r="PZ139" s="43" t="str">
        <f t="shared" si="554"/>
        <v/>
      </c>
      <c r="QA139" s="43" t="str">
        <f t="shared" si="555"/>
        <v/>
      </c>
      <c r="QB139" s="43" t="str">
        <f t="shared" si="556"/>
        <v/>
      </c>
      <c r="QC139" s="43" t="str">
        <f t="shared" si="557"/>
        <v/>
      </c>
      <c r="QD139" s="43" t="str">
        <f t="shared" si="558"/>
        <v/>
      </c>
      <c r="QE139" s="43" t="str">
        <f t="shared" si="559"/>
        <v/>
      </c>
      <c r="QF139" s="43" t="str">
        <f t="shared" si="560"/>
        <v/>
      </c>
      <c r="QG139" s="43" t="str">
        <f t="shared" si="561"/>
        <v/>
      </c>
      <c r="QH139" s="43" t="str">
        <f t="shared" si="562"/>
        <v/>
      </c>
      <c r="QI139" s="43" t="str">
        <f t="shared" si="563"/>
        <v/>
      </c>
      <c r="QJ139" s="43" t="str">
        <f t="shared" si="564"/>
        <v/>
      </c>
      <c r="QK139" s="43" t="str">
        <f t="shared" si="565"/>
        <v>NORMAL</v>
      </c>
      <c r="QL139" s="43" t="str">
        <f t="shared" si="566"/>
        <v/>
      </c>
      <c r="QM139" s="43" t="str">
        <f t="shared" si="567"/>
        <v/>
      </c>
      <c r="QN139" s="43" t="str">
        <f t="shared" si="568"/>
        <v/>
      </c>
      <c r="QO139" s="43" t="str">
        <f t="shared" si="569"/>
        <v/>
      </c>
      <c r="QP139" s="43" t="str">
        <f t="shared" si="570"/>
        <v/>
      </c>
      <c r="QQ139" s="43" t="str">
        <f t="shared" si="571"/>
        <v/>
      </c>
      <c r="QR139" s="43">
        <f t="shared" si="672"/>
        <v>36</v>
      </c>
      <c r="QS139" s="43"/>
      <c r="QT139" s="21" t="str">
        <f t="shared" si="572"/>
        <v/>
      </c>
      <c r="QU139" s="21" t="str">
        <f t="shared" si="573"/>
        <v/>
      </c>
      <c r="QV139" s="21" t="str">
        <f t="shared" si="574"/>
        <v/>
      </c>
      <c r="QW139" s="21" t="str">
        <f t="shared" si="575"/>
        <v/>
      </c>
      <c r="QX139" s="21" t="str">
        <f t="shared" si="576"/>
        <v/>
      </c>
      <c r="QY139" s="21" t="str">
        <f t="shared" si="577"/>
        <v/>
      </c>
      <c r="QZ139" s="21" t="str">
        <f t="shared" si="578"/>
        <v/>
      </c>
      <c r="RA139" s="21" t="str">
        <f t="shared" si="579"/>
        <v/>
      </c>
      <c r="RB139" s="21" t="str">
        <f t="shared" si="580"/>
        <v/>
      </c>
      <c r="RC139" s="21" t="str">
        <f t="shared" si="581"/>
        <v/>
      </c>
      <c r="RD139" s="21" t="str">
        <f t="shared" si="582"/>
        <v/>
      </c>
      <c r="RE139" s="21" t="str">
        <f t="shared" si="583"/>
        <v/>
      </c>
      <c r="RF139" s="21" t="str">
        <f t="shared" si="584"/>
        <v/>
      </c>
      <c r="RG139" s="21" t="str">
        <f t="shared" si="585"/>
        <v/>
      </c>
      <c r="RH139" s="21" t="str">
        <f t="shared" si="586"/>
        <v/>
      </c>
      <c r="RI139" s="21" t="str">
        <f t="shared" si="587"/>
        <v/>
      </c>
      <c r="RJ139" s="21" t="str">
        <f t="shared" si="588"/>
        <v/>
      </c>
      <c r="RK139" s="21" t="str">
        <f t="shared" si="589"/>
        <v/>
      </c>
      <c r="RL139" s="21" t="str">
        <f t="shared" si="590"/>
        <v/>
      </c>
      <c r="RM139" s="21" t="str">
        <f t="shared" si="591"/>
        <v/>
      </c>
      <c r="RN139" s="21" t="str">
        <f t="shared" si="592"/>
        <v/>
      </c>
      <c r="RO139" s="21" t="str">
        <f t="shared" si="593"/>
        <v/>
      </c>
      <c r="RP139" s="21" t="str">
        <f t="shared" si="594"/>
        <v/>
      </c>
      <c r="RQ139" s="21" t="str">
        <f t="shared" si="595"/>
        <v>ALTO PARA EDAD GESTACIONAL</v>
      </c>
      <c r="RR139" s="21" t="str">
        <f t="shared" si="596"/>
        <v/>
      </c>
      <c r="RS139" s="21" t="str">
        <f t="shared" si="597"/>
        <v/>
      </c>
      <c r="RT139" s="21" t="str">
        <f t="shared" si="598"/>
        <v/>
      </c>
      <c r="RU139" s="21" t="str">
        <f t="shared" si="599"/>
        <v/>
      </c>
      <c r="RV139" s="21">
        <f t="shared" si="600"/>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3"/>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1"/>
        <v>18.706849315068492</v>
      </c>
      <c r="O140" s="22">
        <v>45016</v>
      </c>
      <c r="P140" s="214" t="str">
        <f t="shared" si="438"/>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2"/>
        <v>0</v>
      </c>
      <c r="BR140" s="223">
        <f t="shared" si="603"/>
        <v>44862</v>
      </c>
      <c r="BS140" s="224">
        <f t="shared" si="604"/>
        <v>32.571428571428569</v>
      </c>
      <c r="BT140" s="216" t="str">
        <f t="shared" si="605"/>
        <v>III TRIM</v>
      </c>
      <c r="BU140" s="214" t="str">
        <f t="shared" ca="1" si="606"/>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7"/>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8"/>
        <v>45062</v>
      </c>
      <c r="CL140" s="21">
        <v>53.7</v>
      </c>
      <c r="CM140" s="214" t="str">
        <f t="shared" si="609"/>
        <v>SD</v>
      </c>
      <c r="CN140" s="216">
        <f t="shared" si="610"/>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9"/>
        <v>APARENTEMENTE NORMAL</v>
      </c>
      <c r="DA140" s="21">
        <v>90</v>
      </c>
      <c r="DB140" s="21">
        <v>70</v>
      </c>
      <c r="DC140" s="217" t="str">
        <f t="shared" si="611"/>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9"/>
        <v>SALE SIN PLAN DE PARTO</v>
      </c>
      <c r="DV140" s="226" t="str">
        <f t="shared" si="440"/>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2"/>
        <v/>
      </c>
      <c r="DY140" s="212">
        <f>IF(R140="","",IF(R140&gt;0,MAX(Tabla1[[#This Row],[FECHA C2]:[FECHA C13]],Tabla1[[#This Row],[FECHA CONSULTA PRIMERA VEZ PROGRAMA CPN ]])))</f>
        <v>45062</v>
      </c>
      <c r="DZ140" s="216">
        <f t="shared" si="613"/>
        <v>39</v>
      </c>
      <c r="EA140" s="222">
        <f>IF(R140&gt;0,SUM(COUNTA(DF140:DQ140)+COUNTA(Tabla1[[#This Row],[FECHA CONSULTA PRIMERA VEZ PROGRAMA CPN ]])),"")</f>
        <v>2</v>
      </c>
      <c r="EB140" s="222" t="str">
        <f t="shared" si="614"/>
        <v>NO</v>
      </c>
      <c r="EC140" s="214">
        <f t="shared" si="615"/>
        <v>3</v>
      </c>
      <c r="ED140" s="227">
        <f t="shared" si="616"/>
        <v>0.66666666666666663</v>
      </c>
      <c r="EE140" s="22">
        <v>45016</v>
      </c>
      <c r="EF140" s="22">
        <v>45016</v>
      </c>
      <c r="EG140" s="22">
        <v>45016</v>
      </c>
      <c r="EH140" s="22"/>
      <c r="EI140" s="22">
        <v>45016</v>
      </c>
      <c r="EJ140" s="22"/>
      <c r="EK140" s="22"/>
      <c r="EL140" s="21"/>
      <c r="EM140" s="21">
        <v>12.7</v>
      </c>
      <c r="EN140" s="22">
        <v>45016</v>
      </c>
      <c r="EO140" s="222">
        <f t="shared" si="617"/>
        <v>32.571428571428569</v>
      </c>
      <c r="EP140" s="214" t="str">
        <f t="shared" si="618"/>
        <v>NORMAL- SUMINISTRAR SULFATO FERROSO</v>
      </c>
      <c r="EQ140" s="216" t="str">
        <f t="shared" si="619"/>
        <v>III TRIM</v>
      </c>
      <c r="ER140" s="24"/>
      <c r="ES140" s="22"/>
      <c r="ET140" s="29" t="str">
        <f t="shared" ca="1" si="441"/>
        <v>SALE SIN TAMIZAJE HEMOGLOBINA SEM 28</v>
      </c>
      <c r="EU140" s="25" t="str">
        <f t="shared" si="620"/>
        <v/>
      </c>
      <c r="EV140" s="24" t="s">
        <v>866</v>
      </c>
      <c r="EW140" s="24">
        <v>45016</v>
      </c>
      <c r="EX140" s="22"/>
      <c r="EY140" s="29">
        <f t="shared" si="454"/>
        <v>32.571428571428569</v>
      </c>
      <c r="EZ140" s="25" t="str">
        <f t="shared" ca="1" si="455"/>
        <v/>
      </c>
      <c r="FA140" s="21">
        <v>83</v>
      </c>
      <c r="FB140" s="22">
        <v>45016</v>
      </c>
      <c r="FC140" s="29" t="str">
        <f t="shared" si="621"/>
        <v>NO APLICA &gt; 23 SEM -TOMAR PTOG</v>
      </c>
      <c r="FD140" s="29"/>
      <c r="FE140" s="29"/>
      <c r="FF140" s="29"/>
      <c r="FG140" s="21" t="str">
        <f t="shared" ca="1" si="622"/>
        <v/>
      </c>
      <c r="FH140" s="31"/>
      <c r="FI140" s="29" t="str">
        <f t="shared" si="623"/>
        <v>TOMAR EXAMEN</v>
      </c>
      <c r="FJ140" s="22"/>
      <c r="FK140" s="22"/>
      <c r="FL140" s="29" t="str">
        <f t="shared" ca="1" si="624"/>
        <v>NO APLICA-INGRESO TARDIO</v>
      </c>
      <c r="FM140" s="22"/>
      <c r="FN140" s="32"/>
      <c r="FO140" s="29" t="str">
        <f t="shared" ca="1" si="442"/>
        <v>NO APLICA-INGRESO TARDIO</v>
      </c>
      <c r="FP140" s="22" t="s">
        <v>867</v>
      </c>
      <c r="FQ140" s="32">
        <v>45016</v>
      </c>
      <c r="FR140" s="29">
        <f t="shared" ca="1" si="443"/>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5"/>
        <v>TOMAR EXAMEN</v>
      </c>
      <c r="FY140" s="22">
        <v>45016</v>
      </c>
      <c r="FZ140" s="22">
        <v>45016</v>
      </c>
      <c r="GA140" s="29" t="str">
        <f t="shared" si="498"/>
        <v>REGISTRAR EN III TRIMESTRE</v>
      </c>
      <c r="GB140" s="22"/>
      <c r="GC140" s="22"/>
      <c r="GD140" s="29" t="str">
        <f t="shared" ca="1" si="491"/>
        <v>NO APLICA-INGRESO TARDIO</v>
      </c>
      <c r="GE140" s="22" t="s">
        <v>868</v>
      </c>
      <c r="GF140" s="22">
        <v>45016</v>
      </c>
      <c r="GG140" s="29">
        <f t="shared" ca="1" si="445"/>
        <v>32.571428571428569</v>
      </c>
      <c r="GH140" s="22"/>
      <c r="GI140" s="29"/>
      <c r="GJ140" s="22"/>
      <c r="GK140" s="22"/>
      <c r="GL140" s="22"/>
      <c r="GM140" s="22"/>
      <c r="GN140" s="28"/>
      <c r="GO140" s="22"/>
      <c r="GP140" s="29" t="str">
        <f t="shared" si="626"/>
        <v>TOMAR EXAMEN</v>
      </c>
      <c r="GQ140" s="28"/>
      <c r="GR140" s="28"/>
      <c r="GS140" s="22" t="str">
        <f t="shared" si="627"/>
        <v/>
      </c>
      <c r="GT140" s="22"/>
      <c r="GU140" s="29" t="str">
        <f t="shared" si="628"/>
        <v>TOMAR EXAMEN</v>
      </c>
      <c r="GV140" s="21" t="str">
        <f t="shared" si="629"/>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30"/>
        <v>#REF!</v>
      </c>
      <c r="HI140" s="22" t="e">
        <f t="shared" ca="1" si="631"/>
        <v>#REF!</v>
      </c>
      <c r="HJ140" s="21" t="str">
        <f t="shared" ca="1" si="632"/>
        <v>**********************MULTIPARIDAD*****************</v>
      </c>
      <c r="HK140" s="21" t="str">
        <f t="shared" si="633"/>
        <v>SIN ANTECEDENTES DE RIESGO</v>
      </c>
      <c r="HL140" s="24" t="str">
        <f t="shared" si="634"/>
        <v>VIGILAR CIFRAS PRESION ARTERIAL</v>
      </c>
      <c r="HM140" s="21" t="str">
        <f t="shared" ca="1" si="635"/>
        <v/>
      </c>
      <c r="HN140" s="30" t="str">
        <f t="shared" si="446"/>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6"/>
        <v>32.571428571428569</v>
      </c>
      <c r="IA140" s="26" t="s">
        <v>864</v>
      </c>
      <c r="IB140" s="26"/>
      <c r="IC140" s="111"/>
      <c r="ID140" s="22"/>
      <c r="IE140" s="22" t="str">
        <f t="shared" ca="1" si="637"/>
        <v>SALE SIN VACUNA</v>
      </c>
      <c r="IF140" s="22"/>
      <c r="IG140" s="22">
        <f t="shared" si="638"/>
        <v>45068</v>
      </c>
      <c r="IH140" s="29">
        <f t="shared" ca="1" si="639"/>
        <v>-164</v>
      </c>
      <c r="II140" s="22" t="str">
        <f t="shared" ca="1" si="640"/>
        <v>POSIBLEMENTE NACIO</v>
      </c>
      <c r="IJ140" s="22"/>
      <c r="IK140" s="21" t="s">
        <v>898</v>
      </c>
      <c r="IL140" s="21"/>
      <c r="IM140" s="34"/>
      <c r="IN140" s="349">
        <v>45073</v>
      </c>
      <c r="IO140" s="21" t="s">
        <v>1640</v>
      </c>
      <c r="IP140" s="29">
        <f t="shared" si="674"/>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2"/>
        <v>PESO ADECUADO EDAD GESTACIONAL</v>
      </c>
      <c r="JF140" s="30"/>
      <c r="JG140" s="21"/>
      <c r="JH140" s="21"/>
      <c r="JI140" s="21"/>
      <c r="JJ140" s="30"/>
      <c r="JK140" s="22"/>
      <c r="JL140" s="22"/>
      <c r="JM140" s="21"/>
      <c r="JN140" s="36"/>
      <c r="JO140" s="21" t="str">
        <f t="shared" si="493"/>
        <v/>
      </c>
      <c r="JP140" s="22"/>
      <c r="JQ140" s="21"/>
      <c r="JR140" s="21"/>
      <c r="JS140" s="21"/>
      <c r="JT140" s="30"/>
      <c r="JU140" s="22"/>
      <c r="JV140" s="22"/>
      <c r="JW140" s="33"/>
      <c r="JX140" s="28" t="str">
        <f t="shared" si="494"/>
        <v>INASISTENTE</v>
      </c>
      <c r="JY140" s="33"/>
      <c r="JZ140" s="28" t="str">
        <f t="shared" si="495"/>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41"/>
        <v>0</v>
      </c>
      <c r="MI140" s="43" t="str">
        <f t="shared" si="642"/>
        <v/>
      </c>
      <c r="MJ140" s="43" t="str">
        <f t="shared" si="643"/>
        <v/>
      </c>
      <c r="MK140" s="43">
        <f t="shared" si="644"/>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5"/>
        <v>32.571428571428569</v>
      </c>
      <c r="MN140" s="43">
        <f t="shared" si="646"/>
        <v>3</v>
      </c>
      <c r="MO140" s="43">
        <f t="shared" si="647"/>
        <v>2023</v>
      </c>
      <c r="MP140" s="43" t="str">
        <f t="shared" si="648"/>
        <v>I TRIMESTRE AÑO</v>
      </c>
      <c r="MQ140" s="43">
        <f t="shared" si="649"/>
        <v>17.849321068769161</v>
      </c>
      <c r="MR140" s="43">
        <f t="shared" si="650"/>
        <v>0</v>
      </c>
      <c r="MS140" s="43" t="str">
        <f t="shared" si="651"/>
        <v>DE 14 A 19AÑOS</v>
      </c>
      <c r="MT140" s="43">
        <f t="shared" si="652"/>
        <v>0</v>
      </c>
      <c r="MU140" s="43">
        <f t="shared" si="653"/>
        <v>1</v>
      </c>
      <c r="MV140" s="43">
        <f t="shared" si="654"/>
        <v>0</v>
      </c>
      <c r="MW140" s="43">
        <f t="shared" si="655"/>
        <v>0</v>
      </c>
      <c r="MX140" s="43" t="str">
        <f t="shared" si="656"/>
        <v/>
      </c>
      <c r="MY140" s="43" t="str">
        <f t="shared" ca="1" si="496"/>
        <v/>
      </c>
      <c r="MZ140" s="43" t="str">
        <f t="shared" si="657"/>
        <v/>
      </c>
      <c r="NA140" s="43">
        <f t="shared" si="658"/>
        <v>0</v>
      </c>
      <c r="NB140" s="43" t="str">
        <f t="shared" si="659"/>
        <v/>
      </c>
      <c r="NC140" s="43" t="str">
        <f t="shared" si="660"/>
        <v/>
      </c>
      <c r="ND140" s="43">
        <f t="shared" ca="1" si="661"/>
        <v>1</v>
      </c>
      <c r="NE140" s="43">
        <f>IF(OR(O140&gt;0,R140&gt;0),SUM(COUNTIF(Tabla1[[#This Row],[AÑOS AL INICIO5 CPN]],"&gt;=40"),COUNTIF(AS140,"0"),COUNTIF(AR140,"SI"),COUNTIF(CC140,"SI"),COUNTIF(BQ140,"&gt;119"),COUNTIF(CI140,"&gt;=35")),"")</f>
        <v>1</v>
      </c>
      <c r="NF140" s="43" t="str">
        <f t="shared" si="662"/>
        <v/>
      </c>
      <c r="NG140" s="43">
        <f t="shared" si="663"/>
        <v>0</v>
      </c>
      <c r="NH140" s="43">
        <f t="shared" si="664"/>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5"/>
        <v>X</v>
      </c>
      <c r="NM140" s="43" t="str">
        <f t="shared" si="501"/>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6"/>
        <v>III TRIM</v>
      </c>
      <c r="NQ140" s="21" t="e">
        <f t="shared" si="500"/>
        <v>#VALUE!</v>
      </c>
      <c r="NR140" s="21">
        <f t="shared" si="497"/>
        <v>1</v>
      </c>
      <c r="NS140" s="205">
        <f t="shared" ca="1" si="667"/>
        <v>1</v>
      </c>
      <c r="NT140" s="21">
        <f t="shared" ca="1" si="668"/>
        <v>1</v>
      </c>
      <c r="NU140" s="21" t="str">
        <f t="shared" ca="1" si="669"/>
        <v>COMPLETO</v>
      </c>
      <c r="NV140" s="21" t="str">
        <f t="shared" ca="1" si="670"/>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71"/>
        <v>SIN VACUNAR</v>
      </c>
      <c r="NY140" s="43">
        <f>ROW(Tabla1[[#This Row],['# DE TAMIZAJES SIFILIS TOMADOS ]])</f>
        <v>140</v>
      </c>
      <c r="NZ140" s="43">
        <f t="shared" si="502"/>
        <v>32</v>
      </c>
      <c r="OA140" s="43" t="str">
        <f t="shared" si="503"/>
        <v/>
      </c>
      <c r="OB140" s="43" t="str">
        <f t="shared" si="504"/>
        <v/>
      </c>
      <c r="OC140" s="43" t="str">
        <f t="shared" si="505"/>
        <v/>
      </c>
      <c r="OD140" s="43" t="str">
        <f t="shared" si="506"/>
        <v/>
      </c>
      <c r="OE140" s="43" t="str">
        <f t="shared" si="507"/>
        <v/>
      </c>
      <c r="OF140" s="43" t="str">
        <f t="shared" si="508"/>
        <v/>
      </c>
      <c r="OG140" s="43" t="str">
        <f t="shared" si="509"/>
        <v/>
      </c>
      <c r="OH140" s="43" t="str">
        <f t="shared" si="510"/>
        <v/>
      </c>
      <c r="OI140" s="43" t="str">
        <f t="shared" si="511"/>
        <v/>
      </c>
      <c r="OJ140" s="43" t="str">
        <f t="shared" si="512"/>
        <v/>
      </c>
      <c r="OK140" s="43" t="str">
        <f t="shared" si="513"/>
        <v/>
      </c>
      <c r="OL140" s="43" t="str">
        <f t="shared" si="514"/>
        <v/>
      </c>
      <c r="OM140" s="43" t="str">
        <f t="shared" si="515"/>
        <v/>
      </c>
      <c r="ON140" s="43" t="str">
        <f t="shared" si="516"/>
        <v/>
      </c>
      <c r="OO140" s="43" t="str">
        <f t="shared" si="517"/>
        <v/>
      </c>
      <c r="OP140" s="43" t="str">
        <f t="shared" si="518"/>
        <v/>
      </c>
      <c r="OQ140" s="43" t="str">
        <f t="shared" si="519"/>
        <v/>
      </c>
      <c r="OR140" s="43" t="str">
        <f t="shared" si="520"/>
        <v/>
      </c>
      <c r="OS140" s="43" t="str">
        <f t="shared" si="521"/>
        <v/>
      </c>
      <c r="OT140" s="43" t="str">
        <f t="shared" si="522"/>
        <v/>
      </c>
      <c r="OU140" s="43" t="str">
        <f t="shared" si="523"/>
        <v/>
      </c>
      <c r="OV140" s="110" t="str">
        <f t="shared" si="524"/>
        <v/>
      </c>
      <c r="OW140" s="43" t="str">
        <f t="shared" si="525"/>
        <v/>
      </c>
      <c r="OX140" s="43" t="str">
        <f t="shared" si="526"/>
        <v/>
      </c>
      <c r="OY140" s="43" t="str">
        <f t="shared" si="527"/>
        <v/>
      </c>
      <c r="OZ140" s="43" t="str">
        <f t="shared" si="528"/>
        <v/>
      </c>
      <c r="PA140" s="43" t="str">
        <f t="shared" si="529"/>
        <v/>
      </c>
      <c r="PB140" s="43" t="str">
        <f t="shared" si="530"/>
        <v/>
      </c>
      <c r="PC140" s="43" t="str">
        <f t="shared" si="531"/>
        <v/>
      </c>
      <c r="PD140" s="43" t="str">
        <f t="shared" si="532"/>
        <v/>
      </c>
      <c r="PE140" s="43" t="str">
        <f t="shared" si="533"/>
        <v/>
      </c>
      <c r="PF140" s="43" t="str">
        <f t="shared" si="534"/>
        <v/>
      </c>
      <c r="PG140" s="43" t="str">
        <f t="shared" si="535"/>
        <v/>
      </c>
      <c r="PH140" s="43" t="str">
        <f t="shared" si="536"/>
        <v/>
      </c>
      <c r="PI140" s="43">
        <f t="shared" si="537"/>
        <v>39</v>
      </c>
      <c r="PJ140" s="43" t="str">
        <f t="shared" si="538"/>
        <v/>
      </c>
      <c r="PK140" s="43" t="str">
        <f t="shared" si="539"/>
        <v/>
      </c>
      <c r="PL140" s="43" t="str">
        <f t="shared" si="540"/>
        <v/>
      </c>
      <c r="PM140" s="43" t="str">
        <f t="shared" si="541"/>
        <v/>
      </c>
      <c r="PN140" s="43" t="str">
        <f t="shared" si="542"/>
        <v/>
      </c>
      <c r="PO140" s="43" t="str">
        <f t="shared" si="543"/>
        <v/>
      </c>
      <c r="PP140" s="43" t="str">
        <f t="shared" si="544"/>
        <v/>
      </c>
      <c r="PQ140" s="43" t="str">
        <f t="shared" si="545"/>
        <v/>
      </c>
      <c r="PR140" s="43" t="str">
        <f t="shared" si="546"/>
        <v/>
      </c>
      <c r="PS140" s="43" t="str">
        <f t="shared" si="547"/>
        <v/>
      </c>
      <c r="PT140" s="43" t="str">
        <f t="shared" si="548"/>
        <v/>
      </c>
      <c r="PU140" s="43" t="str">
        <f t="shared" si="549"/>
        <v/>
      </c>
      <c r="PV140" s="43" t="str">
        <f t="shared" si="550"/>
        <v/>
      </c>
      <c r="PW140" s="43" t="str">
        <f t="shared" si="551"/>
        <v/>
      </c>
      <c r="PX140" s="43" t="str">
        <f t="shared" si="552"/>
        <v/>
      </c>
      <c r="PY140" s="43" t="str">
        <f t="shared" si="553"/>
        <v/>
      </c>
      <c r="PZ140" s="43" t="str">
        <f t="shared" si="554"/>
        <v/>
      </c>
      <c r="QA140" s="43" t="str">
        <f t="shared" si="555"/>
        <v/>
      </c>
      <c r="QB140" s="43" t="str">
        <f t="shared" si="556"/>
        <v/>
      </c>
      <c r="QC140" s="43" t="str">
        <f t="shared" si="557"/>
        <v/>
      </c>
      <c r="QD140" s="43" t="str">
        <f t="shared" si="558"/>
        <v/>
      </c>
      <c r="QE140" s="43" t="str">
        <f t="shared" si="559"/>
        <v/>
      </c>
      <c r="QF140" s="43" t="str">
        <f t="shared" si="560"/>
        <v/>
      </c>
      <c r="QG140" s="43" t="str">
        <f t="shared" si="561"/>
        <v/>
      </c>
      <c r="QH140" s="43" t="str">
        <f t="shared" si="562"/>
        <v/>
      </c>
      <c r="QI140" s="43" t="str">
        <f t="shared" si="563"/>
        <v/>
      </c>
      <c r="QJ140" s="43" t="str">
        <f t="shared" si="564"/>
        <v/>
      </c>
      <c r="QK140" s="43" t="str">
        <f t="shared" si="565"/>
        <v/>
      </c>
      <c r="QL140" s="43" t="str">
        <f t="shared" si="566"/>
        <v/>
      </c>
      <c r="QM140" s="43" t="str">
        <f t="shared" si="567"/>
        <v/>
      </c>
      <c r="QN140" s="43" t="str">
        <f t="shared" si="568"/>
        <v/>
      </c>
      <c r="QO140" s="43" t="str">
        <f t="shared" si="569"/>
        <v/>
      </c>
      <c r="QP140" s="43" t="str">
        <f t="shared" si="570"/>
        <v/>
      </c>
      <c r="QQ140" s="43" t="str">
        <f t="shared" si="571"/>
        <v/>
      </c>
      <c r="QR140" s="43">
        <f t="shared" si="672"/>
        <v>39</v>
      </c>
      <c r="QS140" s="43"/>
      <c r="QT140" s="21" t="str">
        <f t="shared" si="572"/>
        <v/>
      </c>
      <c r="QU140" s="21" t="str">
        <f t="shared" si="573"/>
        <v/>
      </c>
      <c r="QV140" s="21" t="str">
        <f t="shared" si="574"/>
        <v/>
      </c>
      <c r="QW140" s="21" t="str">
        <f t="shared" si="575"/>
        <v/>
      </c>
      <c r="QX140" s="21" t="str">
        <f t="shared" si="576"/>
        <v/>
      </c>
      <c r="QY140" s="21" t="str">
        <f t="shared" si="577"/>
        <v/>
      </c>
      <c r="QZ140" s="21" t="str">
        <f t="shared" si="578"/>
        <v/>
      </c>
      <c r="RA140" s="21" t="str">
        <f t="shared" si="579"/>
        <v/>
      </c>
      <c r="RB140" s="21" t="str">
        <f t="shared" si="580"/>
        <v/>
      </c>
      <c r="RC140" s="21" t="str">
        <f t="shared" si="581"/>
        <v/>
      </c>
      <c r="RD140" s="21" t="str">
        <f t="shared" si="582"/>
        <v/>
      </c>
      <c r="RE140" s="21" t="str">
        <f t="shared" si="583"/>
        <v/>
      </c>
      <c r="RF140" s="21" t="str">
        <f t="shared" si="584"/>
        <v/>
      </c>
      <c r="RG140" s="21" t="str">
        <f t="shared" si="585"/>
        <v/>
      </c>
      <c r="RH140" s="21" t="str">
        <f t="shared" si="586"/>
        <v/>
      </c>
      <c r="RI140" s="21" t="str">
        <f t="shared" si="587"/>
        <v/>
      </c>
      <c r="RJ140" s="21" t="str">
        <f t="shared" si="588"/>
        <v/>
      </c>
      <c r="RK140" s="21" t="str">
        <f t="shared" si="589"/>
        <v/>
      </c>
      <c r="RL140" s="21" t="str">
        <f t="shared" si="590"/>
        <v/>
      </c>
      <c r="RM140" s="21" t="str">
        <f t="shared" si="591"/>
        <v/>
      </c>
      <c r="RN140" s="21" t="str">
        <f t="shared" si="592"/>
        <v/>
      </c>
      <c r="RO140" s="21" t="str">
        <f t="shared" si="593"/>
        <v/>
      </c>
      <c r="RP140" s="21" t="str">
        <f t="shared" si="594"/>
        <v/>
      </c>
      <c r="RQ140" s="21" t="str">
        <f t="shared" si="595"/>
        <v/>
      </c>
      <c r="RR140" s="21" t="str">
        <f t="shared" si="596"/>
        <v/>
      </c>
      <c r="RS140" s="21" t="str">
        <f t="shared" si="597"/>
        <v/>
      </c>
      <c r="RT140" s="21" t="str">
        <f t="shared" si="598"/>
        <v/>
      </c>
      <c r="RU140" s="21" t="str">
        <f t="shared" si="599"/>
        <v/>
      </c>
      <c r="RV140" s="21">
        <f t="shared" si="600"/>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3"/>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1"/>
        <v>21.5013698630137</v>
      </c>
      <c r="O141" s="22">
        <v>45012</v>
      </c>
      <c r="P141" s="214" t="str">
        <f t="shared" si="438"/>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2"/>
        <v/>
      </c>
      <c r="BR141" s="223" t="str">
        <f t="shared" si="603"/>
        <v/>
      </c>
      <c r="BS141" s="224" t="str">
        <f t="shared" si="604"/>
        <v/>
      </c>
      <c r="BT141" s="216" t="str">
        <f t="shared" si="605"/>
        <v/>
      </c>
      <c r="BU141" s="214" t="str">
        <f t="shared" ca="1" si="606"/>
        <v/>
      </c>
      <c r="BV141" s="25"/>
      <c r="BW141" s="22"/>
      <c r="BX141" s="28"/>
      <c r="BY141" s="28"/>
      <c r="BZ141" s="22"/>
      <c r="CA141" s="21"/>
      <c r="CB141" s="26"/>
      <c r="CC141" s="26"/>
      <c r="CD141" s="26"/>
      <c r="CE141" s="26"/>
      <c r="CF141" s="22" t="s">
        <v>1517</v>
      </c>
      <c r="CG141" s="21">
        <v>1.58</v>
      </c>
      <c r="CH141" s="21">
        <v>80</v>
      </c>
      <c r="CI141" s="214">
        <f t="shared" si="607"/>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8"/>
        <v>45012</v>
      </c>
      <c r="CL141" s="21"/>
      <c r="CM141" s="214">
        <f t="shared" si="609"/>
        <v>0</v>
      </c>
      <c r="CN141" s="216" t="str">
        <f t="shared" si="610"/>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9"/>
        <v/>
      </c>
      <c r="DA141" s="21"/>
      <c r="DB141" s="21"/>
      <c r="DC141" s="217" t="str">
        <f t="shared" si="611"/>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9"/>
        <v>#VALUE!</v>
      </c>
      <c r="DV141" s="226" t="str">
        <f t="shared" si="440"/>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2"/>
        <v/>
      </c>
      <c r="DY141" s="212">
        <f>IF(R141="","",IF(R141&gt;0,MAX(Tabla1[[#This Row],[FECHA C2]:[FECHA C13]],Tabla1[[#This Row],[FECHA CONSULTA PRIMERA VEZ PROGRAMA CPN ]])))</f>
        <v>45012</v>
      </c>
      <c r="DZ141" s="216" t="str">
        <f t="shared" si="613"/>
        <v>REVISAR FUM O FECHA CPN</v>
      </c>
      <c r="EA141" s="222">
        <f>IF(R141&gt;0,SUM(COUNTA(DF141:DQ141)+COUNTA(Tabla1[[#This Row],[FECHA CONSULTA PRIMERA VEZ PROGRAMA CPN ]])),"")</f>
        <v>1</v>
      </c>
      <c r="EB141" s="222" t="str">
        <f t="shared" si="614"/>
        <v>NO</v>
      </c>
      <c r="EC141" s="214" t="str">
        <f t="shared" si="615"/>
        <v/>
      </c>
      <c r="ED141" s="227" t="str">
        <f t="shared" si="616"/>
        <v/>
      </c>
      <c r="EE141" s="22">
        <v>45012</v>
      </c>
      <c r="EF141" s="22"/>
      <c r="EG141" s="22">
        <v>45012</v>
      </c>
      <c r="EH141" s="22"/>
      <c r="EI141" s="22">
        <v>45012</v>
      </c>
      <c r="EJ141" s="22"/>
      <c r="EK141" s="22"/>
      <c r="EL141" s="21"/>
      <c r="EM141" s="21"/>
      <c r="EN141" s="22"/>
      <c r="EO141" s="222" t="e">
        <f t="shared" si="617"/>
        <v>#VALUE!</v>
      </c>
      <c r="EP141" s="214" t="str">
        <f t="shared" si="618"/>
        <v/>
      </c>
      <c r="EQ141" s="216" t="e">
        <f t="shared" si="619"/>
        <v>#VALUE!</v>
      </c>
      <c r="ER141" s="24"/>
      <c r="ES141" s="22"/>
      <c r="ET141" s="29" t="e">
        <f t="shared" si="441"/>
        <v>#VALUE!</v>
      </c>
      <c r="EU141" s="25" t="str">
        <f t="shared" si="620"/>
        <v/>
      </c>
      <c r="EV141" s="24"/>
      <c r="EW141" s="24"/>
      <c r="EX141" s="22"/>
      <c r="EY141" s="29" t="e">
        <f t="shared" si="454"/>
        <v>#VALUE!</v>
      </c>
      <c r="EZ141" s="25" t="str">
        <f t="shared" ca="1" si="455"/>
        <v/>
      </c>
      <c r="FA141" s="21"/>
      <c r="FB141" s="22"/>
      <c r="FC141" s="29" t="e">
        <f t="shared" si="621"/>
        <v>#VALUE!</v>
      </c>
      <c r="FD141" s="29"/>
      <c r="FE141" s="29"/>
      <c r="FF141" s="29"/>
      <c r="FG141" s="21" t="e">
        <f t="shared" si="622"/>
        <v>#VALUE!</v>
      </c>
      <c r="FH141" s="31"/>
      <c r="FI141" s="29" t="e">
        <f t="shared" si="623"/>
        <v>#VALUE!</v>
      </c>
      <c r="FJ141" s="22"/>
      <c r="FK141" s="22"/>
      <c r="FL141" s="29" t="e">
        <f t="shared" si="624"/>
        <v>#VALUE!</v>
      </c>
      <c r="FM141" s="22"/>
      <c r="FN141" s="32"/>
      <c r="FO141" s="29" t="e">
        <f t="shared" ca="1" si="442"/>
        <v>#VALUE!</v>
      </c>
      <c r="FP141" s="22"/>
      <c r="FQ141" s="32"/>
      <c r="FR141" s="29" t="e">
        <f t="shared" ca="1" si="443"/>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5"/>
        <v>#VALUE!</v>
      </c>
      <c r="FY141" s="22"/>
      <c r="FZ141" s="22"/>
      <c r="GA141" s="29" t="e">
        <f t="shared" si="498"/>
        <v>#VALUE!</v>
      </c>
      <c r="GB141" s="22"/>
      <c r="GC141" s="22"/>
      <c r="GD141" s="29" t="e">
        <f t="shared" ca="1" si="491"/>
        <v>#VALUE!</v>
      </c>
      <c r="GE141" s="22"/>
      <c r="GF141" s="22"/>
      <c r="GG141" s="29" t="e">
        <f t="shared" ca="1" si="445"/>
        <v>#VALUE!</v>
      </c>
      <c r="GH141" s="22"/>
      <c r="GI141" s="29"/>
      <c r="GJ141" s="22"/>
      <c r="GK141" s="22"/>
      <c r="GL141" s="22"/>
      <c r="GM141" s="22"/>
      <c r="GN141" s="28"/>
      <c r="GO141" s="22"/>
      <c r="GP141" s="29" t="e">
        <f t="shared" si="626"/>
        <v>#VALUE!</v>
      </c>
      <c r="GQ141" s="28"/>
      <c r="GR141" s="28"/>
      <c r="GS141" s="22" t="str">
        <f t="shared" si="627"/>
        <v/>
      </c>
      <c r="GT141" s="22"/>
      <c r="GU141" s="29" t="str">
        <f t="shared" si="628"/>
        <v>TOMAR EXAMEN</v>
      </c>
      <c r="GV141" s="21" t="str">
        <f t="shared" si="629"/>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30"/>
        <v>#REF!</v>
      </c>
      <c r="HI141" s="22" t="e">
        <f t="shared" ca="1" si="631"/>
        <v>#REF!</v>
      </c>
      <c r="HJ141" s="21" t="e">
        <f t="shared" ca="1" si="632"/>
        <v>#VALUE!</v>
      </c>
      <c r="HK141" s="21" t="str">
        <f t="shared" si="633"/>
        <v>SIN ANTECEDENTES DE RIESGO</v>
      </c>
      <c r="HL141" s="24" t="str">
        <f t="shared" si="634"/>
        <v>REGISTRE DATO PRESIÓN ARTERIAL MENSUAL</v>
      </c>
      <c r="HM141" s="21" t="str">
        <f t="shared" ca="1" si="635"/>
        <v/>
      </c>
      <c r="HN141" s="30" t="str">
        <f t="shared" si="446"/>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6"/>
        <v>#VALUE!</v>
      </c>
      <c r="IA141" s="26"/>
      <c r="IB141" s="26"/>
      <c r="IC141" s="111"/>
      <c r="ID141" s="22"/>
      <c r="IE141" s="22" t="str">
        <f t="shared" si="637"/>
        <v>SIN DATO EDAD GESTACIONAL</v>
      </c>
      <c r="IF141" s="22"/>
      <c r="IG141" s="22" t="str">
        <f t="shared" si="638"/>
        <v/>
      </c>
      <c r="IH141" s="29" t="str">
        <f t="shared" ca="1" si="639"/>
        <v/>
      </c>
      <c r="II141" s="22" t="str">
        <f t="shared" ca="1" si="640"/>
        <v/>
      </c>
      <c r="IJ141" s="22"/>
      <c r="IK141" s="21" t="s">
        <v>898</v>
      </c>
      <c r="IL141" s="21"/>
      <c r="IM141" s="34"/>
      <c r="IN141" s="22">
        <v>45058</v>
      </c>
      <c r="IO141" s="21" t="s">
        <v>1640</v>
      </c>
      <c r="IP141" s="29" t="e">
        <f t="shared" si="674"/>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2"/>
        <v>#VALUE!</v>
      </c>
      <c r="JF141" s="30"/>
      <c r="JG141" s="21"/>
      <c r="JH141" s="21"/>
      <c r="JI141" s="21"/>
      <c r="JJ141" s="30"/>
      <c r="JK141" s="22"/>
      <c r="JL141" s="22"/>
      <c r="JM141" s="21"/>
      <c r="JN141" s="36"/>
      <c r="JO141" s="21" t="e">
        <f t="shared" si="493"/>
        <v>#VALUE!</v>
      </c>
      <c r="JP141" s="22"/>
      <c r="JQ141" s="21"/>
      <c r="JR141" s="21"/>
      <c r="JS141" s="21"/>
      <c r="JT141" s="30"/>
      <c r="JU141" s="22"/>
      <c r="JV141" s="22"/>
      <c r="JW141" s="33"/>
      <c r="JX141" s="28" t="str">
        <f t="shared" si="494"/>
        <v>INASISTENTE</v>
      </c>
      <c r="JY141" s="33"/>
      <c r="JZ141" s="28" t="str">
        <f t="shared" si="495"/>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41"/>
        <v>0</v>
      </c>
      <c r="MI141" s="43" t="str">
        <f t="shared" si="642"/>
        <v/>
      </c>
      <c r="MJ141" s="43" t="str">
        <f t="shared" si="643"/>
        <v/>
      </c>
      <c r="MK141" s="43">
        <f t="shared" si="644"/>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5"/>
        <v>#VALUE!</v>
      </c>
      <c r="MN141" s="43">
        <f t="shared" si="646"/>
        <v>3</v>
      </c>
      <c r="MO141" s="43">
        <f t="shared" si="647"/>
        <v>2023</v>
      </c>
      <c r="MP141" s="43" t="str">
        <f t="shared" si="648"/>
        <v>I TRIMESTRE AÑO</v>
      </c>
      <c r="MQ141" s="43">
        <f t="shared" si="649"/>
        <v>20.584209373631186</v>
      </c>
      <c r="MR141" s="43">
        <f t="shared" si="650"/>
        <v>0</v>
      </c>
      <c r="MS141" s="43" t="str">
        <f t="shared" si="651"/>
        <v xml:space="preserve"> DE 20 A 24 AÑOS</v>
      </c>
      <c r="MT141" s="43">
        <f t="shared" si="652"/>
        <v>0</v>
      </c>
      <c r="MU141" s="43">
        <f t="shared" si="653"/>
        <v>0</v>
      </c>
      <c r="MV141" s="43">
        <f t="shared" si="654"/>
        <v>0</v>
      </c>
      <c r="MW141" s="43">
        <f t="shared" si="655"/>
        <v>0</v>
      </c>
      <c r="MX141" s="43" t="str">
        <f t="shared" si="656"/>
        <v/>
      </c>
      <c r="MY141" s="43" t="str">
        <f t="shared" ca="1" si="496"/>
        <v/>
      </c>
      <c r="MZ141" s="43" t="str">
        <f t="shared" si="657"/>
        <v/>
      </c>
      <c r="NA141" s="43" t="str">
        <f t="shared" si="658"/>
        <v/>
      </c>
      <c r="NB141" s="43" t="str">
        <f t="shared" si="659"/>
        <v/>
      </c>
      <c r="NC141" s="43" t="str">
        <f t="shared" si="660"/>
        <v/>
      </c>
      <c r="ND141" s="43">
        <f t="shared" ca="1" si="661"/>
        <v>0</v>
      </c>
      <c r="NE141" s="43">
        <f>IF(OR(O141&gt;0,R141&gt;0),SUM(COUNTIF(Tabla1[[#This Row],[AÑOS AL INICIO5 CPN]],"&gt;=40"),COUNTIF(AS141,"0"),COUNTIF(AR141,"SI"),COUNTIF(CC141,"SI"),COUNTIF(BQ141,"&gt;119"),COUNTIF(CI141,"&gt;=35")),"")</f>
        <v>0</v>
      </c>
      <c r="NF141" s="43" t="str">
        <f t="shared" si="662"/>
        <v>SD</v>
      </c>
      <c r="NG141" s="43">
        <f t="shared" si="663"/>
        <v>0</v>
      </c>
      <c r="NH141" s="43" t="str">
        <f t="shared" si="664"/>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5"/>
        <v>X</v>
      </c>
      <c r="NM141" s="43" t="str">
        <f t="shared" si="501"/>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6"/>
        <v/>
      </c>
      <c r="NQ141" s="21" t="str">
        <f t="shared" si="500"/>
        <v/>
      </c>
      <c r="NR141" s="21" t="e">
        <f t="shared" si="497"/>
        <v>#VALUE!</v>
      </c>
      <c r="NS141" s="205">
        <f t="shared" ca="1" si="667"/>
        <v>0</v>
      </c>
      <c r="NT141" s="21">
        <f t="shared" ca="1" si="668"/>
        <v>0</v>
      </c>
      <c r="NU141" s="21" t="e">
        <f t="shared" si="669"/>
        <v>#VALUE!</v>
      </c>
      <c r="NV141" s="21" t="e">
        <f t="shared" si="670"/>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71"/>
        <v>SIN VACUNAR</v>
      </c>
      <c r="NY141" s="43">
        <f>ROW(Tabla1[[#This Row],['# DE TAMIZAJES SIFILIS TOMADOS ]])</f>
        <v>141</v>
      </c>
      <c r="NZ141" s="43" t="str">
        <f t="shared" si="502"/>
        <v/>
      </c>
      <c r="OA141" s="43" t="str">
        <f t="shared" si="503"/>
        <v/>
      </c>
      <c r="OB141" s="43" t="str">
        <f t="shared" si="504"/>
        <v/>
      </c>
      <c r="OC141" s="43" t="str">
        <f t="shared" si="505"/>
        <v/>
      </c>
      <c r="OD141" s="43" t="str">
        <f t="shared" si="506"/>
        <v/>
      </c>
      <c r="OE141" s="43" t="str">
        <f t="shared" si="507"/>
        <v/>
      </c>
      <c r="OF141" s="43" t="str">
        <f t="shared" si="508"/>
        <v/>
      </c>
      <c r="OG141" s="43" t="str">
        <f t="shared" si="509"/>
        <v/>
      </c>
      <c r="OH141" s="43" t="str">
        <f t="shared" si="510"/>
        <v/>
      </c>
      <c r="OI141" s="43" t="str">
        <f t="shared" si="511"/>
        <v/>
      </c>
      <c r="OJ141" s="43" t="str">
        <f t="shared" si="512"/>
        <v/>
      </c>
      <c r="OK141" s="43" t="str">
        <f t="shared" si="513"/>
        <v/>
      </c>
      <c r="OL141" s="43" t="str">
        <f t="shared" si="514"/>
        <v/>
      </c>
      <c r="OM141" s="43" t="str">
        <f t="shared" si="515"/>
        <v/>
      </c>
      <c r="ON141" s="43" t="str">
        <f t="shared" si="516"/>
        <v/>
      </c>
      <c r="OO141" s="43" t="str">
        <f t="shared" si="517"/>
        <v/>
      </c>
      <c r="OP141" s="43" t="str">
        <f t="shared" si="518"/>
        <v/>
      </c>
      <c r="OQ141" s="43" t="str">
        <f t="shared" si="519"/>
        <v/>
      </c>
      <c r="OR141" s="43" t="str">
        <f t="shared" si="520"/>
        <v/>
      </c>
      <c r="OS141" s="43" t="str">
        <f t="shared" si="521"/>
        <v/>
      </c>
      <c r="OT141" s="43" t="str">
        <f t="shared" si="522"/>
        <v/>
      </c>
      <c r="OU141" s="43" t="str">
        <f t="shared" si="523"/>
        <v/>
      </c>
      <c r="OV141" s="110" t="str">
        <f t="shared" si="524"/>
        <v/>
      </c>
      <c r="OW141" s="43" t="str">
        <f t="shared" si="525"/>
        <v/>
      </c>
      <c r="OX141" s="43" t="str">
        <f t="shared" si="526"/>
        <v/>
      </c>
      <c r="OY141" s="43" t="str">
        <f t="shared" si="527"/>
        <v/>
      </c>
      <c r="OZ141" s="43" t="str">
        <f t="shared" si="528"/>
        <v/>
      </c>
      <c r="PA141" s="43" t="str">
        <f t="shared" si="529"/>
        <v/>
      </c>
      <c r="PB141" s="43" t="str">
        <f t="shared" si="530"/>
        <v/>
      </c>
      <c r="PC141" s="43" t="str">
        <f t="shared" si="531"/>
        <v/>
      </c>
      <c r="PD141" s="43" t="str">
        <f t="shared" si="532"/>
        <v/>
      </c>
      <c r="PE141" s="43" t="str">
        <f t="shared" si="533"/>
        <v/>
      </c>
      <c r="PF141" s="43" t="str">
        <f t="shared" si="534"/>
        <v/>
      </c>
      <c r="PG141" s="43" t="str">
        <f t="shared" si="535"/>
        <v/>
      </c>
      <c r="PH141" s="43" t="str">
        <f t="shared" si="536"/>
        <v/>
      </c>
      <c r="PI141" s="43" t="str">
        <f t="shared" si="537"/>
        <v>REVISAR FUM O FECHA CPN</v>
      </c>
      <c r="PJ141" s="43" t="str">
        <f t="shared" si="538"/>
        <v/>
      </c>
      <c r="PK141" s="43" t="str">
        <f t="shared" si="539"/>
        <v/>
      </c>
      <c r="PL141" s="43" t="str">
        <f t="shared" si="540"/>
        <v/>
      </c>
      <c r="PM141" s="43" t="str">
        <f t="shared" si="541"/>
        <v/>
      </c>
      <c r="PN141" s="43" t="str">
        <f t="shared" si="542"/>
        <v/>
      </c>
      <c r="PO141" s="43" t="str">
        <f t="shared" si="543"/>
        <v/>
      </c>
      <c r="PP141" s="43" t="str">
        <f t="shared" si="544"/>
        <v/>
      </c>
      <c r="PQ141" s="43" t="str">
        <f t="shared" si="545"/>
        <v/>
      </c>
      <c r="PR141" s="43" t="str">
        <f t="shared" si="546"/>
        <v/>
      </c>
      <c r="PS141" s="43" t="str">
        <f t="shared" si="547"/>
        <v/>
      </c>
      <c r="PT141" s="43" t="str">
        <f t="shared" si="548"/>
        <v/>
      </c>
      <c r="PU141" s="43" t="str">
        <f t="shared" si="549"/>
        <v/>
      </c>
      <c r="PV141" s="43" t="str">
        <f t="shared" si="550"/>
        <v/>
      </c>
      <c r="PW141" s="43" t="str">
        <f t="shared" si="551"/>
        <v/>
      </c>
      <c r="PX141" s="43" t="str">
        <f t="shared" si="552"/>
        <v/>
      </c>
      <c r="PY141" s="43" t="str">
        <f t="shared" si="553"/>
        <v/>
      </c>
      <c r="PZ141" s="43" t="str">
        <f t="shared" si="554"/>
        <v/>
      </c>
      <c r="QA141" s="43" t="str">
        <f t="shared" si="555"/>
        <v/>
      </c>
      <c r="QB141" s="43" t="str">
        <f t="shared" si="556"/>
        <v/>
      </c>
      <c r="QC141" s="43" t="str">
        <f t="shared" si="557"/>
        <v/>
      </c>
      <c r="QD141" s="43" t="str">
        <f t="shared" si="558"/>
        <v/>
      </c>
      <c r="QE141" s="43" t="str">
        <f t="shared" si="559"/>
        <v/>
      </c>
      <c r="QF141" s="43" t="str">
        <f t="shared" si="560"/>
        <v/>
      </c>
      <c r="QG141" s="43" t="str">
        <f t="shared" si="561"/>
        <v/>
      </c>
      <c r="QH141" s="43" t="str">
        <f t="shared" si="562"/>
        <v/>
      </c>
      <c r="QI141" s="43" t="str">
        <f t="shared" si="563"/>
        <v/>
      </c>
      <c r="QJ141" s="43" t="str">
        <f t="shared" si="564"/>
        <v/>
      </c>
      <c r="QK141" s="43" t="str">
        <f t="shared" si="565"/>
        <v/>
      </c>
      <c r="QL141" s="43" t="str">
        <f t="shared" si="566"/>
        <v/>
      </c>
      <c r="QM141" s="43" t="str">
        <f t="shared" si="567"/>
        <v/>
      </c>
      <c r="QN141" s="43" t="str">
        <f t="shared" si="568"/>
        <v/>
      </c>
      <c r="QO141" s="43" t="str">
        <f t="shared" si="569"/>
        <v/>
      </c>
      <c r="QP141" s="43" t="str">
        <f t="shared" si="570"/>
        <v/>
      </c>
      <c r="QQ141" s="43" t="str">
        <f t="shared" si="571"/>
        <v/>
      </c>
      <c r="QR141" s="43" t="str">
        <f t="shared" si="672"/>
        <v>Mayor</v>
      </c>
      <c r="QS141" s="43"/>
      <c r="QT141" s="21" t="str">
        <f t="shared" si="572"/>
        <v/>
      </c>
      <c r="QU141" s="21" t="str">
        <f t="shared" si="573"/>
        <v/>
      </c>
      <c r="QV141" s="21" t="str">
        <f t="shared" si="574"/>
        <v/>
      </c>
      <c r="QW141" s="21" t="str">
        <f t="shared" si="575"/>
        <v/>
      </c>
      <c r="QX141" s="21" t="str">
        <f t="shared" si="576"/>
        <v/>
      </c>
      <c r="QY141" s="21" t="str">
        <f t="shared" si="577"/>
        <v/>
      </c>
      <c r="QZ141" s="21" t="str">
        <f t="shared" si="578"/>
        <v/>
      </c>
      <c r="RA141" s="21" t="str">
        <f t="shared" si="579"/>
        <v/>
      </c>
      <c r="RB141" s="21" t="str">
        <f t="shared" si="580"/>
        <v/>
      </c>
      <c r="RC141" s="21" t="str">
        <f t="shared" si="581"/>
        <v/>
      </c>
      <c r="RD141" s="21" t="str">
        <f t="shared" si="582"/>
        <v/>
      </c>
      <c r="RE141" s="21" t="str">
        <f t="shared" si="583"/>
        <v/>
      </c>
      <c r="RF141" s="21" t="str">
        <f t="shared" si="584"/>
        <v/>
      </c>
      <c r="RG141" s="21" t="str">
        <f t="shared" si="585"/>
        <v/>
      </c>
      <c r="RH141" s="21" t="str">
        <f t="shared" si="586"/>
        <v/>
      </c>
      <c r="RI141" s="21" t="str">
        <f t="shared" si="587"/>
        <v/>
      </c>
      <c r="RJ141" s="21" t="str">
        <f t="shared" si="588"/>
        <v/>
      </c>
      <c r="RK141" s="21" t="str">
        <f t="shared" si="589"/>
        <v/>
      </c>
      <c r="RL141" s="21" t="str">
        <f t="shared" si="590"/>
        <v/>
      </c>
      <c r="RM141" s="21" t="str">
        <f t="shared" si="591"/>
        <v/>
      </c>
      <c r="RN141" s="21" t="str">
        <f t="shared" si="592"/>
        <v/>
      </c>
      <c r="RO141" s="21" t="str">
        <f t="shared" si="593"/>
        <v/>
      </c>
      <c r="RP141" s="21" t="str">
        <f t="shared" si="594"/>
        <v/>
      </c>
      <c r="RQ141" s="21" t="str">
        <f t="shared" si="595"/>
        <v/>
      </c>
      <c r="RR141" s="21" t="str">
        <f t="shared" si="596"/>
        <v/>
      </c>
      <c r="RS141" s="21" t="str">
        <f t="shared" si="597"/>
        <v/>
      </c>
      <c r="RT141" s="21" t="str">
        <f t="shared" si="598"/>
        <v/>
      </c>
      <c r="RU141" s="21" t="str">
        <f t="shared" si="599"/>
        <v/>
      </c>
      <c r="RV141" s="21" t="e">
        <f t="shared" si="600"/>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3"/>
        <v/>
      </c>
    </row>
    <row r="142" spans="1:493" s="338" customFormat="1"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1"/>
        <v>33.328767123287669</v>
      </c>
      <c r="O142" s="305">
        <v>45014</v>
      </c>
      <c r="P142" s="307" t="str">
        <f t="shared" ref="P142:P203" si="675">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2"/>
        <v>0</v>
      </c>
      <c r="BR142" s="316">
        <f t="shared" si="603"/>
        <v>44861.3</v>
      </c>
      <c r="BS142" s="317">
        <f t="shared" si="604"/>
        <v>22.428571428571427</v>
      </c>
      <c r="BT142" s="318" t="str">
        <f t="shared" si="605"/>
        <v>II TRIM</v>
      </c>
      <c r="BU142" s="307" t="str">
        <f t="shared" ca="1" si="606"/>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7"/>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8"/>
        <v>45085</v>
      </c>
      <c r="CL142" s="309">
        <v>58</v>
      </c>
      <c r="CM142" s="307">
        <f t="shared" si="609"/>
        <v>26.124949326606909</v>
      </c>
      <c r="CN142" s="318">
        <f t="shared" si="610"/>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1"/>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6">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7">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2"/>
        <v>#REF!</v>
      </c>
      <c r="DY142" s="322">
        <f>IF(R142="","",IF(R142&gt;0,MAX(Tabla1[[#This Row],[FECHA C2]:[FECHA C13]],Tabla1[[#This Row],[FECHA CONSULTA PRIMERA VEZ PROGRAMA CPN ]])))</f>
        <v>45085</v>
      </c>
      <c r="DZ142" s="318">
        <f t="shared" si="613"/>
        <v>32</v>
      </c>
      <c r="EA142" s="315">
        <f>IF(R142&gt;0,SUM(COUNTA(DF142:DQ142)+COUNTA(Tabla1[[#This Row],[FECHA CONSULTA PRIMERA VEZ PROGRAMA CPN ]])),"")</f>
        <v>3</v>
      </c>
      <c r="EB142" s="315" t="str">
        <f t="shared" si="614"/>
        <v>NO</v>
      </c>
      <c r="EC142" s="307">
        <f t="shared" si="615"/>
        <v>6</v>
      </c>
      <c r="ED142" s="325">
        <f t="shared" si="616"/>
        <v>0.5</v>
      </c>
      <c r="EE142" s="305">
        <v>45014</v>
      </c>
      <c r="EF142" s="305"/>
      <c r="EG142" s="305">
        <v>45014</v>
      </c>
      <c r="EH142" s="305"/>
      <c r="EI142" s="305">
        <v>45014</v>
      </c>
      <c r="EJ142" s="305"/>
      <c r="EK142" s="305"/>
      <c r="EL142" s="309"/>
      <c r="EM142" s="309">
        <v>12</v>
      </c>
      <c r="EN142" s="305">
        <v>45062</v>
      </c>
      <c r="EO142" s="315">
        <f t="shared" si="617"/>
        <v>29.285714285714285</v>
      </c>
      <c r="EP142" s="307" t="str">
        <f t="shared" si="618"/>
        <v>NORMAL- SUMINISTRAR SULFATO FERROSO</v>
      </c>
      <c r="EQ142" s="318" t="str">
        <f t="shared" si="619"/>
        <v>III TRIM</v>
      </c>
      <c r="ER142" s="310"/>
      <c r="ES142" s="305"/>
      <c r="ET142" s="326" t="str">
        <f t="shared" ref="ET142:ET203" ca="1" si="678">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20"/>
        <v/>
      </c>
      <c r="EV142" s="310" t="s">
        <v>1510</v>
      </c>
      <c r="EW142" s="305">
        <v>44975</v>
      </c>
      <c r="EX142" s="305"/>
      <c r="EY142" s="326">
        <f t="shared" si="454"/>
        <v>16.857142857142858</v>
      </c>
      <c r="EZ142" s="319" t="str">
        <f t="shared" si="455"/>
        <v>SIN RIESGO DE ISOINMUNIZACIÓN</v>
      </c>
      <c r="FA142" s="309">
        <v>83</v>
      </c>
      <c r="FB142" s="305">
        <v>44975</v>
      </c>
      <c r="FC142" s="326">
        <f t="shared" si="621"/>
        <v>16.857142857142858</v>
      </c>
      <c r="FD142" s="326">
        <v>81</v>
      </c>
      <c r="FE142" s="326">
        <v>100</v>
      </c>
      <c r="FF142" s="326">
        <v>101</v>
      </c>
      <c r="FG142" s="309" t="str">
        <f t="shared" ca="1" si="622"/>
        <v>NORMAL</v>
      </c>
      <c r="FH142" s="327">
        <v>45062</v>
      </c>
      <c r="FI142" s="326">
        <f t="shared" si="623"/>
        <v>29.285714285714285</v>
      </c>
      <c r="FJ142" s="305"/>
      <c r="FK142" s="327"/>
      <c r="FL142" s="326" t="str">
        <f t="shared" ca="1" si="624"/>
        <v>NO APLICA-INGRESO TARDIO</v>
      </c>
      <c r="FM142" s="305" t="s">
        <v>867</v>
      </c>
      <c r="FN142" s="328">
        <v>44975</v>
      </c>
      <c r="FO142" s="326">
        <f t="shared" ref="FO142:FO203" ca="1" si="679">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80">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5"/>
        <v>TOMAR EXAMEN</v>
      </c>
      <c r="FY142" s="305"/>
      <c r="FZ142" s="305"/>
      <c r="GA142" s="326" t="str">
        <f t="shared" ca="1" si="498"/>
        <v>NO APLICA-INGRESO TARDIO</v>
      </c>
      <c r="GB142" s="305" t="s">
        <v>868</v>
      </c>
      <c r="GC142" s="305">
        <v>44975</v>
      </c>
      <c r="GD142" s="326">
        <f t="shared" ref="GD142:GD173" ca="1" si="681">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2">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6"/>
        <v>16.857142857142858</v>
      </c>
      <c r="GQ142" s="320" t="s">
        <v>869</v>
      </c>
      <c r="GR142" s="320" t="s">
        <v>869</v>
      </c>
      <c r="GS142" s="305" t="str">
        <f t="shared" si="627"/>
        <v>CONTROL Igm</v>
      </c>
      <c r="GT142" s="305">
        <v>45072</v>
      </c>
      <c r="GU142" s="326">
        <f t="shared" si="628"/>
        <v>30.714285714285715</v>
      </c>
      <c r="GV142" s="309" t="str">
        <f t="shared" si="629"/>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30"/>
        <v>#REF!</v>
      </c>
      <c r="HI142" s="305" t="e">
        <f t="shared" ca="1" si="631"/>
        <v>#REF!</v>
      </c>
      <c r="HJ142" s="309" t="str">
        <f t="shared" ca="1" si="632"/>
        <v>***************************************</v>
      </c>
      <c r="HK142" s="309" t="str">
        <f t="shared" si="633"/>
        <v>SIN ANTECEDENTES DE RIESGO</v>
      </c>
      <c r="HL142" s="310" t="str">
        <f t="shared" si="634"/>
        <v>APARENTEMENTE NORMAL</v>
      </c>
      <c r="HM142" s="309" t="e">
        <f t="shared" ca="1" si="635"/>
        <v>#REF!</v>
      </c>
      <c r="HN142" s="329" t="str">
        <f t="shared" ref="HN142:HN203" si="683">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6"/>
        <v>PENDIENTE CONSULTA</v>
      </c>
      <c r="IA142" s="308"/>
      <c r="IB142" s="308"/>
      <c r="IC142" s="330"/>
      <c r="ID142" s="305"/>
      <c r="IE142" s="305" t="str">
        <f t="shared" ca="1" si="637"/>
        <v/>
      </c>
      <c r="IF142" s="305"/>
      <c r="IG142" s="305">
        <f t="shared" si="638"/>
        <v>45137</v>
      </c>
      <c r="IH142" s="326">
        <f t="shared" ca="1" si="639"/>
        <v>-95</v>
      </c>
      <c r="II142" s="305" t="str">
        <f t="shared" ca="1" si="640"/>
        <v>POSIBLEMENTE NACIO</v>
      </c>
      <c r="IJ142" s="305"/>
      <c r="IK142" s="309"/>
      <c r="IL142" s="309"/>
      <c r="IM142" s="331"/>
      <c r="IN142" s="350"/>
      <c r="IO142" s="309"/>
      <c r="IP142" s="326" t="str">
        <f t="shared" si="674"/>
        <v/>
      </c>
      <c r="IQ142" s="332"/>
      <c r="IR142" s="309"/>
      <c r="IS142" s="309"/>
      <c r="IT142" s="309"/>
      <c r="IU142" s="309"/>
      <c r="IV142" s="309"/>
      <c r="IW142" s="309"/>
      <c r="IX142" s="309"/>
      <c r="IY142" s="309"/>
      <c r="IZ142" s="309"/>
      <c r="JA142" s="309"/>
      <c r="JB142" s="329"/>
      <c r="JC142" s="309"/>
      <c r="JD142" s="333"/>
      <c r="JE142" s="309" t="str">
        <f t="shared" ref="JE142:JE173" si="684">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5">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6">IF(AND(JW142&lt;&gt;"",JW142&lt;IN142),"INCONSISTENCIA FECHA CONTROL",IF(AND(OR(IK142="Parto",IK142="Cesarea"),JW142&gt;0,IN142&gt;0),SUM(JW142-IN142),IF(AND(OR(IK142="Parto",IK142="Cesarea"),JW142="",IN142&gt;0),"INASISTENTE","")))</f>
        <v/>
      </c>
      <c r="JY142" s="334"/>
      <c r="JZ142" s="320" t="str">
        <f t="shared" ref="JZ142:JZ173" si="687">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41"/>
        <v>0</v>
      </c>
      <c r="MI142" s="43" t="str">
        <f t="shared" si="642"/>
        <v/>
      </c>
      <c r="MJ142" s="43" t="str">
        <f t="shared" si="643"/>
        <v/>
      </c>
      <c r="MK142" s="43">
        <f t="shared" si="644"/>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5"/>
        <v>22.428571428571427</v>
      </c>
      <c r="MN142" s="43">
        <f t="shared" si="646"/>
        <v>3</v>
      </c>
      <c r="MO142" s="43">
        <f t="shared" si="647"/>
        <v>2023</v>
      </c>
      <c r="MP142" s="43" t="str">
        <f t="shared" si="648"/>
        <v>I TRIMESTRE AÑO</v>
      </c>
      <c r="MQ142" s="43">
        <f t="shared" si="649"/>
        <v>32.238282961016203</v>
      </c>
      <c r="MR142" s="43">
        <f t="shared" si="650"/>
        <v>0</v>
      </c>
      <c r="MS142" s="43" t="str">
        <f t="shared" si="651"/>
        <v xml:space="preserve"> DE 30 A 34 AÑOS</v>
      </c>
      <c r="MT142" s="43">
        <f t="shared" si="652"/>
        <v>0</v>
      </c>
      <c r="MU142" s="43">
        <f t="shared" si="653"/>
        <v>0</v>
      </c>
      <c r="MV142" s="43">
        <f t="shared" si="654"/>
        <v>0</v>
      </c>
      <c r="MW142" s="43">
        <f t="shared" si="655"/>
        <v>0</v>
      </c>
      <c r="MX142" s="43" t="str">
        <f t="shared" si="656"/>
        <v/>
      </c>
      <c r="MY142" s="43" t="str">
        <f t="shared" ref="MY142:MY173" ca="1" si="688">IF(AND(AND(BU142&gt;40.9,BU142&lt;43),IN142=""),1,"")</f>
        <v/>
      </c>
      <c r="MZ142" s="43" t="str">
        <f t="shared" si="657"/>
        <v/>
      </c>
      <c r="NA142" s="43" t="str">
        <f t="shared" si="658"/>
        <v/>
      </c>
      <c r="NB142" s="43" t="str">
        <f t="shared" si="659"/>
        <v/>
      </c>
      <c r="NC142" s="43" t="str">
        <f t="shared" si="660"/>
        <v/>
      </c>
      <c r="ND142" s="43">
        <f t="shared" ca="1" si="661"/>
        <v>0</v>
      </c>
      <c r="NE142" s="43">
        <f>IF(OR(O142&gt;0,R142&gt;0),SUM(COUNTIF(Tabla1[[#This Row],[AÑOS AL INICIO5 CPN]],"&gt;=40"),COUNTIF(AS142,"0"),COUNTIF(AR142,"SI"),COUNTIF(CC142,"SI"),COUNTIF(BQ142,"&gt;119"),COUNTIF(CI142,"&gt;=35")),"")</f>
        <v>0</v>
      </c>
      <c r="NF142" s="43" t="str">
        <f t="shared" si="662"/>
        <v/>
      </c>
      <c r="NG142" s="43">
        <f t="shared" si="663"/>
        <v>0</v>
      </c>
      <c r="NH142" s="43">
        <f t="shared" si="664"/>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5"/>
        <v>X</v>
      </c>
      <c r="NM142" s="43" t="str">
        <f t="shared" si="501"/>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6"/>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9">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7"/>
        <v>1</v>
      </c>
      <c r="NT142" s="21">
        <f t="shared" ca="1" si="668"/>
        <v>1</v>
      </c>
      <c r="NU142" s="21" t="str">
        <f t="shared" ca="1" si="669"/>
        <v>POR DEFINIR</v>
      </c>
      <c r="NV142" s="21" t="str">
        <f t="shared" ca="1" si="670"/>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71"/>
        <v>SIN VACUNAR</v>
      </c>
      <c r="NY142" s="43">
        <f>ROW(Tabla1[[#This Row],['# DE TAMIZAJES SIFILIS TOMADOS ]])</f>
        <v>142</v>
      </c>
      <c r="NZ142" s="43">
        <f t="shared" si="502"/>
        <v>22</v>
      </c>
      <c r="OA142" s="43" t="str">
        <f t="shared" si="503"/>
        <v/>
      </c>
      <c r="OB142" s="43" t="str">
        <f t="shared" si="504"/>
        <v/>
      </c>
      <c r="OC142" s="43" t="str">
        <f t="shared" si="505"/>
        <v/>
      </c>
      <c r="OD142" s="43" t="str">
        <f t="shared" si="506"/>
        <v/>
      </c>
      <c r="OE142" s="43" t="str">
        <f t="shared" si="507"/>
        <v/>
      </c>
      <c r="OF142" s="43" t="str">
        <f t="shared" si="508"/>
        <v/>
      </c>
      <c r="OG142" s="43" t="str">
        <f t="shared" si="509"/>
        <v/>
      </c>
      <c r="OH142" s="43" t="str">
        <f t="shared" si="510"/>
        <v/>
      </c>
      <c r="OI142" s="43" t="str">
        <f t="shared" si="511"/>
        <v/>
      </c>
      <c r="OJ142" s="43" t="str">
        <f t="shared" si="512"/>
        <v/>
      </c>
      <c r="OK142" s="43" t="str">
        <f t="shared" si="513"/>
        <v/>
      </c>
      <c r="OL142" s="43" t="str">
        <f t="shared" si="514"/>
        <v/>
      </c>
      <c r="OM142" s="43" t="str">
        <f t="shared" si="515"/>
        <v/>
      </c>
      <c r="ON142" s="43" t="str">
        <f t="shared" si="516"/>
        <v>NORMAL</v>
      </c>
      <c r="OO142" s="43" t="str">
        <f t="shared" si="517"/>
        <v/>
      </c>
      <c r="OP142" s="43" t="str">
        <f t="shared" si="518"/>
        <v/>
      </c>
      <c r="OQ142" s="43" t="str">
        <f t="shared" si="519"/>
        <v/>
      </c>
      <c r="OR142" s="43" t="str">
        <f t="shared" si="520"/>
        <v/>
      </c>
      <c r="OS142" s="43" t="str">
        <f t="shared" si="521"/>
        <v/>
      </c>
      <c r="OT142" s="43" t="str">
        <f t="shared" si="522"/>
        <v/>
      </c>
      <c r="OU142" s="43" t="str">
        <f t="shared" si="523"/>
        <v/>
      </c>
      <c r="OV142" s="110" t="str">
        <f t="shared" si="524"/>
        <v/>
      </c>
      <c r="OW142" s="43" t="str">
        <f t="shared" si="525"/>
        <v/>
      </c>
      <c r="OX142" s="43" t="str">
        <f t="shared" si="526"/>
        <v/>
      </c>
      <c r="OY142" s="43" t="str">
        <f t="shared" si="527"/>
        <v/>
      </c>
      <c r="OZ142" s="43" t="str">
        <f t="shared" si="528"/>
        <v/>
      </c>
      <c r="PA142" s="43" t="str">
        <f t="shared" si="529"/>
        <v/>
      </c>
      <c r="PB142" s="43" t="str">
        <f t="shared" si="530"/>
        <v/>
      </c>
      <c r="PC142" s="43" t="str">
        <f t="shared" si="531"/>
        <v/>
      </c>
      <c r="PD142" s="43" t="str">
        <f t="shared" si="532"/>
        <v/>
      </c>
      <c r="PE142" s="43" t="str">
        <f t="shared" si="533"/>
        <v/>
      </c>
      <c r="PF142" s="43" t="str">
        <f t="shared" si="534"/>
        <v/>
      </c>
      <c r="PG142" s="43" t="str">
        <f t="shared" si="535"/>
        <v/>
      </c>
      <c r="PH142" s="43" t="str">
        <f t="shared" si="536"/>
        <v/>
      </c>
      <c r="PI142" s="43">
        <f t="shared" si="537"/>
        <v>32</v>
      </c>
      <c r="PJ142" s="43" t="str">
        <f t="shared" si="538"/>
        <v/>
      </c>
      <c r="PK142" s="43" t="str">
        <f t="shared" si="539"/>
        <v/>
      </c>
      <c r="PL142" s="43" t="str">
        <f t="shared" si="540"/>
        <v/>
      </c>
      <c r="PM142" s="43" t="str">
        <f t="shared" si="541"/>
        <v/>
      </c>
      <c r="PN142" s="43" t="str">
        <f t="shared" si="542"/>
        <v/>
      </c>
      <c r="PO142" s="43" t="str">
        <f t="shared" si="543"/>
        <v/>
      </c>
      <c r="PP142" s="43" t="str">
        <f t="shared" si="544"/>
        <v/>
      </c>
      <c r="PQ142" s="43" t="str">
        <f t="shared" si="545"/>
        <v/>
      </c>
      <c r="PR142" s="43" t="str">
        <f t="shared" si="546"/>
        <v/>
      </c>
      <c r="PS142" s="43" t="str">
        <f t="shared" si="547"/>
        <v/>
      </c>
      <c r="PT142" s="43" t="str">
        <f t="shared" si="548"/>
        <v/>
      </c>
      <c r="PU142" s="43" t="str">
        <f t="shared" si="549"/>
        <v/>
      </c>
      <c r="PV142" s="43" t="str">
        <f t="shared" si="550"/>
        <v/>
      </c>
      <c r="PW142" s="43" t="str">
        <f t="shared" si="551"/>
        <v/>
      </c>
      <c r="PX142" s="43" t="str">
        <f t="shared" si="552"/>
        <v/>
      </c>
      <c r="PY142" s="43" t="str">
        <f t="shared" si="553"/>
        <v/>
      </c>
      <c r="PZ142" s="43" t="str">
        <f t="shared" si="554"/>
        <v/>
      </c>
      <c r="QA142" s="43" t="str">
        <f t="shared" si="555"/>
        <v/>
      </c>
      <c r="QB142" s="43" t="str">
        <f t="shared" si="556"/>
        <v/>
      </c>
      <c r="QC142" s="43" t="str">
        <f t="shared" si="557"/>
        <v/>
      </c>
      <c r="QD142" s="43" t="str">
        <f t="shared" si="558"/>
        <v/>
      </c>
      <c r="QE142" s="43" t="str">
        <f t="shared" si="559"/>
        <v/>
      </c>
      <c r="QF142" s="43" t="str">
        <f t="shared" si="560"/>
        <v/>
      </c>
      <c r="QG142" s="43" t="str">
        <f t="shared" si="561"/>
        <v>NORMAL</v>
      </c>
      <c r="QH142" s="43" t="str">
        <f t="shared" si="562"/>
        <v/>
      </c>
      <c r="QI142" s="43" t="str">
        <f t="shared" si="563"/>
        <v/>
      </c>
      <c r="QJ142" s="43" t="str">
        <f t="shared" si="564"/>
        <v/>
      </c>
      <c r="QK142" s="43" t="str">
        <f t="shared" si="565"/>
        <v/>
      </c>
      <c r="QL142" s="43" t="str">
        <f t="shared" si="566"/>
        <v/>
      </c>
      <c r="QM142" s="43" t="str">
        <f t="shared" si="567"/>
        <v/>
      </c>
      <c r="QN142" s="43" t="str">
        <f t="shared" si="568"/>
        <v/>
      </c>
      <c r="QO142" s="43" t="str">
        <f t="shared" si="569"/>
        <v/>
      </c>
      <c r="QP142" s="43" t="str">
        <f t="shared" si="570"/>
        <v/>
      </c>
      <c r="QQ142" s="43" t="str">
        <f t="shared" si="571"/>
        <v/>
      </c>
      <c r="QR142" s="43">
        <f t="shared" si="672"/>
        <v>32</v>
      </c>
      <c r="QS142" s="43"/>
      <c r="QT142" s="21" t="str">
        <f t="shared" si="572"/>
        <v/>
      </c>
      <c r="QU142" s="21" t="str">
        <f t="shared" si="573"/>
        <v/>
      </c>
      <c r="QV142" s="21" t="str">
        <f t="shared" si="574"/>
        <v/>
      </c>
      <c r="QW142" s="21" t="str">
        <f t="shared" si="575"/>
        <v/>
      </c>
      <c r="QX142" s="21" t="str">
        <f t="shared" si="576"/>
        <v/>
      </c>
      <c r="QY142" s="21" t="str">
        <f t="shared" si="577"/>
        <v/>
      </c>
      <c r="QZ142" s="21" t="str">
        <f t="shared" si="578"/>
        <v/>
      </c>
      <c r="RA142" s="21" t="str">
        <f t="shared" si="579"/>
        <v/>
      </c>
      <c r="RB142" s="21" t="str">
        <f t="shared" si="580"/>
        <v/>
      </c>
      <c r="RC142" s="21" t="str">
        <f t="shared" si="581"/>
        <v/>
      </c>
      <c r="RD142" s="21" t="str">
        <f t="shared" si="582"/>
        <v/>
      </c>
      <c r="RE142" s="21" t="str">
        <f t="shared" si="583"/>
        <v/>
      </c>
      <c r="RF142" s="21" t="str">
        <f t="shared" si="584"/>
        <v/>
      </c>
      <c r="RG142" s="21" t="str">
        <f t="shared" si="585"/>
        <v/>
      </c>
      <c r="RH142" s="21" t="str">
        <f t="shared" si="586"/>
        <v/>
      </c>
      <c r="RI142" s="21" t="str">
        <f t="shared" si="587"/>
        <v/>
      </c>
      <c r="RJ142" s="21" t="str">
        <f t="shared" si="588"/>
        <v/>
      </c>
      <c r="RK142" s="21" t="str">
        <f t="shared" si="589"/>
        <v/>
      </c>
      <c r="RL142" s="21" t="str">
        <f t="shared" si="590"/>
        <v/>
      </c>
      <c r="RM142" s="21" t="str">
        <f t="shared" si="591"/>
        <v>ALTO PARA EDAD GESTACIONAL</v>
      </c>
      <c r="RN142" s="21" t="str">
        <f t="shared" si="592"/>
        <v/>
      </c>
      <c r="RO142" s="21" t="str">
        <f t="shared" si="593"/>
        <v/>
      </c>
      <c r="RP142" s="21" t="str">
        <f t="shared" si="594"/>
        <v/>
      </c>
      <c r="RQ142" s="21" t="str">
        <f t="shared" si="595"/>
        <v/>
      </c>
      <c r="RR142" s="21" t="str">
        <f t="shared" si="596"/>
        <v/>
      </c>
      <c r="RS142" s="21" t="str">
        <f t="shared" si="597"/>
        <v/>
      </c>
      <c r="RT142" s="21" t="str">
        <f t="shared" si="598"/>
        <v/>
      </c>
      <c r="RU142" s="21" t="str">
        <f t="shared" si="599"/>
        <v/>
      </c>
      <c r="RV142" s="21">
        <f t="shared" si="600"/>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3"/>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1"/>
        <v>25.586301369863012</v>
      </c>
      <c r="O143" s="22">
        <v>45016</v>
      </c>
      <c r="P143" s="214" t="str">
        <f t="shared" si="675"/>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2"/>
        <v>65.130000000000052</v>
      </c>
      <c r="BR143" s="223">
        <f t="shared" si="603"/>
        <v>44908.9</v>
      </c>
      <c r="BS143" s="224">
        <f t="shared" si="604"/>
        <v>15.299999999999793</v>
      </c>
      <c r="BT143" s="216" t="str">
        <f t="shared" si="605"/>
        <v>II TRIM</v>
      </c>
      <c r="BU143" s="214" t="str">
        <f t="shared" ca="1" si="606"/>
        <v/>
      </c>
      <c r="BV143" s="25" t="s">
        <v>988</v>
      </c>
      <c r="BW143" s="22">
        <v>45051</v>
      </c>
      <c r="BX143" s="28">
        <v>20.3</v>
      </c>
      <c r="BY143" s="28"/>
      <c r="BZ143" s="22"/>
      <c r="CA143" s="21"/>
      <c r="CB143" s="26"/>
      <c r="CC143" s="26"/>
      <c r="CD143" s="26"/>
      <c r="CE143" s="26"/>
      <c r="CF143" s="22" t="s">
        <v>1517</v>
      </c>
      <c r="CG143" s="21">
        <v>1.49</v>
      </c>
      <c r="CH143" s="21">
        <v>65.5</v>
      </c>
      <c r="CI143" s="214">
        <f t="shared" si="607"/>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8"/>
        <v>45051</v>
      </c>
      <c r="CL143" s="21">
        <v>65.5</v>
      </c>
      <c r="CM143" s="214">
        <f t="shared" si="609"/>
        <v>29.503175532633666</v>
      </c>
      <c r="CN143" s="216">
        <f t="shared" si="610"/>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1"/>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6"/>
        <v>CONCERTAR PLAN DE PARTO INMEDIATO</v>
      </c>
      <c r="DV143" s="226" t="str">
        <f t="shared" si="677"/>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2"/>
        <v>#REF!</v>
      </c>
      <c r="DY143" s="212">
        <f>IF(R143="","",IF(R143&gt;0,MAX(Tabla1[[#This Row],[FECHA C2]:[FECHA C13]],Tabla1[[#This Row],[FECHA CONSULTA PRIMERA VEZ PROGRAMA CPN ]])))</f>
        <v>45051</v>
      </c>
      <c r="DZ143" s="216">
        <f t="shared" si="613"/>
        <v>20</v>
      </c>
      <c r="EA143" s="222">
        <f>IF(R143&gt;0,SUM(COUNTA(DF143:DQ143)+COUNTA(Tabla1[[#This Row],[FECHA CONSULTA PRIMERA VEZ PROGRAMA CPN ]])),"")</f>
        <v>2</v>
      </c>
      <c r="EB143" s="222" t="str">
        <f t="shared" si="614"/>
        <v>NO</v>
      </c>
      <c r="EC143" s="214">
        <f t="shared" si="615"/>
        <v>8</v>
      </c>
      <c r="ED143" s="227">
        <f t="shared" si="616"/>
        <v>0.25</v>
      </c>
      <c r="EE143" s="22">
        <v>45016</v>
      </c>
      <c r="EF143" s="22"/>
      <c r="EG143" s="22">
        <v>45016</v>
      </c>
      <c r="EH143" s="22"/>
      <c r="EI143" s="22">
        <v>45016</v>
      </c>
      <c r="EJ143" s="22"/>
      <c r="EK143" s="22"/>
      <c r="EL143" s="21"/>
      <c r="EM143" s="21">
        <v>12.3</v>
      </c>
      <c r="EN143" s="22">
        <v>45016</v>
      </c>
      <c r="EO143" s="222">
        <f t="shared" si="617"/>
        <v>15.299999999999793</v>
      </c>
      <c r="EP143" s="214" t="str">
        <f t="shared" si="618"/>
        <v>NORMAL- SUMINISTRAR SULFATO FERROSO</v>
      </c>
      <c r="EQ143" s="216" t="str">
        <f t="shared" si="619"/>
        <v>II TRIM</v>
      </c>
      <c r="ER143" s="24"/>
      <c r="ES143" s="22"/>
      <c r="ET143" s="29" t="str">
        <f t="shared" ca="1" si="678"/>
        <v>TOMA DE HEMOGLOBINA TARDÍA</v>
      </c>
      <c r="EU143" s="25" t="str">
        <f t="shared" si="620"/>
        <v/>
      </c>
      <c r="EV143" s="24" t="s">
        <v>866</v>
      </c>
      <c r="EW143" s="24">
        <v>45016</v>
      </c>
      <c r="EX143" s="22"/>
      <c r="EY143" s="29">
        <f t="shared" si="454"/>
        <v>15.299999999999793</v>
      </c>
      <c r="EZ143" s="25" t="str">
        <f t="shared" ca="1" si="455"/>
        <v/>
      </c>
      <c r="FA143" s="21">
        <v>12.3</v>
      </c>
      <c r="FB143" s="22">
        <v>45016</v>
      </c>
      <c r="FC143" s="29">
        <f t="shared" si="621"/>
        <v>15.299999999999793</v>
      </c>
      <c r="FD143" s="29"/>
      <c r="FE143" s="29"/>
      <c r="FF143" s="29"/>
      <c r="FG143" s="21" t="str">
        <f t="shared" ca="1" si="622"/>
        <v/>
      </c>
      <c r="FH143" s="31"/>
      <c r="FI143" s="29" t="str">
        <f t="shared" si="623"/>
        <v>TOMAR EXAMEN</v>
      </c>
      <c r="FJ143" s="22" t="s">
        <v>867</v>
      </c>
      <c r="FK143" s="22">
        <v>45016</v>
      </c>
      <c r="FL143" s="29" t="str">
        <f t="shared" si="624"/>
        <v>REGISTRAR EN II TRIMESTRE</v>
      </c>
      <c r="FM143" s="22"/>
      <c r="FN143" s="32"/>
      <c r="FO143" s="29" t="str">
        <f t="shared" ca="1" si="679"/>
        <v>PIERDE TOMA DE TAMIZAJE</v>
      </c>
      <c r="FP143" s="22"/>
      <c r="FQ143" s="32"/>
      <c r="FR143" s="29" t="str">
        <f t="shared" ca="1" si="680"/>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5"/>
        <v>TOMAR EXAMEN</v>
      </c>
      <c r="FY143" s="22">
        <v>45016</v>
      </c>
      <c r="FZ143" s="22">
        <v>45016</v>
      </c>
      <c r="GA143" s="29" t="str">
        <f t="shared" si="498"/>
        <v>REGISTRAR EN II TRIMESTRE</v>
      </c>
      <c r="GB143" s="22"/>
      <c r="GC143" s="22"/>
      <c r="GD143" s="29" t="str">
        <f t="shared" ca="1" si="681"/>
        <v>PIERDE TOMA DE TAMIZAJE</v>
      </c>
      <c r="GE143" s="22"/>
      <c r="GF143" s="22"/>
      <c r="GG143" s="29" t="str">
        <f t="shared" ca="1" si="682"/>
        <v>TOMA INMEDIATA DE TAMIZAJE</v>
      </c>
      <c r="GH143" s="22"/>
      <c r="GI143" s="29"/>
      <c r="GJ143" s="22"/>
      <c r="GK143" s="22"/>
      <c r="GL143" s="22"/>
      <c r="GM143" s="22"/>
      <c r="GN143" s="28" t="s">
        <v>869</v>
      </c>
      <c r="GO143" s="22">
        <v>45016</v>
      </c>
      <c r="GP143" s="29">
        <f t="shared" si="626"/>
        <v>15.299999999999793</v>
      </c>
      <c r="GQ143" s="28" t="s">
        <v>869</v>
      </c>
      <c r="GR143" s="28" t="s">
        <v>869</v>
      </c>
      <c r="GS143" s="22" t="str">
        <f t="shared" si="627"/>
        <v>CONTROL Igm</v>
      </c>
      <c r="GT143" s="22">
        <v>45016</v>
      </c>
      <c r="GU143" s="29">
        <f t="shared" si="628"/>
        <v>3.8571428571428572</v>
      </c>
      <c r="GV143" s="21" t="str">
        <f t="shared" si="629"/>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30"/>
        <v>#REF!</v>
      </c>
      <c r="HI143" s="22" t="e">
        <f t="shared" ca="1" si="631"/>
        <v>#REF!</v>
      </c>
      <c r="HJ143" s="21" t="str">
        <f t="shared" ca="1" si="632"/>
        <v>***************************************</v>
      </c>
      <c r="HK143" s="21" t="str">
        <f t="shared" si="633"/>
        <v>SIN ANTECEDENTES DE RIESGO</v>
      </c>
      <c r="HL143" s="24" t="str">
        <f t="shared" si="634"/>
        <v>APARENTEMENTE NORMAL</v>
      </c>
      <c r="HM143" s="21" t="e">
        <f t="shared" ca="1" si="635"/>
        <v>#REF!</v>
      </c>
      <c r="HN143" s="30" t="str">
        <f t="shared" si="683"/>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6"/>
        <v>15.299999999999793</v>
      </c>
      <c r="IA143" s="26"/>
      <c r="IB143" s="26"/>
      <c r="IC143" s="111"/>
      <c r="ID143" s="22"/>
      <c r="IE143" s="22" t="str">
        <f t="shared" ca="1" si="637"/>
        <v/>
      </c>
      <c r="IF143" s="22"/>
      <c r="IG143" s="22">
        <f t="shared" si="638"/>
        <v>45188.9</v>
      </c>
      <c r="IH143" s="29">
        <f t="shared" ca="1" si="639"/>
        <v>-43.099999999998545</v>
      </c>
      <c r="II143" s="22" t="str">
        <f t="shared" ca="1" si="640"/>
        <v>POSIBLEMENTE NACIO</v>
      </c>
      <c r="IJ143" s="22"/>
      <c r="IK143" s="21"/>
      <c r="IL143" s="21" t="s">
        <v>1639</v>
      </c>
      <c r="IM143" s="34"/>
      <c r="IN143" s="349"/>
      <c r="IO143" s="21"/>
      <c r="IP143" s="29" t="str">
        <f t="shared" si="674"/>
        <v/>
      </c>
      <c r="IQ143" s="35"/>
      <c r="IR143" s="21"/>
      <c r="IS143" s="21"/>
      <c r="IT143" s="21"/>
      <c r="IU143" s="21"/>
      <c r="IV143" s="21"/>
      <c r="IW143" s="21"/>
      <c r="IX143" s="21"/>
      <c r="IY143" s="21"/>
      <c r="IZ143" s="21"/>
      <c r="JA143" s="21"/>
      <c r="JB143" s="30"/>
      <c r="JC143" s="21"/>
      <c r="JD143" s="36"/>
      <c r="JE143" s="21" t="str">
        <f t="shared" si="684"/>
        <v/>
      </c>
      <c r="JF143" s="30"/>
      <c r="JG143" s="21"/>
      <c r="JH143" s="21"/>
      <c r="JI143" s="21"/>
      <c r="JJ143" s="30"/>
      <c r="JK143" s="22"/>
      <c r="JL143" s="22"/>
      <c r="JM143" s="21"/>
      <c r="JN143" s="36"/>
      <c r="JO143" s="21" t="str">
        <f t="shared" si="685"/>
        <v/>
      </c>
      <c r="JP143" s="22"/>
      <c r="JQ143" s="21"/>
      <c r="JR143" s="21"/>
      <c r="JS143" s="21"/>
      <c r="JT143" s="30"/>
      <c r="JU143" s="22"/>
      <c r="JV143" s="22"/>
      <c r="JW143" s="33"/>
      <c r="JX143" s="28" t="str">
        <f t="shared" si="686"/>
        <v/>
      </c>
      <c r="JY143" s="33"/>
      <c r="JZ143" s="28" t="str">
        <f t="shared" si="687"/>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41"/>
        <v>0</v>
      </c>
      <c r="MI143" s="43" t="str">
        <f t="shared" si="642"/>
        <v/>
      </c>
      <c r="MJ143" s="43" t="str">
        <f t="shared" si="643"/>
        <v/>
      </c>
      <c r="MK143" s="43">
        <f t="shared" si="644"/>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5"/>
        <v>15.299999999999793</v>
      </c>
      <c r="MN143" s="43">
        <f t="shared" si="646"/>
        <v>3</v>
      </c>
      <c r="MO143" s="43">
        <f t="shared" si="647"/>
        <v>2023</v>
      </c>
      <c r="MP143" s="43" t="str">
        <f t="shared" si="648"/>
        <v>I TRIMESTRE AÑO</v>
      </c>
      <c r="MQ143" s="43">
        <f t="shared" si="649"/>
        <v>24.619469995619799</v>
      </c>
      <c r="MR143" s="43">
        <f t="shared" si="650"/>
        <v>0</v>
      </c>
      <c r="MS143" s="43" t="str">
        <f t="shared" si="651"/>
        <v xml:space="preserve"> DE 20 A 24 AÑOS</v>
      </c>
      <c r="MT143" s="43">
        <f t="shared" si="652"/>
        <v>0</v>
      </c>
      <c r="MU143" s="43">
        <f t="shared" si="653"/>
        <v>0</v>
      </c>
      <c r="MV143" s="43">
        <f t="shared" si="654"/>
        <v>0</v>
      </c>
      <c r="MW143" s="43">
        <f t="shared" si="655"/>
        <v>0</v>
      </c>
      <c r="MX143" s="43" t="str">
        <f t="shared" si="656"/>
        <v/>
      </c>
      <c r="MY143" s="43" t="str">
        <f t="shared" ca="1" si="688"/>
        <v/>
      </c>
      <c r="MZ143" s="43" t="str">
        <f t="shared" si="657"/>
        <v/>
      </c>
      <c r="NA143" s="43" t="str">
        <f t="shared" si="658"/>
        <v/>
      </c>
      <c r="NB143" s="43" t="str">
        <f t="shared" si="659"/>
        <v/>
      </c>
      <c r="NC143" s="43" t="str">
        <f t="shared" si="660"/>
        <v/>
      </c>
      <c r="ND143" s="43">
        <f t="shared" ca="1" si="661"/>
        <v>0</v>
      </c>
      <c r="NE143" s="43">
        <f>IF(OR(O143&gt;0,R143&gt;0),SUM(COUNTIF(Tabla1[[#This Row],[AÑOS AL INICIO5 CPN]],"&gt;=40"),COUNTIF(AS143,"0"),COUNTIF(AR143,"SI"),COUNTIF(CC143,"SI"),COUNTIF(BQ143,"&gt;119"),COUNTIF(CI143,"&gt;=35")),"")</f>
        <v>0</v>
      </c>
      <c r="NF143" s="43" t="str">
        <f t="shared" si="662"/>
        <v/>
      </c>
      <c r="NG143" s="43">
        <f t="shared" si="663"/>
        <v>0</v>
      </c>
      <c r="NH143" s="43">
        <f t="shared" si="664"/>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5"/>
        <v>X</v>
      </c>
      <c r="NM143" s="43" t="str">
        <f t="shared" si="501"/>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6"/>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9"/>
        <v>REVISAR FUM O FECHA SALIDA PROGRAMA</v>
      </c>
      <c r="NS143" s="205">
        <f t="shared" ca="1" si="667"/>
        <v>0</v>
      </c>
      <c r="NT143" s="21">
        <f t="shared" ca="1" si="668"/>
        <v>0</v>
      </c>
      <c r="NU143" s="21" t="str">
        <f t="shared" ca="1" si="669"/>
        <v>POR DEFINIR</v>
      </c>
      <c r="NV143" s="21" t="str">
        <f t="shared" ca="1" si="670"/>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71"/>
        <v>SIN VACUNAR</v>
      </c>
      <c r="NY143" s="43">
        <f>ROW(Tabla1[[#This Row],['# DE TAMIZAJES SIFILIS TOMADOS ]])</f>
        <v>143</v>
      </c>
      <c r="NZ143" s="43">
        <f t="shared" si="502"/>
        <v>15</v>
      </c>
      <c r="OA143" s="43" t="str">
        <f t="shared" si="503"/>
        <v/>
      </c>
      <c r="OB143" s="43" t="str">
        <f t="shared" si="504"/>
        <v/>
      </c>
      <c r="OC143" s="43" t="str">
        <f t="shared" si="505"/>
        <v/>
      </c>
      <c r="OD143" s="43" t="str">
        <f t="shared" si="506"/>
        <v/>
      </c>
      <c r="OE143" s="43" t="str">
        <f t="shared" si="507"/>
        <v/>
      </c>
      <c r="OF143" s="43" t="str">
        <f t="shared" si="508"/>
        <v/>
      </c>
      <c r="OG143" s="43" t="str">
        <f t="shared" si="509"/>
        <v>SOBREPESO</v>
      </c>
      <c r="OH143" s="43" t="str">
        <f t="shared" si="510"/>
        <v/>
      </c>
      <c r="OI143" s="43" t="str">
        <f t="shared" si="511"/>
        <v/>
      </c>
      <c r="OJ143" s="43" t="str">
        <f t="shared" si="512"/>
        <v/>
      </c>
      <c r="OK143" s="43" t="str">
        <f t="shared" si="513"/>
        <v/>
      </c>
      <c r="OL143" s="43" t="str">
        <f t="shared" si="514"/>
        <v/>
      </c>
      <c r="OM143" s="43" t="str">
        <f t="shared" si="515"/>
        <v/>
      </c>
      <c r="ON143" s="43" t="str">
        <f t="shared" si="516"/>
        <v/>
      </c>
      <c r="OO143" s="43" t="str">
        <f t="shared" si="517"/>
        <v/>
      </c>
      <c r="OP143" s="43" t="str">
        <f t="shared" si="518"/>
        <v/>
      </c>
      <c r="OQ143" s="43" t="str">
        <f t="shared" si="519"/>
        <v/>
      </c>
      <c r="OR143" s="43" t="str">
        <f t="shared" si="520"/>
        <v/>
      </c>
      <c r="OS143" s="43" t="str">
        <f t="shared" si="521"/>
        <v/>
      </c>
      <c r="OT143" s="43" t="str">
        <f t="shared" si="522"/>
        <v/>
      </c>
      <c r="OU143" s="43" t="str">
        <f t="shared" si="523"/>
        <v/>
      </c>
      <c r="OV143" s="110" t="str">
        <f t="shared" si="524"/>
        <v/>
      </c>
      <c r="OW143" s="43" t="str">
        <f t="shared" si="525"/>
        <v/>
      </c>
      <c r="OX143" s="43" t="str">
        <f t="shared" si="526"/>
        <v/>
      </c>
      <c r="OY143" s="43" t="str">
        <f t="shared" si="527"/>
        <v/>
      </c>
      <c r="OZ143" s="43" t="str">
        <f t="shared" si="528"/>
        <v/>
      </c>
      <c r="PA143" s="43" t="str">
        <f t="shared" si="529"/>
        <v/>
      </c>
      <c r="PB143" s="43" t="str">
        <f t="shared" si="530"/>
        <v/>
      </c>
      <c r="PC143" s="43" t="str">
        <f t="shared" si="531"/>
        <v/>
      </c>
      <c r="PD143" s="43" t="str">
        <f t="shared" si="532"/>
        <v/>
      </c>
      <c r="PE143" s="43" t="str">
        <f t="shared" si="533"/>
        <v/>
      </c>
      <c r="PF143" s="43" t="str">
        <f t="shared" si="534"/>
        <v/>
      </c>
      <c r="PG143" s="43" t="str">
        <f t="shared" si="535"/>
        <v/>
      </c>
      <c r="PH143" s="43" t="str">
        <f t="shared" si="536"/>
        <v/>
      </c>
      <c r="PI143" s="43">
        <f t="shared" si="537"/>
        <v>20</v>
      </c>
      <c r="PJ143" s="43" t="str">
        <f t="shared" si="538"/>
        <v/>
      </c>
      <c r="PK143" s="43" t="str">
        <f t="shared" si="539"/>
        <v/>
      </c>
      <c r="PL143" s="43" t="str">
        <f t="shared" si="540"/>
        <v/>
      </c>
      <c r="PM143" s="43" t="str">
        <f t="shared" si="541"/>
        <v/>
      </c>
      <c r="PN143" s="43" t="str">
        <f t="shared" si="542"/>
        <v/>
      </c>
      <c r="PO143" s="43" t="str">
        <f t="shared" si="543"/>
        <v/>
      </c>
      <c r="PP143" s="43" t="str">
        <f t="shared" si="544"/>
        <v/>
      </c>
      <c r="PQ143" s="43" t="str">
        <f t="shared" si="545"/>
        <v/>
      </c>
      <c r="PR143" s="43" t="str">
        <f t="shared" si="546"/>
        <v/>
      </c>
      <c r="PS143" s="43" t="str">
        <f t="shared" si="547"/>
        <v/>
      </c>
      <c r="PT143" s="43" t="str">
        <f t="shared" si="548"/>
        <v/>
      </c>
      <c r="PU143" s="43" t="str">
        <f t="shared" si="549"/>
        <v>SOBREPESO</v>
      </c>
      <c r="PV143" s="43" t="str">
        <f t="shared" si="550"/>
        <v/>
      </c>
      <c r="PW143" s="43" t="str">
        <f t="shared" si="551"/>
        <v/>
      </c>
      <c r="PX143" s="43" t="str">
        <f t="shared" si="552"/>
        <v/>
      </c>
      <c r="PY143" s="43" t="str">
        <f t="shared" si="553"/>
        <v/>
      </c>
      <c r="PZ143" s="43" t="str">
        <f t="shared" si="554"/>
        <v/>
      </c>
      <c r="QA143" s="43" t="str">
        <f t="shared" si="555"/>
        <v/>
      </c>
      <c r="QB143" s="43" t="str">
        <f t="shared" si="556"/>
        <v/>
      </c>
      <c r="QC143" s="43" t="str">
        <f t="shared" si="557"/>
        <v/>
      </c>
      <c r="QD143" s="43" t="str">
        <f t="shared" si="558"/>
        <v/>
      </c>
      <c r="QE143" s="43" t="str">
        <f t="shared" si="559"/>
        <v/>
      </c>
      <c r="QF143" s="43" t="str">
        <f t="shared" si="560"/>
        <v/>
      </c>
      <c r="QG143" s="43" t="str">
        <f t="shared" si="561"/>
        <v/>
      </c>
      <c r="QH143" s="43" t="str">
        <f t="shared" si="562"/>
        <v/>
      </c>
      <c r="QI143" s="43" t="str">
        <f t="shared" si="563"/>
        <v/>
      </c>
      <c r="QJ143" s="43" t="str">
        <f t="shared" si="564"/>
        <v/>
      </c>
      <c r="QK143" s="43" t="str">
        <f t="shared" si="565"/>
        <v/>
      </c>
      <c r="QL143" s="43" t="str">
        <f t="shared" si="566"/>
        <v/>
      </c>
      <c r="QM143" s="43" t="str">
        <f t="shared" si="567"/>
        <v/>
      </c>
      <c r="QN143" s="43" t="str">
        <f t="shared" si="568"/>
        <v/>
      </c>
      <c r="QO143" s="43" t="str">
        <f t="shared" si="569"/>
        <v/>
      </c>
      <c r="QP143" s="43" t="str">
        <f t="shared" si="570"/>
        <v/>
      </c>
      <c r="QQ143" s="43" t="str">
        <f t="shared" si="571"/>
        <v/>
      </c>
      <c r="QR143" s="43">
        <f t="shared" si="672"/>
        <v>20</v>
      </c>
      <c r="QS143" s="43"/>
      <c r="QT143" s="21" t="str">
        <f t="shared" si="572"/>
        <v/>
      </c>
      <c r="QU143" s="21" t="str">
        <f t="shared" si="573"/>
        <v/>
      </c>
      <c r="QV143" s="21" t="str">
        <f t="shared" si="574"/>
        <v/>
      </c>
      <c r="QW143" s="21" t="str">
        <f t="shared" si="575"/>
        <v/>
      </c>
      <c r="QX143" s="21" t="str">
        <f t="shared" si="576"/>
        <v/>
      </c>
      <c r="QY143" s="21" t="str">
        <f t="shared" si="577"/>
        <v/>
      </c>
      <c r="QZ143" s="21" t="str">
        <f t="shared" si="578"/>
        <v/>
      </c>
      <c r="RA143" s="21" t="str">
        <f t="shared" si="579"/>
        <v>ADECUADO PARA EDAD GESTACIONAL</v>
      </c>
      <c r="RB143" s="21" t="str">
        <f t="shared" si="580"/>
        <v/>
      </c>
      <c r="RC143" s="21" t="str">
        <f t="shared" si="581"/>
        <v/>
      </c>
      <c r="RD143" s="21" t="str">
        <f t="shared" si="582"/>
        <v/>
      </c>
      <c r="RE143" s="21" t="str">
        <f t="shared" si="583"/>
        <v/>
      </c>
      <c r="RF143" s="21" t="str">
        <f t="shared" si="584"/>
        <v/>
      </c>
      <c r="RG143" s="21" t="str">
        <f t="shared" si="585"/>
        <v/>
      </c>
      <c r="RH143" s="21" t="str">
        <f t="shared" si="586"/>
        <v/>
      </c>
      <c r="RI143" s="21" t="str">
        <f t="shared" si="587"/>
        <v/>
      </c>
      <c r="RJ143" s="21" t="str">
        <f t="shared" si="588"/>
        <v/>
      </c>
      <c r="RK143" s="21" t="str">
        <f t="shared" si="589"/>
        <v/>
      </c>
      <c r="RL143" s="21" t="str">
        <f t="shared" si="590"/>
        <v/>
      </c>
      <c r="RM143" s="21" t="str">
        <f t="shared" si="591"/>
        <v/>
      </c>
      <c r="RN143" s="21" t="str">
        <f t="shared" si="592"/>
        <v/>
      </c>
      <c r="RO143" s="21" t="str">
        <f t="shared" si="593"/>
        <v/>
      </c>
      <c r="RP143" s="21" t="str">
        <f t="shared" si="594"/>
        <v/>
      </c>
      <c r="RQ143" s="21" t="str">
        <f t="shared" si="595"/>
        <v/>
      </c>
      <c r="RR143" s="21" t="str">
        <f t="shared" si="596"/>
        <v/>
      </c>
      <c r="RS143" s="21" t="str">
        <f t="shared" si="597"/>
        <v/>
      </c>
      <c r="RT143" s="21" t="str">
        <f t="shared" si="598"/>
        <v/>
      </c>
      <c r="RU143" s="21" t="str">
        <f t="shared" si="599"/>
        <v/>
      </c>
      <c r="RV143" s="21">
        <f t="shared" si="600"/>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3"/>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1"/>
        <v>24.742465753424657</v>
      </c>
      <c r="O144" s="22">
        <v>45017</v>
      </c>
      <c r="P144" s="214" t="str">
        <f t="shared" si="675"/>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2"/>
        <v>72.639999999999901</v>
      </c>
      <c r="BR144" s="223">
        <f t="shared" si="603"/>
        <v>44971.199999999997</v>
      </c>
      <c r="BS144" s="224">
        <f t="shared" si="604"/>
        <v>6.5428571428575584</v>
      </c>
      <c r="BT144" s="216" t="str">
        <f t="shared" si="605"/>
        <v>I TRIM</v>
      </c>
      <c r="BU144" s="214">
        <f t="shared" ca="1" si="606"/>
        <v>37.257142857143272</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7"/>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8"/>
        <v>45164</v>
      </c>
      <c r="CL144" s="21">
        <v>45.8</v>
      </c>
      <c r="CM144" s="214">
        <f t="shared" si="609"/>
        <v>22.713747272366593</v>
      </c>
      <c r="CN144" s="216">
        <f t="shared" si="610"/>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90">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1"/>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6"/>
        <v>CONCERTAR PLAN DE PARTO INMEDIATO</v>
      </c>
      <c r="DV144" s="226" t="str">
        <f t="shared" si="677"/>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2"/>
        <v>#REF!</v>
      </c>
      <c r="DY144" s="212">
        <f>IF(R144="","",IF(R144&gt;0,MAX(Tabla1[[#This Row],[FECHA C2]:[FECHA C13]],Tabla1[[#This Row],[FECHA CONSULTA PRIMERA VEZ PROGRAMA CPN ]])))</f>
        <v>45164</v>
      </c>
      <c r="DZ144" s="216">
        <f t="shared" si="613"/>
        <v>27</v>
      </c>
      <c r="EA144" s="222">
        <f>IF(R144&gt;0,SUM(COUNTA(DF144:DQ144)+COUNTA(Tabla1[[#This Row],[FECHA CONSULTA PRIMERA VEZ PROGRAMA CPN ]])),"")</f>
        <v>5</v>
      </c>
      <c r="EB144" s="222" t="str">
        <f t="shared" si="614"/>
        <v>SI</v>
      </c>
      <c r="EC144" s="214">
        <f t="shared" si="615"/>
        <v>10</v>
      </c>
      <c r="ED144" s="227">
        <f t="shared" si="616"/>
        <v>0.5</v>
      </c>
      <c r="EE144" s="22">
        <v>45017</v>
      </c>
      <c r="EF144" s="22">
        <v>45017</v>
      </c>
      <c r="EG144" s="22">
        <v>45017</v>
      </c>
      <c r="EH144" s="22"/>
      <c r="EI144" s="22">
        <v>45017</v>
      </c>
      <c r="EJ144" s="22">
        <v>45090</v>
      </c>
      <c r="EK144" s="22">
        <v>45090</v>
      </c>
      <c r="EL144" s="21">
        <v>1</v>
      </c>
      <c r="EM144" s="21">
        <v>12.3</v>
      </c>
      <c r="EN144" s="22">
        <v>45019</v>
      </c>
      <c r="EO144" s="222">
        <f t="shared" si="617"/>
        <v>6.828571428571844</v>
      </c>
      <c r="EP144" s="214" t="str">
        <f t="shared" si="618"/>
        <v>NORMAL- SUMINISTRAR SULFATO FERROSO</v>
      </c>
      <c r="EQ144" s="216" t="str">
        <f t="shared" si="619"/>
        <v>I TRIM</v>
      </c>
      <c r="ER144" s="24"/>
      <c r="ES144" s="22"/>
      <c r="ET144" s="29" t="str">
        <f t="shared" ca="1" si="678"/>
        <v>TOMA DE HEMOGLOBINA TARDÍA</v>
      </c>
      <c r="EU144" s="25" t="str">
        <f t="shared" si="620"/>
        <v/>
      </c>
      <c r="EV144" s="24"/>
      <c r="EW144" s="24"/>
      <c r="EX144" s="22"/>
      <c r="EY144" s="29" t="str">
        <f t="shared" si="454"/>
        <v>TOMAR EXAMEN</v>
      </c>
      <c r="EZ144" s="25" t="str">
        <f t="shared" ca="1" si="455"/>
        <v/>
      </c>
      <c r="FA144" s="21">
        <v>75</v>
      </c>
      <c r="FB144" s="22">
        <v>45019</v>
      </c>
      <c r="FC144" s="29">
        <f t="shared" si="621"/>
        <v>6.828571428571844</v>
      </c>
      <c r="FD144" s="29"/>
      <c r="FE144" s="29"/>
      <c r="FF144" s="29"/>
      <c r="FG144" s="21" t="str">
        <f t="shared" ca="1" si="622"/>
        <v>TOMAR PTOG</v>
      </c>
      <c r="FH144" s="31"/>
      <c r="FI144" s="29" t="str">
        <f t="shared" si="623"/>
        <v>TOMAR EXAMEN</v>
      </c>
      <c r="FJ144" s="22" t="s">
        <v>867</v>
      </c>
      <c r="FK144" s="22">
        <v>45019</v>
      </c>
      <c r="FL144" s="29">
        <f t="shared" ca="1" si="624"/>
        <v>6.828571428571844</v>
      </c>
      <c r="FM144" s="22"/>
      <c r="FN144" s="32"/>
      <c r="FO144" s="29" t="str">
        <f t="shared" ca="1" si="679"/>
        <v>PIERDE TOMA DE TAMIZAJE</v>
      </c>
      <c r="FP144" s="22"/>
      <c r="FQ144" s="32"/>
      <c r="FR144" s="29" t="str">
        <f t="shared" ca="1" si="680"/>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5"/>
        <v>TOMAR EXAMEN</v>
      </c>
      <c r="FY144" s="22">
        <v>45019</v>
      </c>
      <c r="FZ144" s="22">
        <v>45019</v>
      </c>
      <c r="GA144" s="29">
        <f t="shared" ca="1" si="498"/>
        <v>6.828571428571844</v>
      </c>
      <c r="GB144" s="22"/>
      <c r="GC144" s="22"/>
      <c r="GD144" s="29" t="str">
        <f t="shared" ca="1" si="681"/>
        <v>PIERDE TOMA DE TAMIZAJE</v>
      </c>
      <c r="GE144" s="22"/>
      <c r="GF144" s="22"/>
      <c r="GG144" s="29" t="str">
        <f t="shared" ca="1" si="682"/>
        <v>TOMA INMEDIATA DE TAMIZAJE</v>
      </c>
      <c r="GH144" s="22"/>
      <c r="GI144" s="29"/>
      <c r="GJ144" s="22"/>
      <c r="GK144" s="22"/>
      <c r="GL144" s="22"/>
      <c r="GM144" s="22"/>
      <c r="GN144" s="28" t="s">
        <v>869</v>
      </c>
      <c r="GO144" s="22">
        <v>45019</v>
      </c>
      <c r="GP144" s="29">
        <f t="shared" si="626"/>
        <v>6.828571428571844</v>
      </c>
      <c r="GQ144" s="28" t="s">
        <v>869</v>
      </c>
      <c r="GR144" s="28"/>
      <c r="GS144" s="22" t="str">
        <f t="shared" si="627"/>
        <v>CONTROL Igm</v>
      </c>
      <c r="GT144" s="22">
        <v>45019</v>
      </c>
      <c r="GU144" s="29">
        <f t="shared" si="628"/>
        <v>5.1428571428571432</v>
      </c>
      <c r="GV144" s="21" t="str">
        <f t="shared" si="629"/>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30"/>
        <v>#REF!</v>
      </c>
      <c r="HI144" s="22" t="e">
        <f t="shared" ca="1" si="631"/>
        <v>#REF!</v>
      </c>
      <c r="HJ144" s="21" t="str">
        <f t="shared" ca="1" si="632"/>
        <v>***************************************</v>
      </c>
      <c r="HK144" s="21" t="str">
        <f t="shared" si="633"/>
        <v>SIN ANTECEDENTES DE RIESGO</v>
      </c>
      <c r="HL144" s="24" t="str">
        <f t="shared" si="634"/>
        <v>APARENTEMENTE NORMAL</v>
      </c>
      <c r="HM144" s="21" t="e">
        <f t="shared" ca="1" si="635"/>
        <v>#REF!</v>
      </c>
      <c r="HN144" s="30" t="str">
        <f t="shared" si="683"/>
        <v>ACTIVA INGRESO A CPN</v>
      </c>
      <c r="HO144" s="21"/>
      <c r="HP144" s="21"/>
      <c r="HQ144" s="349">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6"/>
        <v>6.5428571428575584</v>
      </c>
      <c r="IA144" s="26"/>
      <c r="IB144" s="26"/>
      <c r="IC144" s="111"/>
      <c r="ID144" s="22"/>
      <c r="IE144" s="22" t="str">
        <f t="shared" ca="1" si="637"/>
        <v>INASISTENTE</v>
      </c>
      <c r="IF144" s="22"/>
      <c r="IG144" s="22">
        <f t="shared" si="638"/>
        <v>45251.199999999997</v>
      </c>
      <c r="IH144" s="29">
        <f t="shared" ca="1" si="639"/>
        <v>19.19999999999709</v>
      </c>
      <c r="II144" s="22" t="str">
        <f t="shared" ca="1" si="640"/>
        <v>MENOS DE 4 SEMANAS</v>
      </c>
      <c r="IJ144" s="22"/>
      <c r="IK144" s="21"/>
      <c r="IL144" s="21"/>
      <c r="IM144" s="34"/>
      <c r="IN144" s="22"/>
      <c r="IO144" s="21"/>
      <c r="IP144" s="29" t="str">
        <f t="shared" si="674"/>
        <v/>
      </c>
      <c r="IQ144" s="35"/>
      <c r="IR144" s="21"/>
      <c r="IS144" s="21"/>
      <c r="IT144" s="21"/>
      <c r="IU144" s="21"/>
      <c r="IV144" s="21"/>
      <c r="IW144" s="21"/>
      <c r="IX144" s="21"/>
      <c r="IY144" s="21"/>
      <c r="IZ144" s="21"/>
      <c r="JA144" s="21"/>
      <c r="JB144" s="30"/>
      <c r="JC144" s="21"/>
      <c r="JD144" s="36"/>
      <c r="JE144" s="21" t="str">
        <f t="shared" si="684"/>
        <v/>
      </c>
      <c r="JF144" s="30"/>
      <c r="JG144" s="21"/>
      <c r="JH144" s="21"/>
      <c r="JI144" s="21"/>
      <c r="JJ144" s="30"/>
      <c r="JK144" s="22"/>
      <c r="JL144" s="22"/>
      <c r="JM144" s="21"/>
      <c r="JN144" s="36"/>
      <c r="JO144" s="21" t="str">
        <f t="shared" si="685"/>
        <v/>
      </c>
      <c r="JP144" s="22"/>
      <c r="JQ144" s="21"/>
      <c r="JR144" s="21"/>
      <c r="JS144" s="21"/>
      <c r="JT144" s="30"/>
      <c r="JU144" s="22"/>
      <c r="JV144" s="22"/>
      <c r="JW144" s="33"/>
      <c r="JX144" s="28" t="str">
        <f t="shared" si="686"/>
        <v/>
      </c>
      <c r="JY144" s="33"/>
      <c r="JZ144" s="28" t="str">
        <f t="shared" si="687"/>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41"/>
        <v>0</v>
      </c>
      <c r="MI144" s="43" t="str">
        <f t="shared" si="642"/>
        <v/>
      </c>
      <c r="MJ144" s="43" t="str">
        <f t="shared" si="643"/>
        <v/>
      </c>
      <c r="MK144" s="43">
        <f t="shared" si="644"/>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5"/>
        <v>6.5428571428575584</v>
      </c>
      <c r="MN144" s="43">
        <f t="shared" si="646"/>
        <v>4</v>
      </c>
      <c r="MO144" s="43">
        <f t="shared" si="647"/>
        <v>2023</v>
      </c>
      <c r="MP144" s="43" t="str">
        <f t="shared" si="648"/>
        <v>II TRIMESTRE AÑO</v>
      </c>
      <c r="MQ144" s="43">
        <f t="shared" si="649"/>
        <v>23.792706964520367</v>
      </c>
      <c r="MR144" s="43">
        <f t="shared" si="650"/>
        <v>0</v>
      </c>
      <c r="MS144" s="43" t="str">
        <f t="shared" si="651"/>
        <v xml:space="preserve"> DE 20 A 24 AÑOS</v>
      </c>
      <c r="MT144" s="43">
        <f t="shared" si="652"/>
        <v>0</v>
      </c>
      <c r="MU144" s="43">
        <f t="shared" si="653"/>
        <v>0</v>
      </c>
      <c r="MV144" s="43">
        <f t="shared" si="654"/>
        <v>0</v>
      </c>
      <c r="MW144" s="43">
        <f t="shared" si="655"/>
        <v>0</v>
      </c>
      <c r="MX144" s="43" t="str">
        <f t="shared" si="656"/>
        <v/>
      </c>
      <c r="MY144" s="43" t="str">
        <f t="shared" ca="1" si="688"/>
        <v/>
      </c>
      <c r="MZ144" s="43" t="str">
        <f t="shared" si="657"/>
        <v/>
      </c>
      <c r="NA144" s="43" t="str">
        <f t="shared" si="658"/>
        <v/>
      </c>
      <c r="NB144" s="43" t="str">
        <f t="shared" si="659"/>
        <v/>
      </c>
      <c r="NC144" s="43" t="str">
        <f t="shared" si="660"/>
        <v/>
      </c>
      <c r="ND144" s="43">
        <f t="shared" ca="1" si="661"/>
        <v>0</v>
      </c>
      <c r="NE144" s="43">
        <f>IF(OR(O144&gt;0,R144&gt;0),SUM(COUNTIF(Tabla1[[#This Row],[AÑOS AL INICIO5 CPN]],"&gt;=40"),COUNTIF(AS144,"0"),COUNTIF(AR144,"SI"),COUNTIF(CC144,"SI"),COUNTIF(BQ144,"&gt;119"),COUNTIF(CI144,"&gt;=35")),"")</f>
        <v>0</v>
      </c>
      <c r="NF144" s="43" t="str">
        <f t="shared" si="662"/>
        <v/>
      </c>
      <c r="NG144" s="43">
        <f t="shared" si="663"/>
        <v>0</v>
      </c>
      <c r="NH144" s="43">
        <f t="shared" si="664"/>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5"/>
        <v>73</v>
      </c>
      <c r="NM144" s="43" t="str">
        <f t="shared" si="501"/>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6"/>
        <v>I TRIM</v>
      </c>
      <c r="NQ144" s="21" t="str">
        <f t="shared" ref="NQ144:NQ169" si="691">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9"/>
        <v>3</v>
      </c>
      <c r="NS144" s="205">
        <f t="shared" ca="1" si="667"/>
        <v>1</v>
      </c>
      <c r="NT144" s="21">
        <f t="shared" ca="1" si="668"/>
        <v>1</v>
      </c>
      <c r="NU144" s="21" t="str">
        <f t="shared" ca="1" si="669"/>
        <v>INCOMPLETO</v>
      </c>
      <c r="NV144" s="21" t="str">
        <f t="shared" ca="1" si="670"/>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71"/>
        <v>SIN VACUNAR</v>
      </c>
      <c r="NY144" s="43">
        <f>ROW(Tabla1[[#This Row],['# DE TAMIZAJES SIFILIS TOMADOS ]])</f>
        <v>144</v>
      </c>
      <c r="NZ144" s="43" t="str">
        <f t="shared" si="502"/>
        <v>Menor</v>
      </c>
      <c r="OA144" s="43" t="str">
        <f t="shared" si="503"/>
        <v>NORMAL</v>
      </c>
      <c r="OB144" s="43" t="str">
        <f t="shared" si="504"/>
        <v/>
      </c>
      <c r="OC144" s="43" t="str">
        <f t="shared" si="505"/>
        <v/>
      </c>
      <c r="OD144" s="43" t="str">
        <f t="shared" si="506"/>
        <v/>
      </c>
      <c r="OE144" s="43" t="str">
        <f t="shared" si="507"/>
        <v/>
      </c>
      <c r="OF144" s="43" t="str">
        <f t="shared" si="508"/>
        <v/>
      </c>
      <c r="OG144" s="43" t="str">
        <f t="shared" si="509"/>
        <v/>
      </c>
      <c r="OH144" s="43" t="str">
        <f t="shared" si="510"/>
        <v/>
      </c>
      <c r="OI144" s="43" t="str">
        <f t="shared" si="511"/>
        <v/>
      </c>
      <c r="OJ144" s="43" t="str">
        <f t="shared" si="512"/>
        <v/>
      </c>
      <c r="OK144" s="43" t="str">
        <f t="shared" si="513"/>
        <v/>
      </c>
      <c r="OL144" s="43" t="str">
        <f t="shared" si="514"/>
        <v/>
      </c>
      <c r="OM144" s="43" t="str">
        <f t="shared" si="515"/>
        <v/>
      </c>
      <c r="ON144" s="43" t="str">
        <f t="shared" si="516"/>
        <v/>
      </c>
      <c r="OO144" s="43" t="str">
        <f t="shared" si="517"/>
        <v/>
      </c>
      <c r="OP144" s="43" t="str">
        <f t="shared" si="518"/>
        <v/>
      </c>
      <c r="OQ144" s="43" t="str">
        <f t="shared" si="519"/>
        <v/>
      </c>
      <c r="OR144" s="43" t="str">
        <f t="shared" si="520"/>
        <v/>
      </c>
      <c r="OS144" s="43" t="str">
        <f t="shared" si="521"/>
        <v/>
      </c>
      <c r="OT144" s="43" t="str">
        <f t="shared" si="522"/>
        <v/>
      </c>
      <c r="OU144" s="43" t="str">
        <f t="shared" si="523"/>
        <v/>
      </c>
      <c r="OV144" s="110" t="str">
        <f t="shared" si="524"/>
        <v/>
      </c>
      <c r="OW144" s="43" t="str">
        <f t="shared" si="525"/>
        <v/>
      </c>
      <c r="OX144" s="43" t="str">
        <f t="shared" si="526"/>
        <v/>
      </c>
      <c r="OY144" s="43" t="str">
        <f t="shared" si="527"/>
        <v/>
      </c>
      <c r="OZ144" s="43" t="str">
        <f t="shared" si="528"/>
        <v/>
      </c>
      <c r="PA144" s="43" t="str">
        <f t="shared" si="529"/>
        <v/>
      </c>
      <c r="PB144" s="43" t="str">
        <f t="shared" si="530"/>
        <v/>
      </c>
      <c r="PC144" s="43" t="str">
        <f t="shared" si="531"/>
        <v/>
      </c>
      <c r="PD144" s="43" t="str">
        <f t="shared" si="532"/>
        <v/>
      </c>
      <c r="PE144" s="43" t="str">
        <f t="shared" si="533"/>
        <v/>
      </c>
      <c r="PF144" s="43" t="str">
        <f t="shared" si="534"/>
        <v/>
      </c>
      <c r="PG144" s="43" t="str">
        <f t="shared" si="535"/>
        <v/>
      </c>
      <c r="PH144" s="43" t="str">
        <f t="shared" si="536"/>
        <v/>
      </c>
      <c r="PI144" s="43">
        <f t="shared" si="537"/>
        <v>27</v>
      </c>
      <c r="PJ144" s="43" t="str">
        <f t="shared" si="538"/>
        <v/>
      </c>
      <c r="PK144" s="43" t="str">
        <f t="shared" si="539"/>
        <v/>
      </c>
      <c r="PL144" s="43" t="str">
        <f t="shared" si="540"/>
        <v/>
      </c>
      <c r="PM144" s="43" t="str">
        <f t="shared" si="541"/>
        <v/>
      </c>
      <c r="PN144" s="43" t="str">
        <f t="shared" si="542"/>
        <v/>
      </c>
      <c r="PO144" s="43" t="str">
        <f t="shared" si="543"/>
        <v/>
      </c>
      <c r="PP144" s="43" t="str">
        <f t="shared" si="544"/>
        <v/>
      </c>
      <c r="PQ144" s="43" t="str">
        <f t="shared" si="545"/>
        <v/>
      </c>
      <c r="PR144" s="43" t="str">
        <f t="shared" si="546"/>
        <v/>
      </c>
      <c r="PS144" s="43" t="str">
        <f t="shared" si="547"/>
        <v/>
      </c>
      <c r="PT144" s="43" t="str">
        <f t="shared" si="548"/>
        <v/>
      </c>
      <c r="PU144" s="43" t="str">
        <f t="shared" si="549"/>
        <v/>
      </c>
      <c r="PV144" s="43" t="str">
        <f t="shared" si="550"/>
        <v/>
      </c>
      <c r="PW144" s="43" t="str">
        <f t="shared" si="551"/>
        <v/>
      </c>
      <c r="PX144" s="43" t="str">
        <f t="shared" si="552"/>
        <v/>
      </c>
      <c r="PY144" s="43" t="str">
        <f t="shared" si="553"/>
        <v/>
      </c>
      <c r="PZ144" s="43" t="str">
        <f t="shared" si="554"/>
        <v/>
      </c>
      <c r="QA144" s="43" t="str">
        <f t="shared" si="555"/>
        <v/>
      </c>
      <c r="QB144" s="43" t="str">
        <f t="shared" si="556"/>
        <v>BAJO PESO</v>
      </c>
      <c r="QC144" s="43" t="str">
        <f t="shared" si="557"/>
        <v/>
      </c>
      <c r="QD144" s="43" t="str">
        <f t="shared" si="558"/>
        <v/>
      </c>
      <c r="QE144" s="43" t="str">
        <f t="shared" si="559"/>
        <v/>
      </c>
      <c r="QF144" s="43" t="str">
        <f t="shared" si="560"/>
        <v/>
      </c>
      <c r="QG144" s="43" t="str">
        <f t="shared" si="561"/>
        <v/>
      </c>
      <c r="QH144" s="43" t="str">
        <f t="shared" si="562"/>
        <v/>
      </c>
      <c r="QI144" s="43" t="str">
        <f t="shared" si="563"/>
        <v/>
      </c>
      <c r="QJ144" s="43" t="str">
        <f t="shared" si="564"/>
        <v/>
      </c>
      <c r="QK144" s="43" t="str">
        <f t="shared" si="565"/>
        <v/>
      </c>
      <c r="QL144" s="43" t="str">
        <f t="shared" si="566"/>
        <v/>
      </c>
      <c r="QM144" s="43" t="str">
        <f t="shared" si="567"/>
        <v/>
      </c>
      <c r="QN144" s="43" t="str">
        <f t="shared" si="568"/>
        <v/>
      </c>
      <c r="QO144" s="43" t="str">
        <f t="shared" si="569"/>
        <v/>
      </c>
      <c r="QP144" s="43" t="str">
        <f t="shared" si="570"/>
        <v/>
      </c>
      <c r="QQ144" s="43" t="str">
        <f t="shared" si="571"/>
        <v/>
      </c>
      <c r="QR144" s="43">
        <f t="shared" si="672"/>
        <v>27</v>
      </c>
      <c r="QS144" s="43"/>
      <c r="QT144" s="21" t="str">
        <f t="shared" si="572"/>
        <v/>
      </c>
      <c r="QU144" s="21" t="str">
        <f t="shared" si="573"/>
        <v/>
      </c>
      <c r="QV144" s="21" t="str">
        <f t="shared" si="574"/>
        <v/>
      </c>
      <c r="QW144" s="21" t="str">
        <f t="shared" si="575"/>
        <v/>
      </c>
      <c r="QX144" s="21" t="str">
        <f t="shared" si="576"/>
        <v/>
      </c>
      <c r="QY144" s="21" t="str">
        <f t="shared" si="577"/>
        <v/>
      </c>
      <c r="QZ144" s="21" t="str">
        <f t="shared" si="578"/>
        <v/>
      </c>
      <c r="RA144" s="21" t="str">
        <f t="shared" si="579"/>
        <v/>
      </c>
      <c r="RB144" s="21" t="str">
        <f t="shared" si="580"/>
        <v/>
      </c>
      <c r="RC144" s="21" t="str">
        <f t="shared" si="581"/>
        <v/>
      </c>
      <c r="RD144" s="21" t="str">
        <f t="shared" si="582"/>
        <v/>
      </c>
      <c r="RE144" s="21" t="str">
        <f t="shared" si="583"/>
        <v/>
      </c>
      <c r="RF144" s="21" t="str">
        <f t="shared" si="584"/>
        <v/>
      </c>
      <c r="RG144" s="21" t="str">
        <f t="shared" si="585"/>
        <v/>
      </c>
      <c r="RH144" s="21" t="str">
        <f t="shared" si="586"/>
        <v>ADECUADO PARA EDAD GESTACIONAL</v>
      </c>
      <c r="RI144" s="21" t="str">
        <f t="shared" si="587"/>
        <v/>
      </c>
      <c r="RJ144" s="21" t="str">
        <f t="shared" si="588"/>
        <v/>
      </c>
      <c r="RK144" s="21" t="str">
        <f t="shared" si="589"/>
        <v/>
      </c>
      <c r="RL144" s="21" t="str">
        <f t="shared" si="590"/>
        <v/>
      </c>
      <c r="RM144" s="21" t="str">
        <f t="shared" si="591"/>
        <v/>
      </c>
      <c r="RN144" s="21" t="str">
        <f t="shared" si="592"/>
        <v/>
      </c>
      <c r="RO144" s="21" t="str">
        <f t="shared" si="593"/>
        <v/>
      </c>
      <c r="RP144" s="21" t="str">
        <f t="shared" si="594"/>
        <v/>
      </c>
      <c r="RQ144" s="21" t="str">
        <f t="shared" si="595"/>
        <v/>
      </c>
      <c r="RR144" s="21" t="str">
        <f t="shared" si="596"/>
        <v/>
      </c>
      <c r="RS144" s="21" t="str">
        <f t="shared" si="597"/>
        <v/>
      </c>
      <c r="RT144" s="21" t="str">
        <f t="shared" si="598"/>
        <v/>
      </c>
      <c r="RU144" s="21" t="str">
        <f t="shared" si="599"/>
        <v/>
      </c>
      <c r="RV144" s="21">
        <f t="shared" si="600"/>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3"/>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1"/>
        <v>22.235616438356164</v>
      </c>
      <c r="O145" s="22">
        <v>45028</v>
      </c>
      <c r="P145" s="214" t="str">
        <f t="shared" si="675"/>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2"/>
        <v>34.733333333333334</v>
      </c>
      <c r="BR145" s="223">
        <f t="shared" si="603"/>
        <v>44964.2</v>
      </c>
      <c r="BS145" s="224">
        <f t="shared" si="604"/>
        <v>8.5714285714285712</v>
      </c>
      <c r="BT145" s="216" t="str">
        <f t="shared" si="605"/>
        <v>DEFINIR CON ECO</v>
      </c>
      <c r="BU145" s="214">
        <f t="shared" ca="1" si="606"/>
        <v>37.714285714285715</v>
      </c>
      <c r="BV145" s="25"/>
      <c r="BW145" s="22">
        <v>45051</v>
      </c>
      <c r="BX145" s="28">
        <v>12.4</v>
      </c>
      <c r="BY145" s="28"/>
      <c r="BZ145" s="22"/>
      <c r="CA145" s="21"/>
      <c r="CB145" s="26"/>
      <c r="CC145" s="26"/>
      <c r="CD145" s="26"/>
      <c r="CE145" s="26"/>
      <c r="CF145" s="22" t="s">
        <v>1517</v>
      </c>
      <c r="CG145" s="21">
        <v>1.43</v>
      </c>
      <c r="CH145" s="21">
        <v>46.5</v>
      </c>
      <c r="CI145" s="214">
        <f t="shared" si="607"/>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8"/>
        <v>45150</v>
      </c>
      <c r="CL145" s="21">
        <v>52.8</v>
      </c>
      <c r="CM145" s="214">
        <f t="shared" si="609"/>
        <v>25.820333512641206</v>
      </c>
      <c r="CN145" s="216">
        <f t="shared" si="610"/>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90"/>
        <v/>
      </c>
      <c r="DA145" s="21">
        <v>90</v>
      </c>
      <c r="DB145" s="21">
        <v>60</v>
      </c>
      <c r="DC145" s="217" t="str">
        <f t="shared" si="611"/>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6"/>
        <v>CONCERTAR PLAN DE PARTO INMEDIATO</v>
      </c>
      <c r="DV145" s="226" t="str">
        <f t="shared" si="677"/>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2"/>
        <v>#REF!</v>
      </c>
      <c r="DY145" s="212">
        <f>IF(R145="","",IF(R145&gt;0,MAX(Tabla1[[#This Row],[FECHA C2]:[FECHA C13]],Tabla1[[#This Row],[FECHA CONSULTA PRIMERA VEZ PROGRAMA CPN ]])))</f>
        <v>45150</v>
      </c>
      <c r="DZ145" s="216">
        <f t="shared" si="613"/>
        <v>26</v>
      </c>
      <c r="EA145" s="222">
        <f>IF(R145&gt;0,SUM(COUNTA(DF145:DQ145)+COUNTA(Tabla1[[#This Row],[FECHA CONSULTA PRIMERA VEZ PROGRAMA CPN ]])),"")</f>
        <v>5</v>
      </c>
      <c r="EB145" s="222" t="str">
        <f t="shared" si="614"/>
        <v>SI</v>
      </c>
      <c r="EC145" s="214">
        <f t="shared" si="615"/>
        <v>9</v>
      </c>
      <c r="ED145" s="227">
        <f t="shared" si="616"/>
        <v>0.55555555555555558</v>
      </c>
      <c r="EE145" s="22">
        <v>45028</v>
      </c>
      <c r="EF145" s="22">
        <v>45028</v>
      </c>
      <c r="EG145" s="22">
        <v>45028</v>
      </c>
      <c r="EH145" s="22"/>
      <c r="EI145" s="22">
        <v>45028</v>
      </c>
      <c r="EJ145" s="22"/>
      <c r="EK145" s="22"/>
      <c r="EL145" s="21"/>
      <c r="EM145" s="21">
        <v>11.4</v>
      </c>
      <c r="EN145" s="22">
        <v>45028</v>
      </c>
      <c r="EO145" s="222">
        <f t="shared" si="617"/>
        <v>8.5714285714285712</v>
      </c>
      <c r="EP145" s="214" t="str">
        <f t="shared" si="618"/>
        <v>NORMAL- SUMINISTRAR SULFATO FERROSO</v>
      </c>
      <c r="EQ145" s="216" t="str">
        <f t="shared" si="619"/>
        <v>I TRIM</v>
      </c>
      <c r="ER145" s="24">
        <v>10.7</v>
      </c>
      <c r="ES145" s="22">
        <v>45132</v>
      </c>
      <c r="ET145" s="29">
        <f t="shared" ca="1" si="678"/>
        <v>23.428571428571427</v>
      </c>
      <c r="EU145" s="25" t="str">
        <f t="shared" si="620"/>
        <v>NORMAL- SUMINISTRAR SULFATO FERROSO</v>
      </c>
      <c r="EV145" s="24"/>
      <c r="EW145" s="24"/>
      <c r="EX145" s="22"/>
      <c r="EY145" s="29" t="str">
        <f t="shared" si="454"/>
        <v>TOMAR EXAMEN</v>
      </c>
      <c r="EZ145" s="25" t="str">
        <f t="shared" ca="1" si="455"/>
        <v/>
      </c>
      <c r="FA145" s="21">
        <v>77</v>
      </c>
      <c r="FB145" s="22">
        <v>45028</v>
      </c>
      <c r="FC145" s="29">
        <f t="shared" si="621"/>
        <v>8.5714285714285712</v>
      </c>
      <c r="FD145" s="29">
        <v>82</v>
      </c>
      <c r="FE145" s="29">
        <v>95</v>
      </c>
      <c r="FF145" s="29">
        <v>85</v>
      </c>
      <c r="FG145" s="21" t="str">
        <f t="shared" ca="1" si="622"/>
        <v>NORMAL</v>
      </c>
      <c r="FH145" s="31">
        <v>45153</v>
      </c>
      <c r="FI145" s="29">
        <f t="shared" si="623"/>
        <v>26.428571428571427</v>
      </c>
      <c r="FJ145" s="22" t="s">
        <v>867</v>
      </c>
      <c r="FK145" s="22">
        <v>45028</v>
      </c>
      <c r="FL145" s="29">
        <f t="shared" ca="1" si="624"/>
        <v>8.5714285714285712</v>
      </c>
      <c r="FM145" s="22" t="s">
        <v>867</v>
      </c>
      <c r="FN145" s="32">
        <v>45132</v>
      </c>
      <c r="FO145" s="29">
        <f t="shared" ca="1" si="679"/>
        <v>23.428571428571427</v>
      </c>
      <c r="FP145" s="22"/>
      <c r="FQ145" s="32"/>
      <c r="FR145" s="29" t="str">
        <f t="shared" ca="1" si="680"/>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5"/>
        <v>TOMAR EXAMEN</v>
      </c>
      <c r="FY145" s="22">
        <v>45028</v>
      </c>
      <c r="FZ145" s="22">
        <v>45028</v>
      </c>
      <c r="GA145" s="29">
        <f t="shared" ca="1" si="498"/>
        <v>8.5714285714285712</v>
      </c>
      <c r="GB145" s="22" t="s">
        <v>868</v>
      </c>
      <c r="GC145" s="22">
        <v>45132</v>
      </c>
      <c r="GD145" s="29">
        <f t="shared" ca="1" si="681"/>
        <v>23.428571428571427</v>
      </c>
      <c r="GE145" s="22"/>
      <c r="GF145" s="22"/>
      <c r="GG145" s="29" t="str">
        <f t="shared" ca="1" si="682"/>
        <v>TOMA INMEDIATA DE TAMIZAJE</v>
      </c>
      <c r="GH145" s="22"/>
      <c r="GI145" s="29"/>
      <c r="GJ145" s="22"/>
      <c r="GK145" s="22"/>
      <c r="GL145" s="22"/>
      <c r="GM145" s="22"/>
      <c r="GN145" s="28" t="s">
        <v>869</v>
      </c>
      <c r="GO145" s="22">
        <v>45028</v>
      </c>
      <c r="GP145" s="29">
        <f t="shared" si="626"/>
        <v>8.5714285714285712</v>
      </c>
      <c r="GQ145" s="28" t="s">
        <v>880</v>
      </c>
      <c r="GR145" s="28" t="s">
        <v>869</v>
      </c>
      <c r="GS145" s="22" t="str">
        <f t="shared" si="627"/>
        <v>SE EXCLUYE INFECCION</v>
      </c>
      <c r="GT145" s="22">
        <v>45028</v>
      </c>
      <c r="GU145" s="29">
        <f t="shared" si="628"/>
        <v>8.5714285714285712</v>
      </c>
      <c r="GV145" s="21" t="str">
        <f t="shared" si="629"/>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30"/>
        <v>#REF!</v>
      </c>
      <c r="HI145" s="22" t="e">
        <f t="shared" ca="1" si="631"/>
        <v>#REF!</v>
      </c>
      <c r="HJ145" s="21" t="str">
        <f t="shared" ca="1" si="632"/>
        <v>***************************************</v>
      </c>
      <c r="HK145" s="21" t="str">
        <f t="shared" si="633"/>
        <v>SIN ANTECEDENTES DE RIESGO</v>
      </c>
      <c r="HL145" s="24" t="str">
        <f t="shared" si="634"/>
        <v>APARENTEMENTE NORMAL</v>
      </c>
      <c r="HM145" s="21" t="e">
        <f t="shared" ca="1" si="635"/>
        <v>#REF!</v>
      </c>
      <c r="HN145" s="30" t="str">
        <f t="shared" si="683"/>
        <v>ACTIVA INGRESO A CPN</v>
      </c>
      <c r="HO145" s="21"/>
      <c r="HP145" s="21"/>
      <c r="HQ145" s="349">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6"/>
        <v>8.5714285714285712</v>
      </c>
      <c r="IA145" s="26"/>
      <c r="IB145" s="26"/>
      <c r="IC145" s="111"/>
      <c r="ID145" s="22"/>
      <c r="IE145" s="22" t="str">
        <f t="shared" ca="1" si="637"/>
        <v>INASISTENTE</v>
      </c>
      <c r="IF145" s="22"/>
      <c r="IG145" s="22">
        <f t="shared" si="638"/>
        <v>45248</v>
      </c>
      <c r="IH145" s="29">
        <f t="shared" ca="1" si="639"/>
        <v>16</v>
      </c>
      <c r="II145" s="22" t="str">
        <f t="shared" ca="1" si="640"/>
        <v>MENOS DE 4 SEMANAS</v>
      </c>
      <c r="IJ145" s="22"/>
      <c r="IK145" s="21"/>
      <c r="IL145" s="21"/>
      <c r="IM145" s="34"/>
      <c r="IN145" s="22"/>
      <c r="IO145" s="21"/>
      <c r="IP145" s="29" t="str">
        <f t="shared" si="674"/>
        <v/>
      </c>
      <c r="IQ145" s="35"/>
      <c r="IR145" s="21"/>
      <c r="IS145" s="21"/>
      <c r="IT145" s="21"/>
      <c r="IU145" s="21"/>
      <c r="IV145" s="21"/>
      <c r="IW145" s="21"/>
      <c r="IX145" s="21"/>
      <c r="IY145" s="21"/>
      <c r="IZ145" s="21"/>
      <c r="JA145" s="21"/>
      <c r="JB145" s="30"/>
      <c r="JC145" s="21"/>
      <c r="JD145" s="36"/>
      <c r="JE145" s="21" t="str">
        <f t="shared" si="684"/>
        <v/>
      </c>
      <c r="JF145" s="30"/>
      <c r="JG145" s="21"/>
      <c r="JH145" s="21"/>
      <c r="JI145" s="21"/>
      <c r="JJ145" s="30"/>
      <c r="JK145" s="22"/>
      <c r="JL145" s="22"/>
      <c r="JM145" s="21"/>
      <c r="JN145" s="36"/>
      <c r="JO145" s="21" t="str">
        <f t="shared" si="685"/>
        <v/>
      </c>
      <c r="JP145" s="22"/>
      <c r="JQ145" s="21"/>
      <c r="JR145" s="21"/>
      <c r="JS145" s="21"/>
      <c r="JT145" s="30"/>
      <c r="JU145" s="22"/>
      <c r="JV145" s="22"/>
      <c r="JW145" s="33"/>
      <c r="JX145" s="28" t="str">
        <f t="shared" si="686"/>
        <v/>
      </c>
      <c r="JY145" s="33"/>
      <c r="JZ145" s="28" t="str">
        <f t="shared" si="687"/>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41"/>
        <v>0</v>
      </c>
      <c r="MI145" s="43" t="str">
        <f t="shared" si="642"/>
        <v/>
      </c>
      <c r="MJ145" s="43" t="str">
        <f t="shared" si="643"/>
        <v/>
      </c>
      <c r="MK145" s="43">
        <f t="shared" si="644"/>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5"/>
        <v>8.5714285714285712</v>
      </c>
      <c r="MN145" s="43">
        <f t="shared" si="646"/>
        <v>4</v>
      </c>
      <c r="MO145" s="43">
        <f t="shared" si="647"/>
        <v>2023</v>
      </c>
      <c r="MP145" s="43" t="str">
        <f t="shared" si="648"/>
        <v>II TRIMESTRE AÑO</v>
      </c>
      <c r="MQ145" s="43">
        <f t="shared" si="649"/>
        <v>21.350744634253175</v>
      </c>
      <c r="MR145" s="43">
        <f t="shared" si="650"/>
        <v>0</v>
      </c>
      <c r="MS145" s="43" t="str">
        <f t="shared" si="651"/>
        <v xml:space="preserve"> DE 20 A 24 AÑOS</v>
      </c>
      <c r="MT145" s="43">
        <f t="shared" si="652"/>
        <v>0</v>
      </c>
      <c r="MU145" s="43">
        <f t="shared" si="653"/>
        <v>0</v>
      </c>
      <c r="MV145" s="43">
        <f t="shared" si="654"/>
        <v>0</v>
      </c>
      <c r="MW145" s="43">
        <f t="shared" si="655"/>
        <v>0</v>
      </c>
      <c r="MX145" s="43" t="str">
        <f t="shared" si="656"/>
        <v/>
      </c>
      <c r="MY145" s="43" t="str">
        <f t="shared" ca="1" si="688"/>
        <v/>
      </c>
      <c r="MZ145" s="43" t="str">
        <f t="shared" si="657"/>
        <v/>
      </c>
      <c r="NA145" s="43" t="str">
        <f t="shared" si="658"/>
        <v/>
      </c>
      <c r="NB145" s="43" t="str">
        <f t="shared" si="659"/>
        <v/>
      </c>
      <c r="NC145" s="43" t="str">
        <f t="shared" si="660"/>
        <v/>
      </c>
      <c r="ND145" s="43">
        <f t="shared" ca="1" si="661"/>
        <v>0</v>
      </c>
      <c r="NE145" s="43">
        <f>IF(OR(O145&gt;0,R145&gt;0),SUM(COUNTIF(Tabla1[[#This Row],[AÑOS AL INICIO5 CPN]],"&gt;=40"),COUNTIF(AS145,"0"),COUNTIF(AR145,"SI"),COUNTIF(CC145,"SI"),COUNTIF(BQ145,"&gt;119"),COUNTIF(CI145,"&gt;=35")),"")</f>
        <v>0</v>
      </c>
      <c r="NF145" s="43" t="str">
        <f t="shared" si="662"/>
        <v/>
      </c>
      <c r="NG145" s="43">
        <f t="shared" si="663"/>
        <v>0</v>
      </c>
      <c r="NH145" s="43">
        <f t="shared" si="664"/>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5"/>
        <v>X</v>
      </c>
      <c r="NM145" s="43" t="str">
        <f t="shared" si="501"/>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6"/>
        <v>DEFINIR CON ECO</v>
      </c>
      <c r="NQ145" s="21" t="str">
        <f t="shared" si="691"/>
        <v/>
      </c>
      <c r="NR145" s="21">
        <f t="shared" ca="1" si="689"/>
        <v>3</v>
      </c>
      <c r="NS145" s="205">
        <f t="shared" ca="1" si="667"/>
        <v>2</v>
      </c>
      <c r="NT145" s="21">
        <f t="shared" ca="1" si="668"/>
        <v>2</v>
      </c>
      <c r="NU145" s="21" t="str">
        <f t="shared" ca="1" si="669"/>
        <v>INCOMPLETO</v>
      </c>
      <c r="NV145" s="21" t="str">
        <f t="shared" ca="1" si="670"/>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71"/>
        <v>SIN VACUNAR</v>
      </c>
      <c r="NY145" s="43">
        <f>ROW(Tabla1[[#This Row],['# DE TAMIZAJES SIFILIS TOMADOS ]])</f>
        <v>145</v>
      </c>
      <c r="NZ145" s="43" t="str">
        <f t="shared" si="502"/>
        <v>Menor</v>
      </c>
      <c r="OA145" s="43" t="str">
        <f t="shared" si="503"/>
        <v>NORMAL</v>
      </c>
      <c r="OB145" s="43" t="str">
        <f t="shared" si="504"/>
        <v/>
      </c>
      <c r="OC145" s="43" t="str">
        <f t="shared" si="505"/>
        <v/>
      </c>
      <c r="OD145" s="43" t="str">
        <f t="shared" si="506"/>
        <v/>
      </c>
      <c r="OE145" s="43" t="str">
        <f t="shared" si="507"/>
        <v/>
      </c>
      <c r="OF145" s="43" t="str">
        <f t="shared" si="508"/>
        <v/>
      </c>
      <c r="OG145" s="43" t="str">
        <f t="shared" si="509"/>
        <v/>
      </c>
      <c r="OH145" s="43" t="str">
        <f t="shared" si="510"/>
        <v/>
      </c>
      <c r="OI145" s="43" t="str">
        <f t="shared" si="511"/>
        <v/>
      </c>
      <c r="OJ145" s="43" t="str">
        <f t="shared" si="512"/>
        <v/>
      </c>
      <c r="OK145" s="43" t="str">
        <f t="shared" si="513"/>
        <v/>
      </c>
      <c r="OL145" s="43" t="str">
        <f t="shared" si="514"/>
        <v/>
      </c>
      <c r="OM145" s="43" t="str">
        <f t="shared" si="515"/>
        <v/>
      </c>
      <c r="ON145" s="43" t="str">
        <f t="shared" si="516"/>
        <v/>
      </c>
      <c r="OO145" s="43" t="str">
        <f t="shared" si="517"/>
        <v/>
      </c>
      <c r="OP145" s="43" t="str">
        <f t="shared" si="518"/>
        <v/>
      </c>
      <c r="OQ145" s="43" t="str">
        <f t="shared" si="519"/>
        <v/>
      </c>
      <c r="OR145" s="43" t="str">
        <f t="shared" si="520"/>
        <v/>
      </c>
      <c r="OS145" s="43" t="str">
        <f t="shared" si="521"/>
        <v/>
      </c>
      <c r="OT145" s="43" t="str">
        <f t="shared" si="522"/>
        <v/>
      </c>
      <c r="OU145" s="43" t="str">
        <f t="shared" si="523"/>
        <v/>
      </c>
      <c r="OV145" s="110" t="str">
        <f t="shared" si="524"/>
        <v/>
      </c>
      <c r="OW145" s="43" t="str">
        <f t="shared" si="525"/>
        <v/>
      </c>
      <c r="OX145" s="43" t="str">
        <f t="shared" si="526"/>
        <v/>
      </c>
      <c r="OY145" s="43" t="str">
        <f t="shared" si="527"/>
        <v/>
      </c>
      <c r="OZ145" s="43" t="str">
        <f t="shared" si="528"/>
        <v/>
      </c>
      <c r="PA145" s="43" t="str">
        <f t="shared" si="529"/>
        <v/>
      </c>
      <c r="PB145" s="43" t="str">
        <f t="shared" si="530"/>
        <v/>
      </c>
      <c r="PC145" s="43" t="str">
        <f t="shared" si="531"/>
        <v/>
      </c>
      <c r="PD145" s="43" t="str">
        <f t="shared" si="532"/>
        <v/>
      </c>
      <c r="PE145" s="43" t="str">
        <f t="shared" si="533"/>
        <v/>
      </c>
      <c r="PF145" s="43" t="str">
        <f t="shared" si="534"/>
        <v/>
      </c>
      <c r="PG145" s="43" t="str">
        <f t="shared" si="535"/>
        <v/>
      </c>
      <c r="PH145" s="43" t="str">
        <f t="shared" si="536"/>
        <v/>
      </c>
      <c r="PI145" s="43">
        <f t="shared" si="537"/>
        <v>26</v>
      </c>
      <c r="PJ145" s="43" t="str">
        <f t="shared" si="538"/>
        <v/>
      </c>
      <c r="PK145" s="43" t="str">
        <f t="shared" si="539"/>
        <v/>
      </c>
      <c r="PL145" s="43" t="str">
        <f t="shared" si="540"/>
        <v/>
      </c>
      <c r="PM145" s="43" t="str">
        <f t="shared" si="541"/>
        <v/>
      </c>
      <c r="PN145" s="43" t="str">
        <f t="shared" si="542"/>
        <v/>
      </c>
      <c r="PO145" s="43" t="str">
        <f t="shared" si="543"/>
        <v/>
      </c>
      <c r="PP145" s="43" t="str">
        <f t="shared" si="544"/>
        <v/>
      </c>
      <c r="PQ145" s="43" t="str">
        <f t="shared" si="545"/>
        <v/>
      </c>
      <c r="PR145" s="43" t="str">
        <f t="shared" si="546"/>
        <v/>
      </c>
      <c r="PS145" s="43" t="str">
        <f t="shared" si="547"/>
        <v/>
      </c>
      <c r="PT145" s="43" t="str">
        <f t="shared" si="548"/>
        <v/>
      </c>
      <c r="PU145" s="43" t="str">
        <f t="shared" si="549"/>
        <v/>
      </c>
      <c r="PV145" s="43" t="str">
        <f t="shared" si="550"/>
        <v/>
      </c>
      <c r="PW145" s="43" t="str">
        <f t="shared" si="551"/>
        <v/>
      </c>
      <c r="PX145" s="43" t="str">
        <f t="shared" si="552"/>
        <v/>
      </c>
      <c r="PY145" s="43" t="str">
        <f t="shared" si="553"/>
        <v/>
      </c>
      <c r="PZ145" s="43" t="str">
        <f t="shared" si="554"/>
        <v/>
      </c>
      <c r="QA145" s="43" t="str">
        <f t="shared" si="555"/>
        <v>NORMAL</v>
      </c>
      <c r="QB145" s="43" t="str">
        <f t="shared" si="556"/>
        <v/>
      </c>
      <c r="QC145" s="43" t="str">
        <f t="shared" si="557"/>
        <v/>
      </c>
      <c r="QD145" s="43" t="str">
        <f t="shared" si="558"/>
        <v/>
      </c>
      <c r="QE145" s="43" t="str">
        <f t="shared" si="559"/>
        <v/>
      </c>
      <c r="QF145" s="43" t="str">
        <f t="shared" si="560"/>
        <v/>
      </c>
      <c r="QG145" s="43" t="str">
        <f t="shared" si="561"/>
        <v/>
      </c>
      <c r="QH145" s="43" t="str">
        <f t="shared" si="562"/>
        <v/>
      </c>
      <c r="QI145" s="43" t="str">
        <f t="shared" si="563"/>
        <v/>
      </c>
      <c r="QJ145" s="43" t="str">
        <f t="shared" si="564"/>
        <v/>
      </c>
      <c r="QK145" s="43" t="str">
        <f t="shared" si="565"/>
        <v/>
      </c>
      <c r="QL145" s="43" t="str">
        <f t="shared" si="566"/>
        <v/>
      </c>
      <c r="QM145" s="43" t="str">
        <f t="shared" si="567"/>
        <v/>
      </c>
      <c r="QN145" s="43" t="str">
        <f t="shared" si="568"/>
        <v/>
      </c>
      <c r="QO145" s="43" t="str">
        <f t="shared" si="569"/>
        <v/>
      </c>
      <c r="QP145" s="43" t="str">
        <f t="shared" si="570"/>
        <v/>
      </c>
      <c r="QQ145" s="43" t="str">
        <f t="shared" si="571"/>
        <v/>
      </c>
      <c r="QR145" s="43">
        <f t="shared" si="672"/>
        <v>26</v>
      </c>
      <c r="QS145" s="43"/>
      <c r="QT145" s="21" t="str">
        <f t="shared" si="572"/>
        <v/>
      </c>
      <c r="QU145" s="21" t="str">
        <f t="shared" si="573"/>
        <v/>
      </c>
      <c r="QV145" s="21" t="str">
        <f t="shared" si="574"/>
        <v/>
      </c>
      <c r="QW145" s="21" t="str">
        <f t="shared" si="575"/>
        <v/>
      </c>
      <c r="QX145" s="21" t="str">
        <f t="shared" si="576"/>
        <v/>
      </c>
      <c r="QY145" s="21" t="str">
        <f t="shared" si="577"/>
        <v/>
      </c>
      <c r="QZ145" s="21" t="str">
        <f t="shared" si="578"/>
        <v/>
      </c>
      <c r="RA145" s="21" t="str">
        <f t="shared" si="579"/>
        <v/>
      </c>
      <c r="RB145" s="21" t="str">
        <f t="shared" si="580"/>
        <v/>
      </c>
      <c r="RC145" s="21" t="str">
        <f t="shared" si="581"/>
        <v/>
      </c>
      <c r="RD145" s="21" t="str">
        <f t="shared" si="582"/>
        <v/>
      </c>
      <c r="RE145" s="21" t="str">
        <f t="shared" si="583"/>
        <v/>
      </c>
      <c r="RF145" s="21" t="str">
        <f t="shared" si="584"/>
        <v/>
      </c>
      <c r="RG145" s="21" t="str">
        <f t="shared" si="585"/>
        <v>ADECUADO PARA EDAD GESTACIONAL</v>
      </c>
      <c r="RH145" s="21" t="str">
        <f t="shared" si="586"/>
        <v/>
      </c>
      <c r="RI145" s="21" t="str">
        <f t="shared" si="587"/>
        <v/>
      </c>
      <c r="RJ145" s="21" t="str">
        <f t="shared" si="588"/>
        <v/>
      </c>
      <c r="RK145" s="21" t="str">
        <f t="shared" si="589"/>
        <v/>
      </c>
      <c r="RL145" s="21" t="str">
        <f t="shared" si="590"/>
        <v/>
      </c>
      <c r="RM145" s="21" t="str">
        <f t="shared" si="591"/>
        <v/>
      </c>
      <c r="RN145" s="21" t="str">
        <f t="shared" si="592"/>
        <v/>
      </c>
      <c r="RO145" s="21" t="str">
        <f t="shared" si="593"/>
        <v/>
      </c>
      <c r="RP145" s="21" t="str">
        <f t="shared" si="594"/>
        <v/>
      </c>
      <c r="RQ145" s="21" t="str">
        <f t="shared" si="595"/>
        <v/>
      </c>
      <c r="RR145" s="21" t="str">
        <f t="shared" si="596"/>
        <v/>
      </c>
      <c r="RS145" s="21" t="str">
        <f t="shared" si="597"/>
        <v/>
      </c>
      <c r="RT145" s="21" t="str">
        <f t="shared" si="598"/>
        <v/>
      </c>
      <c r="RU145" s="21" t="str">
        <f t="shared" si="599"/>
        <v/>
      </c>
      <c r="RV145" s="21">
        <f t="shared" si="600"/>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3"/>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1"/>
        <v>32.668493150684931</v>
      </c>
      <c r="O146" s="22">
        <v>45028</v>
      </c>
      <c r="P146" s="214" t="str">
        <f t="shared" si="675"/>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2"/>
        <v>83.063333333333375</v>
      </c>
      <c r="BR146" s="223">
        <f t="shared" si="603"/>
        <v>44845.9</v>
      </c>
      <c r="BS146" s="224">
        <f t="shared" si="604"/>
        <v>26.014285714285506</v>
      </c>
      <c r="BT146" s="216" t="str">
        <f t="shared" si="605"/>
        <v>II TRIM</v>
      </c>
      <c r="BU146" s="214" t="str">
        <f t="shared" ca="1" si="606"/>
        <v/>
      </c>
      <c r="BV146" s="25"/>
      <c r="BW146" s="22">
        <v>45051</v>
      </c>
      <c r="BX146" s="28">
        <v>29.3</v>
      </c>
      <c r="BY146" s="28"/>
      <c r="BZ146" s="22"/>
      <c r="CA146" s="21"/>
      <c r="CB146" s="26"/>
      <c r="CC146" s="26"/>
      <c r="CD146" s="26"/>
      <c r="CE146" s="26" t="s">
        <v>864</v>
      </c>
      <c r="CF146" s="22" t="s">
        <v>1517</v>
      </c>
      <c r="CG146" s="21">
        <v>1.48</v>
      </c>
      <c r="CH146" s="21">
        <v>76.5</v>
      </c>
      <c r="CI146" s="214">
        <f t="shared" si="607"/>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8"/>
        <v>45112</v>
      </c>
      <c r="CL146" s="21">
        <v>81.8</v>
      </c>
      <c r="CM146" s="214">
        <f t="shared" si="609"/>
        <v>37.344777209642075</v>
      </c>
      <c r="CN146" s="216">
        <f t="shared" si="610"/>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90"/>
        <v/>
      </c>
      <c r="DA146" s="21">
        <v>100</v>
      </c>
      <c r="DB146" s="21">
        <v>70</v>
      </c>
      <c r="DC146" s="217" t="str">
        <f t="shared" si="611"/>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6"/>
        <v>SALE SIN PLAN DE PARTO</v>
      </c>
      <c r="DV146" s="226" t="str">
        <f t="shared" si="677"/>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2"/>
        <v/>
      </c>
      <c r="DY146" s="212">
        <f>IF(R146="","",IF(R146&gt;0,MAX(Tabla1[[#This Row],[FECHA C2]:[FECHA C13]],Tabla1[[#This Row],[FECHA CONSULTA PRIMERA VEZ PROGRAMA CPN ]])))</f>
        <v>45112</v>
      </c>
      <c r="DZ146" s="216">
        <f t="shared" si="613"/>
        <v>38</v>
      </c>
      <c r="EA146" s="222">
        <f>IF(R146&gt;0,SUM(COUNTA(DF146:DQ146)+COUNTA(Tabla1[[#This Row],[FECHA CONSULTA PRIMERA VEZ PROGRAMA CPN ]])),"")</f>
        <v>3</v>
      </c>
      <c r="EB146" s="222" t="str">
        <f t="shared" si="614"/>
        <v>NO</v>
      </c>
      <c r="EC146" s="214">
        <f t="shared" si="615"/>
        <v>5</v>
      </c>
      <c r="ED146" s="227">
        <f t="shared" si="616"/>
        <v>0.6</v>
      </c>
      <c r="EE146" s="22">
        <v>45028</v>
      </c>
      <c r="EF146" s="22">
        <v>45051</v>
      </c>
      <c r="EG146" s="22">
        <v>45028</v>
      </c>
      <c r="EH146" s="22"/>
      <c r="EI146" s="22">
        <v>45028</v>
      </c>
      <c r="EJ146" s="22"/>
      <c r="EK146" s="22"/>
      <c r="EL146" s="21"/>
      <c r="EM146" s="21">
        <v>12.3</v>
      </c>
      <c r="EN146" s="22">
        <v>45051</v>
      </c>
      <c r="EO146" s="222">
        <f t="shared" si="617"/>
        <v>29.299999999999791</v>
      </c>
      <c r="EP146" s="214" t="str">
        <f t="shared" si="618"/>
        <v>NORMAL- SUMINISTRAR SULFATO FERROSO</v>
      </c>
      <c r="EQ146" s="216" t="str">
        <f t="shared" si="619"/>
        <v>III TRIM</v>
      </c>
      <c r="ER146" s="24">
        <v>12.1</v>
      </c>
      <c r="ES146" s="22">
        <v>45089</v>
      </c>
      <c r="ET146" s="29">
        <f t="shared" ca="1" si="678"/>
        <v>34.728571428571222</v>
      </c>
      <c r="EU146" s="25" t="str">
        <f t="shared" si="620"/>
        <v>NORMAL- SUMINISTRAR SULFATO FERROSO</v>
      </c>
      <c r="EV146" s="24" t="s">
        <v>1628</v>
      </c>
      <c r="EW146" s="32">
        <v>45051</v>
      </c>
      <c r="EX146" s="22"/>
      <c r="EY146" s="29">
        <f t="shared" si="454"/>
        <v>29.299999999999791</v>
      </c>
      <c r="EZ146" s="25" t="str">
        <f t="shared" ca="1" si="455"/>
        <v>TOMAR COOMBS INMEDIATO PARA DEFINIR MANEJO</v>
      </c>
      <c r="FA146" s="21">
        <v>64</v>
      </c>
      <c r="FB146" s="22">
        <v>45051</v>
      </c>
      <c r="FC146" s="29" t="str">
        <f t="shared" si="621"/>
        <v>NO APLICA &gt; 23 SEM -TOMAR PTOG</v>
      </c>
      <c r="FD146" s="29">
        <v>67</v>
      </c>
      <c r="FE146" s="29">
        <v>129</v>
      </c>
      <c r="FF146" s="29">
        <v>125</v>
      </c>
      <c r="FG146" s="21" t="str">
        <f t="shared" ca="1" si="622"/>
        <v>NORMAL</v>
      </c>
      <c r="FH146" s="31">
        <v>45089</v>
      </c>
      <c r="FI146" s="29">
        <f t="shared" si="623"/>
        <v>34.728571428571222</v>
      </c>
      <c r="FJ146" s="22"/>
      <c r="FK146" s="22"/>
      <c r="FL146" s="29" t="str">
        <f t="shared" ca="1" si="624"/>
        <v>NO APLICA-INGRESO TARDIO</v>
      </c>
      <c r="FM146" s="22"/>
      <c r="FN146" s="32"/>
      <c r="FO146" s="29" t="str">
        <f t="shared" ca="1" si="679"/>
        <v>PIERDE TOMA DE TAMIZAJE</v>
      </c>
      <c r="FP146" s="22" t="s">
        <v>867</v>
      </c>
      <c r="FQ146" s="32">
        <v>45051</v>
      </c>
      <c r="FR146" s="29">
        <f t="shared" ca="1" si="680"/>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5"/>
        <v>TOMAR EXAMEN</v>
      </c>
      <c r="FY146" s="22"/>
      <c r="FZ146" s="22"/>
      <c r="GA146" s="29" t="str">
        <f t="shared" ca="1" si="498"/>
        <v>NO APLICA-INGRESO TARDIO</v>
      </c>
      <c r="GB146" s="22"/>
      <c r="GC146" s="22"/>
      <c r="GD146" s="29" t="str">
        <f t="shared" ca="1" si="681"/>
        <v>PIERDE TOMA DE TAMIZAJE</v>
      </c>
      <c r="GE146" s="22" t="s">
        <v>868</v>
      </c>
      <c r="GF146" s="22">
        <v>45051</v>
      </c>
      <c r="GG146" s="29">
        <f t="shared" ca="1" si="682"/>
        <v>29.299999999999791</v>
      </c>
      <c r="GH146" s="22"/>
      <c r="GI146" s="29"/>
      <c r="GJ146" s="22"/>
      <c r="GK146" s="22"/>
      <c r="GL146" s="22"/>
      <c r="GM146" s="22"/>
      <c r="GN146" s="28" t="s">
        <v>869</v>
      </c>
      <c r="GO146" s="22">
        <v>45051</v>
      </c>
      <c r="GP146" s="29">
        <f t="shared" si="626"/>
        <v>29.299999999999791</v>
      </c>
      <c r="GQ146" s="28" t="s">
        <v>869</v>
      </c>
      <c r="GR146" s="28" t="s">
        <v>869</v>
      </c>
      <c r="GS146" s="22" t="str">
        <f t="shared" si="627"/>
        <v>CONTROL Igm</v>
      </c>
      <c r="GT146" s="22">
        <v>45051</v>
      </c>
      <c r="GU146" s="29">
        <f t="shared" si="628"/>
        <v>28.142857142857142</v>
      </c>
      <c r="GV146" s="21" t="str">
        <f t="shared" si="629"/>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30"/>
        <v>#REF!</v>
      </c>
      <c r="HI146" s="22" t="e">
        <f t="shared" ca="1" si="631"/>
        <v>#REF!</v>
      </c>
      <c r="HJ146" s="21" t="str">
        <f t="shared" ca="1" si="632"/>
        <v>***************************************</v>
      </c>
      <c r="HK146" s="21" t="str">
        <f t="shared" si="633"/>
        <v>SIN ANTECEDENTES DE RIESGO</v>
      </c>
      <c r="HL146" s="24" t="str">
        <f t="shared" si="634"/>
        <v>APARENTEMENTE NORMAL</v>
      </c>
      <c r="HM146" s="21" t="str">
        <f t="shared" ca="1" si="635"/>
        <v/>
      </c>
      <c r="HN146" s="30" t="str">
        <f t="shared" si="683"/>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6"/>
        <v>26.014285714285506</v>
      </c>
      <c r="IA146" s="26"/>
      <c r="IB146" s="26"/>
      <c r="IC146" s="111"/>
      <c r="ID146" s="22"/>
      <c r="IE146" s="22" t="str">
        <f t="shared" ca="1" si="637"/>
        <v>SALE SIN VACUNA</v>
      </c>
      <c r="IF146" s="22"/>
      <c r="IG146" s="22">
        <f t="shared" si="638"/>
        <v>45125.9</v>
      </c>
      <c r="IH146" s="29">
        <f t="shared" ca="1" si="639"/>
        <v>-106.09999999999854</v>
      </c>
      <c r="II146" s="22" t="str">
        <f t="shared" ca="1" si="640"/>
        <v>POSIBLEMENTE NACIO</v>
      </c>
      <c r="IJ146" s="22"/>
      <c r="IK146" s="21" t="s">
        <v>898</v>
      </c>
      <c r="IL146" s="21"/>
      <c r="IM146" s="34"/>
      <c r="IN146" s="349">
        <v>45117</v>
      </c>
      <c r="IO146" s="21" t="s">
        <v>1186</v>
      </c>
      <c r="IP146" s="29">
        <f t="shared" si="674"/>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4"/>
        <v>PESO ADECUADO EDAD GESTACIONAL</v>
      </c>
      <c r="JF146" s="30"/>
      <c r="JG146" s="21"/>
      <c r="JH146" s="21"/>
      <c r="JI146" s="309" t="s">
        <v>854</v>
      </c>
      <c r="JJ146" s="329" t="s">
        <v>926</v>
      </c>
      <c r="JK146" s="22"/>
      <c r="JL146" s="22"/>
      <c r="JM146" s="21"/>
      <c r="JN146" s="36"/>
      <c r="JO146" s="21" t="str">
        <f t="shared" si="685"/>
        <v/>
      </c>
      <c r="JP146" s="22"/>
      <c r="JQ146" s="21"/>
      <c r="JR146" s="21"/>
      <c r="JS146" s="21"/>
      <c r="JT146" s="30"/>
      <c r="JU146" s="22"/>
      <c r="JV146" s="22"/>
      <c r="JW146" s="33"/>
      <c r="JX146" s="28" t="str">
        <f t="shared" si="686"/>
        <v>INASISTENTE</v>
      </c>
      <c r="JY146" s="33"/>
      <c r="JZ146" s="28" t="str">
        <f t="shared" si="687"/>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41"/>
        <v>0</v>
      </c>
      <c r="MI146" s="43" t="str">
        <f t="shared" si="642"/>
        <v/>
      </c>
      <c r="MJ146" s="43" t="str">
        <f t="shared" si="643"/>
        <v/>
      </c>
      <c r="MK146" s="43">
        <f t="shared" si="644"/>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5"/>
        <v>26.014285714285506</v>
      </c>
      <c r="MN146" s="43">
        <f t="shared" si="646"/>
        <v>4</v>
      </c>
      <c r="MO146" s="43">
        <f t="shared" si="647"/>
        <v>2023</v>
      </c>
      <c r="MP146" s="43" t="str">
        <f t="shared" si="648"/>
        <v>II TRIMESTRE AÑO</v>
      </c>
      <c r="MQ146" s="43">
        <f t="shared" si="649"/>
        <v>31.62231712658782</v>
      </c>
      <c r="MR146" s="43">
        <f t="shared" si="650"/>
        <v>0</v>
      </c>
      <c r="MS146" s="43" t="str">
        <f t="shared" si="651"/>
        <v xml:space="preserve"> DE 30 A 34 AÑOS</v>
      </c>
      <c r="MT146" s="43">
        <f t="shared" si="652"/>
        <v>0</v>
      </c>
      <c r="MU146" s="43">
        <f t="shared" si="653"/>
        <v>0</v>
      </c>
      <c r="MV146" s="43">
        <f t="shared" si="654"/>
        <v>0</v>
      </c>
      <c r="MW146" s="43">
        <f t="shared" si="655"/>
        <v>0</v>
      </c>
      <c r="MX146" s="43" t="str">
        <f t="shared" si="656"/>
        <v/>
      </c>
      <c r="MY146" s="43" t="str">
        <f t="shared" ca="1" si="688"/>
        <v/>
      </c>
      <c r="MZ146" s="43" t="str">
        <f t="shared" si="657"/>
        <v/>
      </c>
      <c r="NA146" s="43" t="str">
        <f t="shared" si="658"/>
        <v/>
      </c>
      <c r="NB146" s="43" t="str">
        <f t="shared" si="659"/>
        <v/>
      </c>
      <c r="NC146" s="43" t="str">
        <f t="shared" si="660"/>
        <v/>
      </c>
      <c r="ND146" s="43">
        <f t="shared" ca="1" si="661"/>
        <v>0</v>
      </c>
      <c r="NE146" s="43">
        <f>IF(OR(O146&gt;0,R146&gt;0),SUM(COUNTIF(Tabla1[[#This Row],[AÑOS AL INICIO5 CPN]],"&gt;=40"),COUNTIF(AS146,"0"),COUNTIF(AR146,"SI"),COUNTIF(CC146,"SI"),COUNTIF(BQ146,"&gt;119"),COUNTIF(CI146,"&gt;=35")),"")</f>
        <v>0</v>
      </c>
      <c r="NF146" s="43" t="str">
        <f t="shared" si="662"/>
        <v/>
      </c>
      <c r="NG146" s="43">
        <f t="shared" si="663"/>
        <v>0</v>
      </c>
      <c r="NH146" s="43">
        <f t="shared" si="664"/>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5"/>
        <v>X</v>
      </c>
      <c r="NM146" s="43" t="str">
        <f t="shared" si="501"/>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6"/>
        <v>II TRIM</v>
      </c>
      <c r="NQ146" s="21" t="str">
        <f t="shared" si="691"/>
        <v/>
      </c>
      <c r="NR146" s="21">
        <f t="shared" si="689"/>
        <v>2</v>
      </c>
      <c r="NS146" s="205">
        <f t="shared" ca="1" si="667"/>
        <v>1</v>
      </c>
      <c r="NT146" s="21">
        <f t="shared" ca="1" si="668"/>
        <v>1</v>
      </c>
      <c r="NU146" s="21" t="str">
        <f t="shared" ca="1" si="669"/>
        <v>INCOMPLETO</v>
      </c>
      <c r="NV146" s="21" t="str">
        <f t="shared" ca="1" si="670"/>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71"/>
        <v>SIN VACUNAR</v>
      </c>
      <c r="NY146" s="43">
        <f>ROW(Tabla1[[#This Row],['# DE TAMIZAJES SIFILIS TOMADOS ]])</f>
        <v>146</v>
      </c>
      <c r="NZ146" s="43">
        <f t="shared" si="502"/>
        <v>26</v>
      </c>
      <c r="OA146" s="43" t="str">
        <f t="shared" si="503"/>
        <v/>
      </c>
      <c r="OB146" s="43" t="str">
        <f t="shared" si="504"/>
        <v/>
      </c>
      <c r="OC146" s="43" t="str">
        <f t="shared" si="505"/>
        <v/>
      </c>
      <c r="OD146" s="43" t="str">
        <f t="shared" si="506"/>
        <v/>
      </c>
      <c r="OE146" s="43" t="str">
        <f t="shared" si="507"/>
        <v/>
      </c>
      <c r="OF146" s="43" t="str">
        <f t="shared" si="508"/>
        <v/>
      </c>
      <c r="OG146" s="43" t="str">
        <f t="shared" si="509"/>
        <v/>
      </c>
      <c r="OH146" s="43" t="str">
        <f t="shared" si="510"/>
        <v/>
      </c>
      <c r="OI146" s="43" t="str">
        <f t="shared" si="511"/>
        <v/>
      </c>
      <c r="OJ146" s="43" t="str">
        <f t="shared" si="512"/>
        <v/>
      </c>
      <c r="OK146" s="43" t="str">
        <f t="shared" si="513"/>
        <v/>
      </c>
      <c r="OL146" s="43" t="str">
        <f t="shared" si="514"/>
        <v/>
      </c>
      <c r="OM146" s="43" t="str">
        <f t="shared" si="515"/>
        <v/>
      </c>
      <c r="ON146" s="43" t="str">
        <f t="shared" si="516"/>
        <v/>
      </c>
      <c r="OO146" s="43" t="str">
        <f t="shared" si="517"/>
        <v/>
      </c>
      <c r="OP146" s="43" t="str">
        <f t="shared" si="518"/>
        <v/>
      </c>
      <c r="OQ146" s="43" t="str">
        <f t="shared" si="519"/>
        <v/>
      </c>
      <c r="OR146" s="43" t="str">
        <f t="shared" si="520"/>
        <v>OBESIDAD</v>
      </c>
      <c r="OS146" s="43" t="str">
        <f t="shared" si="521"/>
        <v/>
      </c>
      <c r="OT146" s="43" t="str">
        <f t="shared" si="522"/>
        <v/>
      </c>
      <c r="OU146" s="43" t="str">
        <f t="shared" si="523"/>
        <v/>
      </c>
      <c r="OV146" s="110" t="str">
        <f t="shared" si="524"/>
        <v/>
      </c>
      <c r="OW146" s="43" t="str">
        <f t="shared" si="525"/>
        <v/>
      </c>
      <c r="OX146" s="43" t="str">
        <f t="shared" si="526"/>
        <v/>
      </c>
      <c r="OY146" s="43" t="str">
        <f t="shared" si="527"/>
        <v/>
      </c>
      <c r="OZ146" s="43" t="str">
        <f t="shared" si="528"/>
        <v/>
      </c>
      <c r="PA146" s="43" t="str">
        <f t="shared" si="529"/>
        <v/>
      </c>
      <c r="PB146" s="43" t="str">
        <f t="shared" si="530"/>
        <v/>
      </c>
      <c r="PC146" s="43" t="str">
        <f t="shared" si="531"/>
        <v/>
      </c>
      <c r="PD146" s="43" t="str">
        <f t="shared" si="532"/>
        <v/>
      </c>
      <c r="PE146" s="43" t="str">
        <f t="shared" si="533"/>
        <v/>
      </c>
      <c r="PF146" s="43" t="str">
        <f t="shared" si="534"/>
        <v/>
      </c>
      <c r="PG146" s="43" t="str">
        <f t="shared" si="535"/>
        <v/>
      </c>
      <c r="PH146" s="43" t="str">
        <f t="shared" si="536"/>
        <v/>
      </c>
      <c r="PI146" s="43">
        <f t="shared" si="537"/>
        <v>38</v>
      </c>
      <c r="PJ146" s="43" t="str">
        <f t="shared" si="538"/>
        <v/>
      </c>
      <c r="PK146" s="43" t="str">
        <f t="shared" si="539"/>
        <v/>
      </c>
      <c r="PL146" s="43" t="str">
        <f t="shared" si="540"/>
        <v/>
      </c>
      <c r="PM146" s="43" t="str">
        <f t="shared" si="541"/>
        <v/>
      </c>
      <c r="PN146" s="43" t="str">
        <f t="shared" si="542"/>
        <v/>
      </c>
      <c r="PO146" s="43" t="str">
        <f t="shared" si="543"/>
        <v/>
      </c>
      <c r="PP146" s="43" t="str">
        <f t="shared" si="544"/>
        <v/>
      </c>
      <c r="PQ146" s="43" t="str">
        <f t="shared" si="545"/>
        <v/>
      </c>
      <c r="PR146" s="43" t="str">
        <f t="shared" si="546"/>
        <v/>
      </c>
      <c r="PS146" s="43" t="str">
        <f t="shared" si="547"/>
        <v/>
      </c>
      <c r="PT146" s="43" t="str">
        <f t="shared" si="548"/>
        <v/>
      </c>
      <c r="PU146" s="43" t="str">
        <f t="shared" si="549"/>
        <v/>
      </c>
      <c r="PV146" s="43" t="str">
        <f t="shared" si="550"/>
        <v/>
      </c>
      <c r="PW146" s="43" t="str">
        <f t="shared" si="551"/>
        <v/>
      </c>
      <c r="PX146" s="43" t="str">
        <f t="shared" si="552"/>
        <v/>
      </c>
      <c r="PY146" s="43" t="str">
        <f t="shared" si="553"/>
        <v/>
      </c>
      <c r="PZ146" s="43" t="str">
        <f t="shared" si="554"/>
        <v/>
      </c>
      <c r="QA146" s="43" t="str">
        <f t="shared" si="555"/>
        <v/>
      </c>
      <c r="QB146" s="43" t="str">
        <f t="shared" si="556"/>
        <v/>
      </c>
      <c r="QC146" s="43" t="str">
        <f t="shared" si="557"/>
        <v/>
      </c>
      <c r="QD146" s="43" t="str">
        <f t="shared" si="558"/>
        <v/>
      </c>
      <c r="QE146" s="43" t="str">
        <f t="shared" si="559"/>
        <v/>
      </c>
      <c r="QF146" s="43" t="str">
        <f t="shared" si="560"/>
        <v/>
      </c>
      <c r="QG146" s="43" t="str">
        <f t="shared" si="561"/>
        <v/>
      </c>
      <c r="QH146" s="43" t="str">
        <f t="shared" si="562"/>
        <v/>
      </c>
      <c r="QI146" s="43" t="str">
        <f t="shared" si="563"/>
        <v/>
      </c>
      <c r="QJ146" s="43" t="str">
        <f t="shared" si="564"/>
        <v/>
      </c>
      <c r="QK146" s="43" t="str">
        <f t="shared" si="565"/>
        <v/>
      </c>
      <c r="QL146" s="43" t="str">
        <f t="shared" si="566"/>
        <v/>
      </c>
      <c r="QM146" s="43" t="str">
        <f t="shared" si="567"/>
        <v>OBESIDAD</v>
      </c>
      <c r="QN146" s="43" t="str">
        <f t="shared" si="568"/>
        <v/>
      </c>
      <c r="QO146" s="43" t="str">
        <f t="shared" si="569"/>
        <v/>
      </c>
      <c r="QP146" s="43" t="str">
        <f t="shared" si="570"/>
        <v/>
      </c>
      <c r="QQ146" s="43" t="str">
        <f t="shared" si="571"/>
        <v/>
      </c>
      <c r="QR146" s="43">
        <f t="shared" si="672"/>
        <v>38</v>
      </c>
      <c r="QS146" s="43"/>
      <c r="QT146" s="21" t="str">
        <f t="shared" si="572"/>
        <v/>
      </c>
      <c r="QU146" s="21" t="str">
        <f t="shared" si="573"/>
        <v/>
      </c>
      <c r="QV146" s="21" t="str">
        <f t="shared" si="574"/>
        <v/>
      </c>
      <c r="QW146" s="21" t="str">
        <f t="shared" si="575"/>
        <v/>
      </c>
      <c r="QX146" s="21" t="str">
        <f t="shared" si="576"/>
        <v/>
      </c>
      <c r="QY146" s="21" t="str">
        <f t="shared" si="577"/>
        <v/>
      </c>
      <c r="QZ146" s="21" t="str">
        <f t="shared" si="578"/>
        <v/>
      </c>
      <c r="RA146" s="21" t="str">
        <f t="shared" si="579"/>
        <v/>
      </c>
      <c r="RB146" s="21" t="str">
        <f t="shared" si="580"/>
        <v/>
      </c>
      <c r="RC146" s="21" t="str">
        <f t="shared" si="581"/>
        <v/>
      </c>
      <c r="RD146" s="21" t="str">
        <f t="shared" si="582"/>
        <v/>
      </c>
      <c r="RE146" s="21" t="str">
        <f t="shared" si="583"/>
        <v/>
      </c>
      <c r="RF146" s="21" t="str">
        <f t="shared" si="584"/>
        <v/>
      </c>
      <c r="RG146" s="21" t="str">
        <f t="shared" si="585"/>
        <v/>
      </c>
      <c r="RH146" s="21" t="str">
        <f t="shared" si="586"/>
        <v/>
      </c>
      <c r="RI146" s="21" t="str">
        <f t="shared" si="587"/>
        <v/>
      </c>
      <c r="RJ146" s="21" t="str">
        <f t="shared" si="588"/>
        <v/>
      </c>
      <c r="RK146" s="21" t="str">
        <f t="shared" si="589"/>
        <v/>
      </c>
      <c r="RL146" s="21" t="str">
        <f t="shared" si="590"/>
        <v/>
      </c>
      <c r="RM146" s="21" t="str">
        <f t="shared" si="591"/>
        <v/>
      </c>
      <c r="RN146" s="21" t="str">
        <f t="shared" si="592"/>
        <v/>
      </c>
      <c r="RO146" s="21" t="str">
        <f t="shared" si="593"/>
        <v/>
      </c>
      <c r="RP146" s="21" t="str">
        <f t="shared" si="594"/>
        <v/>
      </c>
      <c r="RQ146" s="21" t="str">
        <f t="shared" si="595"/>
        <v/>
      </c>
      <c r="RR146" s="21" t="str">
        <f t="shared" si="596"/>
        <v/>
      </c>
      <c r="RS146" s="21" t="str">
        <f t="shared" si="597"/>
        <v>ALTO PARA EDAD GESTACIONAL</v>
      </c>
      <c r="RT146" s="21" t="str">
        <f t="shared" si="598"/>
        <v/>
      </c>
      <c r="RU146" s="21" t="str">
        <f t="shared" si="599"/>
        <v/>
      </c>
      <c r="RV146" s="21">
        <f t="shared" si="600"/>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3"/>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1"/>
        <v>19.550684931506851</v>
      </c>
      <c r="O147" s="22">
        <v>45028</v>
      </c>
      <c r="P147" s="214" t="str">
        <f t="shared" si="675"/>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2"/>
        <v>0</v>
      </c>
      <c r="BR147" s="223" t="str">
        <f t="shared" si="603"/>
        <v/>
      </c>
      <c r="BS147" s="224">
        <f t="shared" si="604"/>
        <v>9</v>
      </c>
      <c r="BT147" s="216" t="str">
        <f t="shared" si="605"/>
        <v>DEFINIR CON ECO</v>
      </c>
      <c r="BU147" s="214">
        <f t="shared" ca="1" si="606"/>
        <v>38.142857142857146</v>
      </c>
      <c r="BV147" s="25"/>
      <c r="BW147" s="22"/>
      <c r="BX147" s="28"/>
      <c r="BY147" s="28"/>
      <c r="BZ147" s="22"/>
      <c r="CA147" s="21"/>
      <c r="CB147" s="26"/>
      <c r="CC147" s="26"/>
      <c r="CD147" s="26"/>
      <c r="CE147" s="26"/>
      <c r="CF147" s="22" t="s">
        <v>1517</v>
      </c>
      <c r="CG147" s="21">
        <v>1.5</v>
      </c>
      <c r="CH147" s="21">
        <v>49</v>
      </c>
      <c r="CI147" s="214">
        <f t="shared" si="607"/>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8"/>
        <v>45136</v>
      </c>
      <c r="CL147" s="21">
        <v>51.2</v>
      </c>
      <c r="CM147" s="214">
        <f t="shared" si="609"/>
        <v>22.755555555555556</v>
      </c>
      <c r="CN147" s="216">
        <f t="shared" si="610"/>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90"/>
        <v/>
      </c>
      <c r="DA147" s="21">
        <v>100</v>
      </c>
      <c r="DB147" s="21">
        <v>60</v>
      </c>
      <c r="DC147" s="217" t="str">
        <f t="shared" si="611"/>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6"/>
        <v>CONCERTAR PLAN DE PARTO INMEDIATO</v>
      </c>
      <c r="DV147" s="226" t="str">
        <f t="shared" si="677"/>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2"/>
        <v>#REF!</v>
      </c>
      <c r="DY147" s="212">
        <f>IF(R147="","",IF(R147&gt;0,MAX(Tabla1[[#This Row],[FECHA C2]:[FECHA C13]],Tabla1[[#This Row],[FECHA CONSULTA PRIMERA VEZ PROGRAMA CPN ]])))</f>
        <v>45136</v>
      </c>
      <c r="DZ147" s="216">
        <f t="shared" si="613"/>
        <v>24</v>
      </c>
      <c r="EA147" s="222">
        <f>IF(R147&gt;0,SUM(COUNTA(DF147:DQ147)+COUNTA(Tabla1[[#This Row],[FECHA CONSULTA PRIMERA VEZ PROGRAMA CPN ]])),"")</f>
        <v>3</v>
      </c>
      <c r="EB147" s="222" t="str">
        <f t="shared" si="614"/>
        <v>NO</v>
      </c>
      <c r="EC147" s="214">
        <f t="shared" si="615"/>
        <v>9</v>
      </c>
      <c r="ED147" s="227">
        <f t="shared" si="616"/>
        <v>0.33333333333333331</v>
      </c>
      <c r="EE147" s="22">
        <v>45028</v>
      </c>
      <c r="EF147" s="22">
        <v>45028</v>
      </c>
      <c r="EG147" s="22">
        <v>45028</v>
      </c>
      <c r="EH147" s="22"/>
      <c r="EI147" s="22">
        <v>45028</v>
      </c>
      <c r="EJ147" s="22"/>
      <c r="EK147" s="22"/>
      <c r="EL147" s="21"/>
      <c r="EM147" s="21">
        <v>13.1</v>
      </c>
      <c r="EN147" s="22">
        <v>45028</v>
      </c>
      <c r="EO147" s="222">
        <f t="shared" si="617"/>
        <v>9</v>
      </c>
      <c r="EP147" s="214" t="str">
        <f t="shared" si="618"/>
        <v>NORMAL- SUMINISTRAR SULFATO FERROSO</v>
      </c>
      <c r="EQ147" s="216" t="str">
        <f t="shared" si="619"/>
        <v>I TRIM</v>
      </c>
      <c r="ER147" s="24"/>
      <c r="ES147" s="22"/>
      <c r="ET147" s="29" t="str">
        <f t="shared" ca="1" si="678"/>
        <v>TOMA DE HEMOGLOBINA TARDÍA</v>
      </c>
      <c r="EU147" s="25" t="str">
        <f t="shared" si="620"/>
        <v/>
      </c>
      <c r="EV147" s="24"/>
      <c r="EW147" s="32"/>
      <c r="EX147" s="22"/>
      <c r="EY147" s="29" t="str">
        <f t="shared" si="454"/>
        <v>TOMAR EXAMEN</v>
      </c>
      <c r="EZ147" s="25" t="str">
        <f t="shared" ca="1" si="455"/>
        <v/>
      </c>
      <c r="FA147" s="21">
        <v>80</v>
      </c>
      <c r="FB147" s="22">
        <v>45028</v>
      </c>
      <c r="FC147" s="29">
        <f t="shared" si="621"/>
        <v>9</v>
      </c>
      <c r="FD147" s="29"/>
      <c r="FE147" s="29"/>
      <c r="FF147" s="29"/>
      <c r="FG147" s="21" t="str">
        <f t="shared" ca="1" si="622"/>
        <v>TOMAR PTOG</v>
      </c>
      <c r="FH147" s="31"/>
      <c r="FI147" s="29" t="str">
        <f t="shared" si="623"/>
        <v>TOMAR EXAMEN</v>
      </c>
      <c r="FJ147" s="22" t="s">
        <v>867</v>
      </c>
      <c r="FK147" s="22">
        <v>45028</v>
      </c>
      <c r="FL147" s="29">
        <f t="shared" ca="1" si="624"/>
        <v>9</v>
      </c>
      <c r="FM147" s="22"/>
      <c r="FN147" s="32"/>
      <c r="FO147" s="29" t="str">
        <f t="shared" ca="1" si="679"/>
        <v>PIERDE TOMA DE TAMIZAJE</v>
      </c>
      <c r="FP147" s="22"/>
      <c r="FQ147" s="32"/>
      <c r="FR147" s="29" t="str">
        <f t="shared" ca="1" si="680"/>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5"/>
        <v>TOMAR EXAMEN</v>
      </c>
      <c r="FY147" s="22" t="s">
        <v>868</v>
      </c>
      <c r="FZ147" s="22">
        <v>45028</v>
      </c>
      <c r="GA147" s="29">
        <f t="shared" ca="1" si="498"/>
        <v>9</v>
      </c>
      <c r="GB147" s="22"/>
      <c r="GC147" s="22"/>
      <c r="GD147" s="29" t="str">
        <f t="shared" ca="1" si="681"/>
        <v>PIERDE TOMA DE TAMIZAJE</v>
      </c>
      <c r="GE147" s="22"/>
      <c r="GF147" s="22"/>
      <c r="GG147" s="29" t="str">
        <f t="shared" ca="1" si="682"/>
        <v>TOMA INMEDIATA DE TAMIZAJE</v>
      </c>
      <c r="GH147" s="22"/>
      <c r="GI147" s="29"/>
      <c r="GJ147" s="22"/>
      <c r="GK147" s="22"/>
      <c r="GL147" s="22"/>
      <c r="GM147" s="22"/>
      <c r="GN147" s="28" t="s">
        <v>869</v>
      </c>
      <c r="GO147" s="22">
        <v>45028</v>
      </c>
      <c r="GP147" s="29">
        <f t="shared" si="626"/>
        <v>9</v>
      </c>
      <c r="GQ147" s="28" t="s">
        <v>880</v>
      </c>
      <c r="GR147" s="28" t="s">
        <v>869</v>
      </c>
      <c r="GS147" s="22" t="str">
        <f t="shared" si="627"/>
        <v>SE EXCLUYE INFECCION</v>
      </c>
      <c r="GT147" s="22">
        <v>45028</v>
      </c>
      <c r="GU147" s="29">
        <f t="shared" si="628"/>
        <v>9</v>
      </c>
      <c r="GV147" s="21" t="str">
        <f t="shared" si="629"/>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30"/>
        <v>#REF!</v>
      </c>
      <c r="HI147" s="22" t="e">
        <f t="shared" ca="1" si="631"/>
        <v>#REF!</v>
      </c>
      <c r="HJ147" s="21" t="str">
        <f t="shared" ca="1" si="632"/>
        <v>**********************MULTIPARIDAD*****************</v>
      </c>
      <c r="HK147" s="21" t="str">
        <f t="shared" si="633"/>
        <v>SIN ANTECEDENTES DE RIESGO</v>
      </c>
      <c r="HL147" s="24" t="str">
        <f t="shared" si="634"/>
        <v>APARENTEMENTE NORMAL</v>
      </c>
      <c r="HM147" s="21" t="e">
        <f t="shared" ca="1" si="635"/>
        <v>#REF!</v>
      </c>
      <c r="HN147" s="30" t="str">
        <f t="shared" si="683"/>
        <v>ACTIVA INGRESO A CPN</v>
      </c>
      <c r="HO147" s="21"/>
      <c r="HP147" s="21"/>
      <c r="HQ147" s="349"/>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6"/>
        <v>9.1428571428571423</v>
      </c>
      <c r="IA147" s="26"/>
      <c r="IB147" s="26"/>
      <c r="IC147" s="111"/>
      <c r="ID147" s="22"/>
      <c r="IE147" s="22" t="str">
        <f t="shared" ca="1" si="637"/>
        <v>INASISTENTE</v>
      </c>
      <c r="IF147" s="22"/>
      <c r="IG147" s="22">
        <f t="shared" si="638"/>
        <v>45245</v>
      </c>
      <c r="IH147" s="29">
        <f t="shared" ca="1" si="639"/>
        <v>13</v>
      </c>
      <c r="II147" s="22" t="str">
        <f t="shared" ca="1" si="640"/>
        <v>MENOS DE 4 SEMANAS</v>
      </c>
      <c r="IJ147" s="22"/>
      <c r="IK147" s="21"/>
      <c r="IL147" s="21"/>
      <c r="IM147" s="34"/>
      <c r="IN147" s="22"/>
      <c r="IO147" s="21"/>
      <c r="IP147" s="29" t="str">
        <f t="shared" si="674"/>
        <v/>
      </c>
      <c r="IQ147" s="35"/>
      <c r="IR147" s="21"/>
      <c r="IS147" s="21"/>
      <c r="IT147" s="21"/>
      <c r="IU147" s="21"/>
      <c r="IV147" s="21"/>
      <c r="IW147" s="21"/>
      <c r="IX147" s="21"/>
      <c r="IY147" s="21"/>
      <c r="IZ147" s="21"/>
      <c r="JA147" s="21"/>
      <c r="JB147" s="30"/>
      <c r="JC147" s="21"/>
      <c r="JD147" s="36"/>
      <c r="JE147" s="21" t="str">
        <f t="shared" si="684"/>
        <v/>
      </c>
      <c r="JF147" s="30"/>
      <c r="JG147" s="21"/>
      <c r="JH147" s="21"/>
      <c r="JI147" s="21"/>
      <c r="JJ147" s="30"/>
      <c r="JK147" s="22"/>
      <c r="JL147" s="22"/>
      <c r="JM147" s="21"/>
      <c r="JN147" s="36"/>
      <c r="JO147" s="21" t="str">
        <f t="shared" si="685"/>
        <v/>
      </c>
      <c r="JP147" s="22"/>
      <c r="JQ147" s="21"/>
      <c r="JR147" s="21"/>
      <c r="JS147" s="21"/>
      <c r="JT147" s="30"/>
      <c r="JU147" s="22"/>
      <c r="JV147" s="22"/>
      <c r="JW147" s="33"/>
      <c r="JX147" s="28" t="str">
        <f t="shared" si="686"/>
        <v/>
      </c>
      <c r="JY147" s="33"/>
      <c r="JZ147" s="28" t="str">
        <f t="shared" si="687"/>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41"/>
        <v>0</v>
      </c>
      <c r="MI147" s="43" t="str">
        <f t="shared" si="642"/>
        <v/>
      </c>
      <c r="MJ147" s="43" t="str">
        <f t="shared" si="643"/>
        <v/>
      </c>
      <c r="MK147" s="43">
        <f t="shared" si="644"/>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5"/>
        <v>9</v>
      </c>
      <c r="MN147" s="43">
        <f t="shared" si="646"/>
        <v>4</v>
      </c>
      <c r="MO147" s="43">
        <f t="shared" si="647"/>
        <v>2023</v>
      </c>
      <c r="MP147" s="43" t="str">
        <f t="shared" si="648"/>
        <v>II TRIMESTRE AÑO</v>
      </c>
      <c r="MQ147" s="43">
        <f t="shared" si="649"/>
        <v>18.706197985107313</v>
      </c>
      <c r="MR147" s="43">
        <f t="shared" si="650"/>
        <v>0</v>
      </c>
      <c r="MS147" s="43" t="str">
        <f t="shared" si="651"/>
        <v>DE 14 A 19AÑOS</v>
      </c>
      <c r="MT147" s="43">
        <f t="shared" si="652"/>
        <v>0</v>
      </c>
      <c r="MU147" s="43">
        <f t="shared" si="653"/>
        <v>1</v>
      </c>
      <c r="MV147" s="43">
        <f t="shared" si="654"/>
        <v>0</v>
      </c>
      <c r="MW147" s="43">
        <f t="shared" si="655"/>
        <v>0</v>
      </c>
      <c r="MX147" s="43" t="str">
        <f t="shared" si="656"/>
        <v/>
      </c>
      <c r="MY147" s="43" t="str">
        <f t="shared" ca="1" si="688"/>
        <v/>
      </c>
      <c r="MZ147" s="43" t="str">
        <f t="shared" si="657"/>
        <v/>
      </c>
      <c r="NA147" s="43" t="str">
        <f t="shared" si="658"/>
        <v/>
      </c>
      <c r="NB147" s="43" t="str">
        <f t="shared" si="659"/>
        <v/>
      </c>
      <c r="NC147" s="43" t="str">
        <f t="shared" si="660"/>
        <v/>
      </c>
      <c r="ND147" s="43">
        <f t="shared" ca="1" si="661"/>
        <v>1</v>
      </c>
      <c r="NE147" s="43">
        <f>IF(OR(O147&gt;0,R147&gt;0),SUM(COUNTIF(Tabla1[[#This Row],[AÑOS AL INICIO5 CPN]],"&gt;=40"),COUNTIF(AS147,"0"),COUNTIF(AR147,"SI"),COUNTIF(CC147,"SI"),COUNTIF(BQ147,"&gt;119"),COUNTIF(CI147,"&gt;=35")),"")</f>
        <v>1</v>
      </c>
      <c r="NF147" s="43" t="str">
        <f t="shared" si="662"/>
        <v/>
      </c>
      <c r="NG147" s="43">
        <f t="shared" si="663"/>
        <v>0</v>
      </c>
      <c r="NH147" s="43" t="str">
        <f t="shared" si="664"/>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5"/>
        <v>X</v>
      </c>
      <c r="NM147" s="43" t="str">
        <f t="shared" si="501"/>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6"/>
        <v>DEFINIR CON ECO</v>
      </c>
      <c r="NQ147" s="21" t="str">
        <f t="shared" si="691"/>
        <v/>
      </c>
      <c r="NR147" s="21">
        <f t="shared" ca="1" si="689"/>
        <v>3</v>
      </c>
      <c r="NS147" s="205">
        <f t="shared" ca="1" si="667"/>
        <v>1</v>
      </c>
      <c r="NT147" s="21">
        <f t="shared" ca="1" si="668"/>
        <v>1</v>
      </c>
      <c r="NU147" s="21" t="str">
        <f t="shared" ca="1" si="669"/>
        <v>INCOMPLETO</v>
      </c>
      <c r="NV147" s="21" t="str">
        <f t="shared" ca="1" si="670"/>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71"/>
        <v>SIN VACUNAR</v>
      </c>
      <c r="NY147" s="43">
        <f>ROW(Tabla1[[#This Row],['# DE TAMIZAJES SIFILIS TOMADOS ]])</f>
        <v>147</v>
      </c>
      <c r="NZ147" s="43" t="str">
        <f t="shared" si="502"/>
        <v>Menor</v>
      </c>
      <c r="OA147" s="43" t="str">
        <f t="shared" si="503"/>
        <v>NORMAL</v>
      </c>
      <c r="OB147" s="43" t="str">
        <f t="shared" si="504"/>
        <v/>
      </c>
      <c r="OC147" s="43" t="str">
        <f t="shared" si="505"/>
        <v/>
      </c>
      <c r="OD147" s="43" t="str">
        <f t="shared" si="506"/>
        <v/>
      </c>
      <c r="OE147" s="43" t="str">
        <f t="shared" si="507"/>
        <v/>
      </c>
      <c r="OF147" s="43" t="str">
        <f t="shared" si="508"/>
        <v/>
      </c>
      <c r="OG147" s="43" t="str">
        <f t="shared" si="509"/>
        <v/>
      </c>
      <c r="OH147" s="43" t="str">
        <f t="shared" si="510"/>
        <v/>
      </c>
      <c r="OI147" s="43" t="str">
        <f t="shared" si="511"/>
        <v/>
      </c>
      <c r="OJ147" s="43" t="str">
        <f t="shared" si="512"/>
        <v/>
      </c>
      <c r="OK147" s="43" t="str">
        <f t="shared" si="513"/>
        <v/>
      </c>
      <c r="OL147" s="43" t="str">
        <f t="shared" si="514"/>
        <v/>
      </c>
      <c r="OM147" s="43" t="str">
        <f t="shared" si="515"/>
        <v/>
      </c>
      <c r="ON147" s="43" t="str">
        <f t="shared" si="516"/>
        <v/>
      </c>
      <c r="OO147" s="43" t="str">
        <f t="shared" si="517"/>
        <v/>
      </c>
      <c r="OP147" s="43" t="str">
        <f t="shared" si="518"/>
        <v/>
      </c>
      <c r="OQ147" s="43" t="str">
        <f t="shared" si="519"/>
        <v/>
      </c>
      <c r="OR147" s="43" t="str">
        <f t="shared" si="520"/>
        <v/>
      </c>
      <c r="OS147" s="43" t="str">
        <f t="shared" si="521"/>
        <v/>
      </c>
      <c r="OT147" s="43" t="str">
        <f t="shared" si="522"/>
        <v/>
      </c>
      <c r="OU147" s="43" t="str">
        <f t="shared" si="523"/>
        <v/>
      </c>
      <c r="OV147" s="110" t="str">
        <f t="shared" si="524"/>
        <v/>
      </c>
      <c r="OW147" s="43" t="str">
        <f t="shared" si="525"/>
        <v/>
      </c>
      <c r="OX147" s="43" t="str">
        <f t="shared" si="526"/>
        <v/>
      </c>
      <c r="OY147" s="43" t="str">
        <f t="shared" si="527"/>
        <v/>
      </c>
      <c r="OZ147" s="43" t="str">
        <f t="shared" si="528"/>
        <v/>
      </c>
      <c r="PA147" s="43" t="str">
        <f t="shared" si="529"/>
        <v/>
      </c>
      <c r="PB147" s="43" t="str">
        <f t="shared" si="530"/>
        <v/>
      </c>
      <c r="PC147" s="43" t="str">
        <f t="shared" si="531"/>
        <v/>
      </c>
      <c r="PD147" s="43" t="str">
        <f t="shared" si="532"/>
        <v/>
      </c>
      <c r="PE147" s="43" t="str">
        <f t="shared" si="533"/>
        <v/>
      </c>
      <c r="PF147" s="43" t="str">
        <f t="shared" si="534"/>
        <v/>
      </c>
      <c r="PG147" s="43" t="str">
        <f t="shared" si="535"/>
        <v/>
      </c>
      <c r="PH147" s="43" t="str">
        <f t="shared" si="536"/>
        <v/>
      </c>
      <c r="PI147" s="43">
        <f t="shared" si="537"/>
        <v>24</v>
      </c>
      <c r="PJ147" s="43" t="str">
        <f t="shared" si="538"/>
        <v/>
      </c>
      <c r="PK147" s="43" t="str">
        <f t="shared" si="539"/>
        <v/>
      </c>
      <c r="PL147" s="43" t="str">
        <f t="shared" si="540"/>
        <v/>
      </c>
      <c r="PM147" s="43" t="str">
        <f t="shared" si="541"/>
        <v/>
      </c>
      <c r="PN147" s="43" t="str">
        <f t="shared" si="542"/>
        <v/>
      </c>
      <c r="PO147" s="43" t="str">
        <f t="shared" si="543"/>
        <v/>
      </c>
      <c r="PP147" s="43" t="str">
        <f t="shared" si="544"/>
        <v/>
      </c>
      <c r="PQ147" s="43" t="str">
        <f t="shared" si="545"/>
        <v/>
      </c>
      <c r="PR147" s="43" t="str">
        <f t="shared" si="546"/>
        <v/>
      </c>
      <c r="PS147" s="43" t="str">
        <f t="shared" si="547"/>
        <v/>
      </c>
      <c r="PT147" s="43" t="str">
        <f t="shared" si="548"/>
        <v/>
      </c>
      <c r="PU147" s="43" t="str">
        <f t="shared" si="549"/>
        <v/>
      </c>
      <c r="PV147" s="43" t="str">
        <f t="shared" si="550"/>
        <v/>
      </c>
      <c r="PW147" s="43" t="str">
        <f t="shared" si="551"/>
        <v/>
      </c>
      <c r="PX147" s="43" t="str">
        <f t="shared" si="552"/>
        <v/>
      </c>
      <c r="PY147" s="43" t="str">
        <f t="shared" si="553"/>
        <v>NORMAL</v>
      </c>
      <c r="PZ147" s="43" t="str">
        <f t="shared" si="554"/>
        <v/>
      </c>
      <c r="QA147" s="43" t="str">
        <f t="shared" si="555"/>
        <v/>
      </c>
      <c r="QB147" s="43" t="str">
        <f t="shared" si="556"/>
        <v/>
      </c>
      <c r="QC147" s="43" t="str">
        <f t="shared" si="557"/>
        <v/>
      </c>
      <c r="QD147" s="43" t="str">
        <f t="shared" si="558"/>
        <v/>
      </c>
      <c r="QE147" s="43" t="str">
        <f t="shared" si="559"/>
        <v/>
      </c>
      <c r="QF147" s="43" t="str">
        <f t="shared" si="560"/>
        <v/>
      </c>
      <c r="QG147" s="43" t="str">
        <f t="shared" si="561"/>
        <v/>
      </c>
      <c r="QH147" s="43" t="str">
        <f t="shared" si="562"/>
        <v/>
      </c>
      <c r="QI147" s="43" t="str">
        <f t="shared" si="563"/>
        <v/>
      </c>
      <c r="QJ147" s="43" t="str">
        <f t="shared" si="564"/>
        <v/>
      </c>
      <c r="QK147" s="43" t="str">
        <f t="shared" si="565"/>
        <v/>
      </c>
      <c r="QL147" s="43" t="str">
        <f t="shared" si="566"/>
        <v/>
      </c>
      <c r="QM147" s="43" t="str">
        <f t="shared" si="567"/>
        <v/>
      </c>
      <c r="QN147" s="43" t="str">
        <f t="shared" si="568"/>
        <v/>
      </c>
      <c r="QO147" s="43" t="str">
        <f t="shared" si="569"/>
        <v/>
      </c>
      <c r="QP147" s="43" t="str">
        <f t="shared" si="570"/>
        <v/>
      </c>
      <c r="QQ147" s="43" t="str">
        <f t="shared" si="571"/>
        <v/>
      </c>
      <c r="QR147" s="43">
        <f t="shared" si="672"/>
        <v>24</v>
      </c>
      <c r="QS147" s="43"/>
      <c r="QT147" s="21" t="str">
        <f t="shared" si="572"/>
        <v/>
      </c>
      <c r="QU147" s="21" t="str">
        <f t="shared" si="573"/>
        <v/>
      </c>
      <c r="QV147" s="21" t="str">
        <f t="shared" si="574"/>
        <v/>
      </c>
      <c r="QW147" s="21" t="str">
        <f t="shared" si="575"/>
        <v/>
      </c>
      <c r="QX147" s="21" t="str">
        <f t="shared" si="576"/>
        <v/>
      </c>
      <c r="QY147" s="21" t="str">
        <f t="shared" si="577"/>
        <v/>
      </c>
      <c r="QZ147" s="21" t="str">
        <f t="shared" si="578"/>
        <v/>
      </c>
      <c r="RA147" s="21" t="str">
        <f t="shared" si="579"/>
        <v/>
      </c>
      <c r="RB147" s="21" t="str">
        <f t="shared" si="580"/>
        <v/>
      </c>
      <c r="RC147" s="21" t="str">
        <f t="shared" si="581"/>
        <v/>
      </c>
      <c r="RD147" s="21" t="str">
        <f t="shared" si="582"/>
        <v/>
      </c>
      <c r="RE147" s="21" t="str">
        <f t="shared" si="583"/>
        <v>ADECUADO PARA EDAD GESTACIONAL</v>
      </c>
      <c r="RF147" s="21" t="str">
        <f t="shared" si="584"/>
        <v/>
      </c>
      <c r="RG147" s="21" t="str">
        <f t="shared" si="585"/>
        <v/>
      </c>
      <c r="RH147" s="21" t="str">
        <f t="shared" si="586"/>
        <v/>
      </c>
      <c r="RI147" s="21" t="str">
        <f t="shared" si="587"/>
        <v/>
      </c>
      <c r="RJ147" s="21" t="str">
        <f t="shared" si="588"/>
        <v/>
      </c>
      <c r="RK147" s="21" t="str">
        <f t="shared" si="589"/>
        <v/>
      </c>
      <c r="RL147" s="21" t="str">
        <f t="shared" si="590"/>
        <v/>
      </c>
      <c r="RM147" s="21" t="str">
        <f t="shared" si="591"/>
        <v/>
      </c>
      <c r="RN147" s="21" t="str">
        <f t="shared" si="592"/>
        <v/>
      </c>
      <c r="RO147" s="21" t="str">
        <f t="shared" si="593"/>
        <v/>
      </c>
      <c r="RP147" s="21" t="str">
        <f t="shared" si="594"/>
        <v/>
      </c>
      <c r="RQ147" s="21" t="str">
        <f t="shared" si="595"/>
        <v/>
      </c>
      <c r="RR147" s="21" t="str">
        <f t="shared" si="596"/>
        <v/>
      </c>
      <c r="RS147" s="21" t="str">
        <f t="shared" si="597"/>
        <v/>
      </c>
      <c r="RT147" s="21" t="str">
        <f t="shared" si="598"/>
        <v/>
      </c>
      <c r="RU147" s="21" t="str">
        <f t="shared" si="599"/>
        <v/>
      </c>
      <c r="RV147" s="21">
        <f t="shared" si="600"/>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3"/>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1"/>
        <v>15.402739726027397</v>
      </c>
      <c r="O148" s="22">
        <v>45029</v>
      </c>
      <c r="P148" s="214" t="str">
        <f t="shared" si="675"/>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2"/>
        <v>0</v>
      </c>
      <c r="BR148" s="223">
        <f t="shared" si="603"/>
        <v>44939</v>
      </c>
      <c r="BS148" s="224">
        <f t="shared" si="604"/>
        <v>14.285714285714286</v>
      </c>
      <c r="BT148" s="216" t="str">
        <f t="shared" si="605"/>
        <v>II TRIM</v>
      </c>
      <c r="BU148" s="214" t="str">
        <f t="shared" ca="1" si="606"/>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7"/>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8"/>
        <v>45120</v>
      </c>
      <c r="CL148" s="21">
        <v>40</v>
      </c>
      <c r="CM148" s="214">
        <f t="shared" si="609"/>
        <v>21.947873799725649</v>
      </c>
      <c r="CN148" s="216">
        <f t="shared" si="610"/>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90"/>
        <v/>
      </c>
      <c r="DA148" s="21">
        <v>100</v>
      </c>
      <c r="DB148" s="21">
        <v>60</v>
      </c>
      <c r="DC148" s="217" t="str">
        <f t="shared" si="611"/>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6"/>
        <v>CONCERTAR PLAN DE PARTO INMEDIATO</v>
      </c>
      <c r="DV148" s="226" t="str">
        <f t="shared" si="677"/>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2"/>
        <v>#REF!</v>
      </c>
      <c r="DY148" s="212">
        <f>IF(R148="","",IF(R148&gt;0,MAX(Tabla1[[#This Row],[FECHA C2]:[FECHA C13]],Tabla1[[#This Row],[FECHA CONSULTA PRIMERA VEZ PROGRAMA CPN ]])))</f>
        <v>45120</v>
      </c>
      <c r="DZ148" s="216">
        <f t="shared" si="613"/>
        <v>27</v>
      </c>
      <c r="EA148" s="222">
        <f>IF(R148&gt;0,SUM(COUNTA(DF148:DQ148)+COUNTA(Tabla1[[#This Row],[FECHA CONSULTA PRIMERA VEZ PROGRAMA CPN ]])),"")</f>
        <v>2</v>
      </c>
      <c r="EB148" s="222" t="str">
        <f t="shared" si="614"/>
        <v>NO</v>
      </c>
      <c r="EC148" s="214">
        <f t="shared" si="615"/>
        <v>8</v>
      </c>
      <c r="ED148" s="227">
        <f t="shared" si="616"/>
        <v>0.25</v>
      </c>
      <c r="EE148" s="22">
        <v>45029</v>
      </c>
      <c r="EF148" s="22">
        <v>45121</v>
      </c>
      <c r="EG148" s="22">
        <v>45029</v>
      </c>
      <c r="EH148" s="22"/>
      <c r="EI148" s="22">
        <v>45029</v>
      </c>
      <c r="EJ148" s="22"/>
      <c r="EK148" s="22"/>
      <c r="EL148" s="21"/>
      <c r="EM148" s="21">
        <v>11.4</v>
      </c>
      <c r="EN148" s="22">
        <v>45029</v>
      </c>
      <c r="EO148" s="222">
        <f t="shared" si="617"/>
        <v>14.285714285714286</v>
      </c>
      <c r="EP148" s="214" t="str">
        <f t="shared" si="618"/>
        <v>NORMAL- SUMINISTRAR SULFATO FERROSO</v>
      </c>
      <c r="EQ148" s="216" t="str">
        <f t="shared" si="619"/>
        <v>II TRIM</v>
      </c>
      <c r="ER148" s="24">
        <v>12</v>
      </c>
      <c r="ES148" s="22">
        <v>45121</v>
      </c>
      <c r="ET148" s="29">
        <f t="shared" ca="1" si="678"/>
        <v>27.428571428571427</v>
      </c>
      <c r="EU148" s="25" t="str">
        <f t="shared" si="620"/>
        <v>NORMAL- SUMINISTRAR SULFATO FERROSO</v>
      </c>
      <c r="EV148" s="24"/>
      <c r="EW148" s="24"/>
      <c r="EX148" s="22"/>
      <c r="EY148" s="29" t="str">
        <f t="shared" si="454"/>
        <v>TOMAR EXAMEN</v>
      </c>
      <c r="EZ148" s="25" t="str">
        <f t="shared" ca="1" si="455"/>
        <v/>
      </c>
      <c r="FA148" s="21">
        <v>60</v>
      </c>
      <c r="FB148" s="22">
        <v>45029</v>
      </c>
      <c r="FC148" s="29">
        <f t="shared" si="621"/>
        <v>14.285714285714286</v>
      </c>
      <c r="FD148" s="29">
        <v>53</v>
      </c>
      <c r="FE148" s="29">
        <v>64</v>
      </c>
      <c r="FF148" s="29">
        <v>121</v>
      </c>
      <c r="FG148" s="21" t="str">
        <f t="shared" ca="1" si="622"/>
        <v>NORMAL</v>
      </c>
      <c r="FH148" s="31">
        <v>45121</v>
      </c>
      <c r="FI148" s="29">
        <f t="shared" si="623"/>
        <v>27.428571428571427</v>
      </c>
      <c r="FJ148" s="22"/>
      <c r="FK148" s="22"/>
      <c r="FL148" s="29" t="str">
        <f t="shared" ca="1" si="624"/>
        <v>NO APLICA-INGRESO TARDIO</v>
      </c>
      <c r="FM148" s="22" t="s">
        <v>867</v>
      </c>
      <c r="FN148" s="32">
        <v>45029</v>
      </c>
      <c r="FO148" s="29">
        <f t="shared" ca="1" si="679"/>
        <v>14.285714285714286</v>
      </c>
      <c r="FP148" s="22" t="s">
        <v>867</v>
      </c>
      <c r="FQ148" s="32">
        <v>45121</v>
      </c>
      <c r="FR148" s="29">
        <f t="shared" ca="1" si="680"/>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5"/>
        <v>TOMAR EXAMEN</v>
      </c>
      <c r="FY148" s="22"/>
      <c r="FZ148" s="22"/>
      <c r="GA148" s="29" t="str">
        <f t="shared" ca="1" si="498"/>
        <v>NO APLICA-INGRESO TARDIO</v>
      </c>
      <c r="GB148" s="22" t="s">
        <v>868</v>
      </c>
      <c r="GC148" s="22">
        <v>45029</v>
      </c>
      <c r="GD148" s="29">
        <f t="shared" ca="1" si="681"/>
        <v>14.285714285714286</v>
      </c>
      <c r="GE148" s="22"/>
      <c r="GF148" s="22"/>
      <c r="GG148" s="29" t="str">
        <f t="shared" ca="1" si="682"/>
        <v>TOMA INMEDIATA DE TAMIZAJE</v>
      </c>
      <c r="GH148" s="22"/>
      <c r="GI148" s="29"/>
      <c r="GJ148" s="22"/>
      <c r="GK148" s="22"/>
      <c r="GL148" s="22"/>
      <c r="GM148" s="22"/>
      <c r="GN148" s="28" t="s">
        <v>869</v>
      </c>
      <c r="GO148" s="22">
        <v>45029</v>
      </c>
      <c r="GP148" s="29">
        <f t="shared" si="626"/>
        <v>14.285714285714286</v>
      </c>
      <c r="GQ148" s="28" t="s">
        <v>869</v>
      </c>
      <c r="GR148" s="28" t="s">
        <v>869</v>
      </c>
      <c r="GS148" s="22" t="str">
        <f t="shared" si="627"/>
        <v>CONTROL Igm</v>
      </c>
      <c r="GT148" s="22">
        <v>45121</v>
      </c>
      <c r="GU148" s="29">
        <f t="shared" si="628"/>
        <v>27.428571428571427</v>
      </c>
      <c r="GV148" s="21" t="str">
        <f t="shared" si="629"/>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30"/>
        <v>#REF!</v>
      </c>
      <c r="HI148" s="22" t="e">
        <f t="shared" ca="1" si="631"/>
        <v>#REF!</v>
      </c>
      <c r="HJ148" s="21" t="str">
        <f t="shared" ca="1" si="632"/>
        <v>**********************MULTIPARIDAD**RIESGO POR EDAD***************</v>
      </c>
      <c r="HK148" s="21" t="str">
        <f t="shared" si="633"/>
        <v>SIN ANTECEDENTES DE RIESGO</v>
      </c>
      <c r="HL148" s="24" t="str">
        <f t="shared" si="634"/>
        <v>APARENTEMENTE NORMAL</v>
      </c>
      <c r="HM148" s="21" t="e">
        <f t="shared" ca="1" si="635"/>
        <v>#REF!</v>
      </c>
      <c r="HN148" s="30" t="str">
        <f t="shared" si="683"/>
        <v>ACTIVA INGRESO A CPN</v>
      </c>
      <c r="HO148" s="21"/>
      <c r="HP148" s="21"/>
      <c r="HQ148" s="349">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6"/>
        <v>14.285714285714286</v>
      </c>
      <c r="IA148" s="26"/>
      <c r="IB148" s="26"/>
      <c r="IC148" s="111">
        <v>45121</v>
      </c>
      <c r="ID148" s="111">
        <v>45121</v>
      </c>
      <c r="IE148" s="22" t="str">
        <f t="shared" ca="1" si="637"/>
        <v>VACUNA APLICADA ENTRE SEMANA 27 Y EL PARTO</v>
      </c>
      <c r="IF148" s="22"/>
      <c r="IG148" s="22">
        <f t="shared" si="638"/>
        <v>45209</v>
      </c>
      <c r="IH148" s="29">
        <f t="shared" ca="1" si="639"/>
        <v>-23</v>
      </c>
      <c r="II148" s="22" t="str">
        <f t="shared" ca="1" si="640"/>
        <v>POSIBLEMENTE NACIO</v>
      </c>
      <c r="IJ148" s="22"/>
      <c r="IK148" s="21"/>
      <c r="IL148" s="21"/>
      <c r="IM148" s="34"/>
      <c r="IN148" s="22"/>
      <c r="IO148" s="21"/>
      <c r="IP148" s="29" t="str">
        <f t="shared" si="674"/>
        <v/>
      </c>
      <c r="IQ148" s="35"/>
      <c r="IR148" s="21"/>
      <c r="IS148" s="21"/>
      <c r="IT148" s="21"/>
      <c r="IU148" s="21"/>
      <c r="IV148" s="21"/>
      <c r="IW148" s="21"/>
      <c r="IX148" s="21"/>
      <c r="IY148" s="21"/>
      <c r="IZ148" s="21"/>
      <c r="JA148" s="21"/>
      <c r="JB148" s="30"/>
      <c r="JC148" s="21"/>
      <c r="JD148" s="36"/>
      <c r="JE148" s="21" t="str">
        <f t="shared" si="684"/>
        <v/>
      </c>
      <c r="JF148" s="30"/>
      <c r="JG148" s="21"/>
      <c r="JH148" s="21"/>
      <c r="JI148" s="21"/>
      <c r="JJ148" s="30"/>
      <c r="JK148" s="22"/>
      <c r="JL148" s="22"/>
      <c r="JM148" s="21"/>
      <c r="JN148" s="36"/>
      <c r="JO148" s="21" t="str">
        <f t="shared" si="685"/>
        <v/>
      </c>
      <c r="JP148" s="22"/>
      <c r="JQ148" s="21"/>
      <c r="JR148" s="21"/>
      <c r="JS148" s="21"/>
      <c r="JT148" s="30"/>
      <c r="JU148" s="22"/>
      <c r="JV148" s="22"/>
      <c r="JW148" s="33"/>
      <c r="JX148" s="28" t="str">
        <f t="shared" si="686"/>
        <v/>
      </c>
      <c r="JY148" s="33"/>
      <c r="JZ148" s="28" t="str">
        <f t="shared" si="687"/>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41"/>
        <v>0</v>
      </c>
      <c r="MI148" s="43" t="str">
        <f t="shared" si="642"/>
        <v/>
      </c>
      <c r="MJ148" s="43" t="str">
        <f t="shared" si="643"/>
        <v/>
      </c>
      <c r="MK148" s="43">
        <f t="shared" si="644"/>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5"/>
        <v>14.285714285714286</v>
      </c>
      <c r="MN148" s="43">
        <f t="shared" si="646"/>
        <v>4</v>
      </c>
      <c r="MO148" s="43">
        <f t="shared" si="647"/>
        <v>2023</v>
      </c>
      <c r="MP148" s="43" t="str">
        <f t="shared" si="648"/>
        <v>II TRIMESTRE AÑO</v>
      </c>
      <c r="MQ148" s="43">
        <f t="shared" si="649"/>
        <v>14.624397722295226</v>
      </c>
      <c r="MR148" s="43">
        <f t="shared" si="650"/>
        <v>1</v>
      </c>
      <c r="MS148" s="43" t="str">
        <f t="shared" si="651"/>
        <v>DE 14 A 19AÑOS</v>
      </c>
      <c r="MT148" s="43">
        <f t="shared" si="652"/>
        <v>0</v>
      </c>
      <c r="MU148" s="43">
        <f t="shared" si="653"/>
        <v>1</v>
      </c>
      <c r="MV148" s="43">
        <f t="shared" si="654"/>
        <v>0</v>
      </c>
      <c r="MW148" s="43">
        <f t="shared" si="655"/>
        <v>0</v>
      </c>
      <c r="MX148" s="43" t="str">
        <f t="shared" si="656"/>
        <v/>
      </c>
      <c r="MY148" s="43" t="str">
        <f t="shared" ca="1" si="688"/>
        <v/>
      </c>
      <c r="MZ148" s="43" t="str">
        <f t="shared" si="657"/>
        <v/>
      </c>
      <c r="NA148" s="43" t="str">
        <f t="shared" si="658"/>
        <v/>
      </c>
      <c r="NB148" s="43" t="str">
        <f t="shared" si="659"/>
        <v/>
      </c>
      <c r="NC148" s="43" t="str">
        <f t="shared" si="660"/>
        <v/>
      </c>
      <c r="ND148" s="43">
        <f t="shared" ca="1" si="661"/>
        <v>2</v>
      </c>
      <c r="NE148" s="43">
        <f>IF(OR(O148&gt;0,R148&gt;0),SUM(COUNTIF(Tabla1[[#This Row],[AÑOS AL INICIO5 CPN]],"&gt;=40"),COUNTIF(AS148,"0"),COUNTIF(AR148,"SI"),COUNTIF(CC148,"SI"),COUNTIF(BQ148,"&gt;119"),COUNTIF(CI148,"&gt;=35")),"")</f>
        <v>1</v>
      </c>
      <c r="NF148" s="43">
        <f t="shared" si="662"/>
        <v>27.428571428571427</v>
      </c>
      <c r="NG148" s="43">
        <f t="shared" si="663"/>
        <v>0</v>
      </c>
      <c r="NH148" s="43">
        <f t="shared" si="664"/>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5"/>
        <v>X</v>
      </c>
      <c r="NM148" s="43" t="str">
        <f t="shared" si="501"/>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6"/>
        <v>II TRIM</v>
      </c>
      <c r="NQ148" s="21" t="str">
        <f t="shared" si="691"/>
        <v/>
      </c>
      <c r="NR148" s="21" t="str">
        <f t="shared" ca="1" si="689"/>
        <v>REVISAR FUM O FECHA SALIDA PROGRAMA</v>
      </c>
      <c r="NS148" s="205">
        <f t="shared" ca="1" si="667"/>
        <v>2</v>
      </c>
      <c r="NT148" s="21">
        <f t="shared" ca="1" si="668"/>
        <v>1</v>
      </c>
      <c r="NU148" s="21" t="str">
        <f t="shared" ca="1" si="669"/>
        <v>POR DEFINIR</v>
      </c>
      <c r="NV148" s="21" t="str">
        <f t="shared" ca="1" si="670"/>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71"/>
        <v>VACUNADA</v>
      </c>
      <c r="NY148" s="43">
        <f>ROW(Tabla1[[#This Row],['# DE TAMIZAJES SIFILIS TOMADOS ]])</f>
        <v>148</v>
      </c>
      <c r="NZ148" s="43">
        <f t="shared" si="502"/>
        <v>14</v>
      </c>
      <c r="OA148" s="43" t="str">
        <f t="shared" si="503"/>
        <v/>
      </c>
      <c r="OB148" s="43" t="str">
        <f t="shared" si="504"/>
        <v/>
      </c>
      <c r="OC148" s="43" t="str">
        <f t="shared" si="505"/>
        <v/>
      </c>
      <c r="OD148" s="43" t="str">
        <f t="shared" si="506"/>
        <v/>
      </c>
      <c r="OE148" s="43" t="str">
        <f t="shared" si="507"/>
        <v/>
      </c>
      <c r="OF148" s="43" t="str">
        <f t="shared" si="508"/>
        <v>NORMAL</v>
      </c>
      <c r="OG148" s="43" t="str">
        <f t="shared" si="509"/>
        <v/>
      </c>
      <c r="OH148" s="43" t="str">
        <f t="shared" si="510"/>
        <v/>
      </c>
      <c r="OI148" s="43" t="str">
        <f t="shared" si="511"/>
        <v/>
      </c>
      <c r="OJ148" s="43" t="str">
        <f t="shared" si="512"/>
        <v/>
      </c>
      <c r="OK148" s="43" t="str">
        <f t="shared" si="513"/>
        <v/>
      </c>
      <c r="OL148" s="43" t="str">
        <f t="shared" si="514"/>
        <v/>
      </c>
      <c r="OM148" s="43" t="str">
        <f t="shared" si="515"/>
        <v/>
      </c>
      <c r="ON148" s="43" t="str">
        <f t="shared" si="516"/>
        <v/>
      </c>
      <c r="OO148" s="43" t="str">
        <f t="shared" si="517"/>
        <v/>
      </c>
      <c r="OP148" s="43" t="str">
        <f t="shared" si="518"/>
        <v/>
      </c>
      <c r="OQ148" s="43" t="str">
        <f t="shared" si="519"/>
        <v/>
      </c>
      <c r="OR148" s="43" t="str">
        <f t="shared" si="520"/>
        <v/>
      </c>
      <c r="OS148" s="43" t="str">
        <f t="shared" si="521"/>
        <v/>
      </c>
      <c r="OT148" s="43" t="str">
        <f t="shared" si="522"/>
        <v/>
      </c>
      <c r="OU148" s="43" t="str">
        <f t="shared" si="523"/>
        <v/>
      </c>
      <c r="OV148" s="110" t="str">
        <f t="shared" si="524"/>
        <v/>
      </c>
      <c r="OW148" s="43" t="str">
        <f t="shared" si="525"/>
        <v/>
      </c>
      <c r="OX148" s="43" t="str">
        <f t="shared" si="526"/>
        <v/>
      </c>
      <c r="OY148" s="43" t="str">
        <f t="shared" si="527"/>
        <v/>
      </c>
      <c r="OZ148" s="43" t="str">
        <f t="shared" si="528"/>
        <v/>
      </c>
      <c r="PA148" s="43" t="str">
        <f t="shared" si="529"/>
        <v/>
      </c>
      <c r="PB148" s="43" t="str">
        <f t="shared" si="530"/>
        <v/>
      </c>
      <c r="PC148" s="43" t="str">
        <f t="shared" si="531"/>
        <v/>
      </c>
      <c r="PD148" s="43" t="str">
        <f t="shared" si="532"/>
        <v/>
      </c>
      <c r="PE148" s="43" t="str">
        <f t="shared" si="533"/>
        <v/>
      </c>
      <c r="PF148" s="43" t="str">
        <f t="shared" si="534"/>
        <v/>
      </c>
      <c r="PG148" s="43" t="str">
        <f t="shared" si="535"/>
        <v/>
      </c>
      <c r="PH148" s="43" t="str">
        <f t="shared" si="536"/>
        <v/>
      </c>
      <c r="PI148" s="43">
        <f t="shared" si="537"/>
        <v>27</v>
      </c>
      <c r="PJ148" s="43" t="str">
        <f t="shared" si="538"/>
        <v/>
      </c>
      <c r="PK148" s="43" t="str">
        <f t="shared" si="539"/>
        <v/>
      </c>
      <c r="PL148" s="43" t="str">
        <f t="shared" si="540"/>
        <v/>
      </c>
      <c r="PM148" s="43" t="str">
        <f t="shared" si="541"/>
        <v/>
      </c>
      <c r="PN148" s="43" t="str">
        <f t="shared" si="542"/>
        <v/>
      </c>
      <c r="PO148" s="43" t="str">
        <f t="shared" si="543"/>
        <v/>
      </c>
      <c r="PP148" s="43" t="str">
        <f t="shared" si="544"/>
        <v/>
      </c>
      <c r="PQ148" s="43" t="str">
        <f t="shared" si="545"/>
        <v/>
      </c>
      <c r="PR148" s="43" t="str">
        <f t="shared" si="546"/>
        <v/>
      </c>
      <c r="PS148" s="43" t="str">
        <f t="shared" si="547"/>
        <v/>
      </c>
      <c r="PT148" s="43" t="str">
        <f t="shared" si="548"/>
        <v/>
      </c>
      <c r="PU148" s="43" t="str">
        <f t="shared" si="549"/>
        <v/>
      </c>
      <c r="PV148" s="43" t="str">
        <f t="shared" si="550"/>
        <v/>
      </c>
      <c r="PW148" s="43" t="str">
        <f t="shared" si="551"/>
        <v/>
      </c>
      <c r="PX148" s="43" t="str">
        <f t="shared" si="552"/>
        <v/>
      </c>
      <c r="PY148" s="43" t="str">
        <f t="shared" si="553"/>
        <v/>
      </c>
      <c r="PZ148" s="43" t="str">
        <f t="shared" si="554"/>
        <v/>
      </c>
      <c r="QA148" s="43" t="str">
        <f t="shared" si="555"/>
        <v/>
      </c>
      <c r="QB148" s="43" t="str">
        <f t="shared" si="556"/>
        <v>BAJO PESO</v>
      </c>
      <c r="QC148" s="43" t="str">
        <f t="shared" si="557"/>
        <v/>
      </c>
      <c r="QD148" s="43" t="str">
        <f t="shared" si="558"/>
        <v/>
      </c>
      <c r="QE148" s="43" t="str">
        <f t="shared" si="559"/>
        <v/>
      </c>
      <c r="QF148" s="43" t="str">
        <f t="shared" si="560"/>
        <v/>
      </c>
      <c r="QG148" s="43" t="str">
        <f t="shared" si="561"/>
        <v/>
      </c>
      <c r="QH148" s="43" t="str">
        <f t="shared" si="562"/>
        <v/>
      </c>
      <c r="QI148" s="43" t="str">
        <f t="shared" si="563"/>
        <v/>
      </c>
      <c r="QJ148" s="43" t="str">
        <f t="shared" si="564"/>
        <v/>
      </c>
      <c r="QK148" s="43" t="str">
        <f t="shared" si="565"/>
        <v/>
      </c>
      <c r="QL148" s="43" t="str">
        <f t="shared" si="566"/>
        <v/>
      </c>
      <c r="QM148" s="43" t="str">
        <f t="shared" si="567"/>
        <v/>
      </c>
      <c r="QN148" s="43" t="str">
        <f t="shared" si="568"/>
        <v/>
      </c>
      <c r="QO148" s="43" t="str">
        <f t="shared" si="569"/>
        <v/>
      </c>
      <c r="QP148" s="43" t="str">
        <f t="shared" si="570"/>
        <v/>
      </c>
      <c r="QQ148" s="43" t="str">
        <f t="shared" si="571"/>
        <v/>
      </c>
      <c r="QR148" s="43">
        <f t="shared" si="672"/>
        <v>27</v>
      </c>
      <c r="QS148" s="43"/>
      <c r="QT148" s="21" t="str">
        <f t="shared" si="572"/>
        <v/>
      </c>
      <c r="QU148" s="21" t="str">
        <f t="shared" si="573"/>
        <v/>
      </c>
      <c r="QV148" s="21" t="str">
        <f t="shared" si="574"/>
        <v/>
      </c>
      <c r="QW148" s="21" t="str">
        <f t="shared" si="575"/>
        <v/>
      </c>
      <c r="QX148" s="21" t="str">
        <f t="shared" si="576"/>
        <v/>
      </c>
      <c r="QY148" s="21" t="str">
        <f t="shared" si="577"/>
        <v/>
      </c>
      <c r="QZ148" s="21" t="str">
        <f t="shared" si="578"/>
        <v/>
      </c>
      <c r="RA148" s="21" t="str">
        <f t="shared" si="579"/>
        <v/>
      </c>
      <c r="RB148" s="21" t="str">
        <f t="shared" si="580"/>
        <v/>
      </c>
      <c r="RC148" s="21" t="str">
        <f t="shared" si="581"/>
        <v/>
      </c>
      <c r="RD148" s="21" t="str">
        <f t="shared" si="582"/>
        <v/>
      </c>
      <c r="RE148" s="21" t="str">
        <f t="shared" si="583"/>
        <v/>
      </c>
      <c r="RF148" s="21" t="str">
        <f t="shared" si="584"/>
        <v/>
      </c>
      <c r="RG148" s="21" t="str">
        <f t="shared" si="585"/>
        <v/>
      </c>
      <c r="RH148" s="21" t="str">
        <f t="shared" si="586"/>
        <v>ALTO PARA EDAD GESTACIONAL</v>
      </c>
      <c r="RI148" s="21" t="str">
        <f t="shared" si="587"/>
        <v/>
      </c>
      <c r="RJ148" s="21" t="str">
        <f t="shared" si="588"/>
        <v/>
      </c>
      <c r="RK148" s="21" t="str">
        <f t="shared" si="589"/>
        <v/>
      </c>
      <c r="RL148" s="21" t="str">
        <f t="shared" si="590"/>
        <v/>
      </c>
      <c r="RM148" s="21" t="str">
        <f t="shared" si="591"/>
        <v/>
      </c>
      <c r="RN148" s="21" t="str">
        <f t="shared" si="592"/>
        <v/>
      </c>
      <c r="RO148" s="21" t="str">
        <f t="shared" si="593"/>
        <v/>
      </c>
      <c r="RP148" s="21" t="str">
        <f t="shared" si="594"/>
        <v/>
      </c>
      <c r="RQ148" s="21" t="str">
        <f t="shared" si="595"/>
        <v/>
      </c>
      <c r="RR148" s="21" t="str">
        <f t="shared" si="596"/>
        <v/>
      </c>
      <c r="RS148" s="21" t="str">
        <f t="shared" si="597"/>
        <v/>
      </c>
      <c r="RT148" s="21" t="str">
        <f t="shared" si="598"/>
        <v/>
      </c>
      <c r="RU148" s="21" t="str">
        <f t="shared" si="599"/>
        <v/>
      </c>
      <c r="RV148" s="21">
        <f t="shared" si="600"/>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3"/>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1"/>
        <v>30.145205479452056</v>
      </c>
      <c r="O149" s="22">
        <v>45031</v>
      </c>
      <c r="P149" s="214" t="str">
        <f t="shared" si="675"/>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2"/>
        <v>0</v>
      </c>
      <c r="BR149" s="223">
        <f t="shared" si="603"/>
        <v>44954.5</v>
      </c>
      <c r="BS149" s="224">
        <f t="shared" si="604"/>
        <v>10.928571428571429</v>
      </c>
      <c r="BT149" s="216" t="str">
        <f t="shared" si="605"/>
        <v>II TRIM</v>
      </c>
      <c r="BU149" s="214">
        <f t="shared" ca="1" si="606"/>
        <v>39.642857142857146</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7"/>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8"/>
        <v>45157</v>
      </c>
      <c r="CL149" s="21">
        <v>57.2</v>
      </c>
      <c r="CM149" s="214">
        <f t="shared" si="609"/>
        <v>25.08661900793825</v>
      </c>
      <c r="CN149" s="216">
        <f t="shared" si="610"/>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90"/>
        <v/>
      </c>
      <c r="DA149" s="21">
        <v>90</v>
      </c>
      <c r="DB149" s="21">
        <v>60</v>
      </c>
      <c r="DC149" s="217" t="str">
        <f t="shared" si="611"/>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6"/>
        <v>CONCERTAR PLAN DE PARTO INMEDIATO</v>
      </c>
      <c r="DV149" s="226" t="str">
        <f t="shared" si="677"/>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2"/>
        <v>#REF!</v>
      </c>
      <c r="DY149" s="212">
        <f>IF(R149="","",IF(R149&gt;0,MAX(Tabla1[[#This Row],[FECHA C2]:[FECHA C13]],Tabla1[[#This Row],[FECHA CONSULTA PRIMERA VEZ PROGRAMA CPN ]])))</f>
        <v>45157</v>
      </c>
      <c r="DZ149" s="216">
        <f t="shared" si="613"/>
        <v>28</v>
      </c>
      <c r="EA149" s="222">
        <f>IF(R149&gt;0,SUM(COUNTA(DF149:DQ149)+COUNTA(Tabla1[[#This Row],[FECHA CONSULTA PRIMERA VEZ PROGRAMA CPN ]])),"")</f>
        <v>5</v>
      </c>
      <c r="EB149" s="222" t="str">
        <f t="shared" si="614"/>
        <v>SI</v>
      </c>
      <c r="EC149" s="214">
        <f t="shared" si="615"/>
        <v>9</v>
      </c>
      <c r="ED149" s="227">
        <f t="shared" si="616"/>
        <v>0.55555555555555558</v>
      </c>
      <c r="EE149" s="22">
        <v>45031</v>
      </c>
      <c r="EF149" s="22">
        <v>45038</v>
      </c>
      <c r="EG149" s="22">
        <v>45031</v>
      </c>
      <c r="EH149" s="22">
        <v>45035</v>
      </c>
      <c r="EI149" s="22">
        <v>45031</v>
      </c>
      <c r="EJ149" s="22">
        <v>45080</v>
      </c>
      <c r="EK149" s="22">
        <v>45080</v>
      </c>
      <c r="EL149" s="21">
        <v>1</v>
      </c>
      <c r="EM149" s="21">
        <v>14</v>
      </c>
      <c r="EN149" s="22">
        <v>45038</v>
      </c>
      <c r="EO149" s="222">
        <f t="shared" si="617"/>
        <v>11.928571428571429</v>
      </c>
      <c r="EP149" s="214" t="str">
        <f t="shared" si="618"/>
        <v>NORMAL- SUMINISTRAR SULFATO FERROSO</v>
      </c>
      <c r="EQ149" s="216" t="str">
        <f t="shared" si="619"/>
        <v>I TRIM</v>
      </c>
      <c r="ER149" s="24"/>
      <c r="ES149" s="22"/>
      <c r="ET149" s="29" t="str">
        <f t="shared" ca="1" si="678"/>
        <v>TOMA DE HEMOGLOBINA TARDÍA</v>
      </c>
      <c r="EU149" s="25" t="str">
        <f t="shared" si="620"/>
        <v/>
      </c>
      <c r="EV149" s="24" t="s">
        <v>1510</v>
      </c>
      <c r="EW149" s="22">
        <v>45038</v>
      </c>
      <c r="EX149" s="22"/>
      <c r="EY149" s="29">
        <f t="shared" si="454"/>
        <v>11.928571428571429</v>
      </c>
      <c r="EZ149" s="25" t="str">
        <f t="shared" si="455"/>
        <v>SIN RIESGO DE ISOINMUNIZACIÓN</v>
      </c>
      <c r="FA149" s="21">
        <v>71</v>
      </c>
      <c r="FB149" s="22">
        <v>45038</v>
      </c>
      <c r="FC149" s="29">
        <f t="shared" si="621"/>
        <v>11.928571428571429</v>
      </c>
      <c r="FD149" s="29">
        <v>66</v>
      </c>
      <c r="FE149" s="29">
        <v>109</v>
      </c>
      <c r="FF149" s="29">
        <v>111</v>
      </c>
      <c r="FG149" s="21" t="str">
        <f t="shared" ca="1" si="622"/>
        <v>NORMAL</v>
      </c>
      <c r="FH149" s="31">
        <v>45129</v>
      </c>
      <c r="FI149" s="29">
        <f t="shared" si="623"/>
        <v>24.928571428571427</v>
      </c>
      <c r="FJ149" s="22" t="s">
        <v>867</v>
      </c>
      <c r="FK149" s="22">
        <v>45038</v>
      </c>
      <c r="FL149" s="29">
        <f t="shared" ca="1" si="624"/>
        <v>11.928571428571429</v>
      </c>
      <c r="FM149" s="22" t="s">
        <v>867</v>
      </c>
      <c r="FN149" s="32">
        <v>45129</v>
      </c>
      <c r="FO149" s="29">
        <f t="shared" ca="1" si="679"/>
        <v>24.928571428571427</v>
      </c>
      <c r="FP149" s="22"/>
      <c r="FQ149" s="32"/>
      <c r="FR149" s="29" t="str">
        <f t="shared" ca="1" si="680"/>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5"/>
        <v>TOMAR EXAMEN</v>
      </c>
      <c r="FY149" s="22">
        <v>45031</v>
      </c>
      <c r="FZ149" s="22">
        <v>45031</v>
      </c>
      <c r="GA149" s="29">
        <f t="shared" ca="1" si="498"/>
        <v>10.928571428571429</v>
      </c>
      <c r="GB149" s="22" t="s">
        <v>868</v>
      </c>
      <c r="GC149" s="22">
        <v>45129</v>
      </c>
      <c r="GD149" s="29">
        <f t="shared" ca="1" si="681"/>
        <v>24.928571428571427</v>
      </c>
      <c r="GE149" s="22"/>
      <c r="GF149" s="22"/>
      <c r="GG149" s="29" t="str">
        <f t="shared" ca="1" si="682"/>
        <v>TOMA INMEDIATA DE TAMIZAJE</v>
      </c>
      <c r="GH149" s="22"/>
      <c r="GI149" s="29"/>
      <c r="GJ149" s="22"/>
      <c r="GK149" s="22"/>
      <c r="GL149" s="22"/>
      <c r="GM149" s="22"/>
      <c r="GN149" s="28" t="s">
        <v>869</v>
      </c>
      <c r="GO149" s="22">
        <v>45038</v>
      </c>
      <c r="GP149" s="29">
        <f t="shared" si="626"/>
        <v>11.928571428571429</v>
      </c>
      <c r="GQ149" s="28" t="s">
        <v>869</v>
      </c>
      <c r="GR149" s="28" t="s">
        <v>869</v>
      </c>
      <c r="GS149" s="22" t="str">
        <f t="shared" si="627"/>
        <v>CONTROL Igm</v>
      </c>
      <c r="GT149" s="22">
        <v>45038</v>
      </c>
      <c r="GU149" s="29">
        <f t="shared" si="628"/>
        <v>12.857142857142858</v>
      </c>
      <c r="GV149" s="21" t="str">
        <f t="shared" si="629"/>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30"/>
        <v>#REF!</v>
      </c>
      <c r="HI149" s="22" t="e">
        <f t="shared" ca="1" si="631"/>
        <v>#REF!</v>
      </c>
      <c r="HJ149" s="21" t="str">
        <f t="shared" ca="1" si="632"/>
        <v>***************************************</v>
      </c>
      <c r="HK149" s="21" t="str">
        <f t="shared" si="633"/>
        <v>SIN ANTECEDENTES DE RIESGO</v>
      </c>
      <c r="HL149" s="24" t="str">
        <f t="shared" si="634"/>
        <v>APARENTEMENTE NORMAL</v>
      </c>
      <c r="HM149" s="21" t="e">
        <f t="shared" ca="1" si="635"/>
        <v>#REF!</v>
      </c>
      <c r="HN149" s="30" t="str">
        <f t="shared" si="683"/>
        <v>ACTIVA INGRESO A CPN</v>
      </c>
      <c r="HO149" s="21"/>
      <c r="HP149" s="21"/>
      <c r="HQ149" s="349">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6"/>
        <v>10.928571428571429</v>
      </c>
      <c r="IA149" s="26"/>
      <c r="IB149" s="26"/>
      <c r="IC149" s="111"/>
      <c r="ID149" s="22"/>
      <c r="IE149" s="22" t="str">
        <f t="shared" ca="1" si="637"/>
        <v>INASISTENTE</v>
      </c>
      <c r="IF149" s="22"/>
      <c r="IG149" s="22">
        <f t="shared" si="638"/>
        <v>45234.5</v>
      </c>
      <c r="IH149" s="29">
        <f t="shared" ca="1" si="639"/>
        <v>2.5</v>
      </c>
      <c r="II149" s="22" t="str">
        <f t="shared" ca="1" si="640"/>
        <v>SEMANA DE PARTO</v>
      </c>
      <c r="IJ149" s="22"/>
      <c r="IK149" s="21"/>
      <c r="IL149" s="21"/>
      <c r="IM149" s="34"/>
      <c r="IN149" s="22"/>
      <c r="IO149" s="21"/>
      <c r="IP149" s="29" t="str">
        <f t="shared" si="674"/>
        <v/>
      </c>
      <c r="IQ149" s="35"/>
      <c r="IR149" s="21"/>
      <c r="IS149" s="21"/>
      <c r="IT149" s="21"/>
      <c r="IU149" s="21"/>
      <c r="IV149" s="21"/>
      <c r="IW149" s="21"/>
      <c r="IX149" s="21"/>
      <c r="IY149" s="21"/>
      <c r="IZ149" s="21"/>
      <c r="JA149" s="21"/>
      <c r="JB149" s="30"/>
      <c r="JC149" s="21"/>
      <c r="JD149" s="36"/>
      <c r="JE149" s="21" t="str">
        <f t="shared" si="684"/>
        <v/>
      </c>
      <c r="JF149" s="30"/>
      <c r="JG149" s="21"/>
      <c r="JH149" s="21"/>
      <c r="JI149" s="21"/>
      <c r="JJ149" s="30"/>
      <c r="JK149" s="22"/>
      <c r="JL149" s="22"/>
      <c r="JM149" s="21"/>
      <c r="JN149" s="36"/>
      <c r="JO149" s="21" t="str">
        <f t="shared" si="685"/>
        <v/>
      </c>
      <c r="JP149" s="22"/>
      <c r="JQ149" s="21"/>
      <c r="JR149" s="21"/>
      <c r="JS149" s="21"/>
      <c r="JT149" s="30"/>
      <c r="JU149" s="22"/>
      <c r="JV149" s="22"/>
      <c r="JW149" s="33"/>
      <c r="JX149" s="28" t="str">
        <f t="shared" si="686"/>
        <v/>
      </c>
      <c r="JY149" s="33"/>
      <c r="JZ149" s="28" t="str">
        <f t="shared" si="687"/>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41"/>
        <v>0</v>
      </c>
      <c r="MI149" s="43" t="str">
        <f t="shared" si="642"/>
        <v/>
      </c>
      <c r="MJ149" s="43" t="str">
        <f t="shared" si="643"/>
        <v/>
      </c>
      <c r="MK149" s="43">
        <f t="shared" si="644"/>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5"/>
        <v>10.928571428571429</v>
      </c>
      <c r="MN149" s="43">
        <f t="shared" si="646"/>
        <v>4</v>
      </c>
      <c r="MO149" s="43">
        <f t="shared" si="647"/>
        <v>2023</v>
      </c>
      <c r="MP149" s="43" t="str">
        <f t="shared" si="648"/>
        <v>II TRIMESTRE AÑO</v>
      </c>
      <c r="MQ149" s="43">
        <f t="shared" si="649"/>
        <v>29.150240911081909</v>
      </c>
      <c r="MR149" s="43">
        <f t="shared" si="650"/>
        <v>0</v>
      </c>
      <c r="MS149" s="43" t="str">
        <f t="shared" si="651"/>
        <v xml:space="preserve"> DE 25 A 29 AÑOS</v>
      </c>
      <c r="MT149" s="43">
        <f t="shared" si="652"/>
        <v>0</v>
      </c>
      <c r="MU149" s="43">
        <f t="shared" si="653"/>
        <v>0</v>
      </c>
      <c r="MV149" s="43">
        <f t="shared" si="654"/>
        <v>0</v>
      </c>
      <c r="MW149" s="43">
        <f t="shared" si="655"/>
        <v>0</v>
      </c>
      <c r="MX149" s="43" t="str">
        <f t="shared" si="656"/>
        <v/>
      </c>
      <c r="MY149" s="43" t="str">
        <f t="shared" ca="1" si="688"/>
        <v/>
      </c>
      <c r="MZ149" s="43" t="str">
        <f t="shared" si="657"/>
        <v/>
      </c>
      <c r="NA149" s="43" t="str">
        <f t="shared" si="658"/>
        <v/>
      </c>
      <c r="NB149" s="43" t="str">
        <f t="shared" si="659"/>
        <v/>
      </c>
      <c r="NC149" s="43" t="str">
        <f t="shared" si="660"/>
        <v/>
      </c>
      <c r="ND149" s="43">
        <f t="shared" ca="1" si="661"/>
        <v>0</v>
      </c>
      <c r="NE149" s="43">
        <f>IF(OR(O149&gt;0,R149&gt;0),SUM(COUNTIF(Tabla1[[#This Row],[AÑOS AL INICIO5 CPN]],"&gt;=40"),COUNTIF(AS149,"0"),COUNTIF(AR149,"SI"),COUNTIF(CC149,"SI"),COUNTIF(BQ149,"&gt;119"),COUNTIF(CI149,"&gt;=35")),"")</f>
        <v>0</v>
      </c>
      <c r="NF149" s="43" t="str">
        <f t="shared" si="662"/>
        <v/>
      </c>
      <c r="NG149" s="43">
        <f t="shared" si="663"/>
        <v>0</v>
      </c>
      <c r="NH149" s="43">
        <f t="shared" si="664"/>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5"/>
        <v>49</v>
      </c>
      <c r="NM149" s="43" t="str">
        <f t="shared" si="501"/>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6"/>
        <v>I TRIM</v>
      </c>
      <c r="NQ149" s="21" t="str">
        <f t="shared" si="691"/>
        <v/>
      </c>
      <c r="NR149" s="21">
        <f t="shared" ca="1" si="689"/>
        <v>3</v>
      </c>
      <c r="NS149" s="205">
        <f t="shared" ca="1" si="667"/>
        <v>2</v>
      </c>
      <c r="NT149" s="21">
        <f t="shared" ca="1" si="668"/>
        <v>2</v>
      </c>
      <c r="NU149" s="21" t="str">
        <f t="shared" ca="1" si="669"/>
        <v>INCOMPLETO</v>
      </c>
      <c r="NV149" s="21" t="str">
        <f t="shared" ca="1" si="670"/>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71"/>
        <v>SIN VACUNAR</v>
      </c>
      <c r="NY149" s="43">
        <f>ROW(Tabla1[[#This Row],['# DE TAMIZAJES SIFILIS TOMADOS ]])</f>
        <v>149</v>
      </c>
      <c r="NZ149" s="43">
        <f t="shared" si="502"/>
        <v>10</v>
      </c>
      <c r="OA149" s="43" t="str">
        <f t="shared" si="503"/>
        <v/>
      </c>
      <c r="OB149" s="43" t="str">
        <f t="shared" si="504"/>
        <v>NORMAL</v>
      </c>
      <c r="OC149" s="43" t="str">
        <f t="shared" si="505"/>
        <v/>
      </c>
      <c r="OD149" s="43" t="str">
        <f t="shared" si="506"/>
        <v/>
      </c>
      <c r="OE149" s="43" t="str">
        <f t="shared" si="507"/>
        <v/>
      </c>
      <c r="OF149" s="43" t="str">
        <f t="shared" si="508"/>
        <v/>
      </c>
      <c r="OG149" s="43" t="str">
        <f t="shared" si="509"/>
        <v/>
      </c>
      <c r="OH149" s="43" t="str">
        <f t="shared" si="510"/>
        <v/>
      </c>
      <c r="OI149" s="43" t="str">
        <f t="shared" si="511"/>
        <v/>
      </c>
      <c r="OJ149" s="43" t="str">
        <f t="shared" si="512"/>
        <v/>
      </c>
      <c r="OK149" s="43" t="str">
        <f t="shared" si="513"/>
        <v/>
      </c>
      <c r="OL149" s="43" t="str">
        <f t="shared" si="514"/>
        <v/>
      </c>
      <c r="OM149" s="43" t="str">
        <f t="shared" si="515"/>
        <v/>
      </c>
      <c r="ON149" s="43" t="str">
        <f t="shared" si="516"/>
        <v/>
      </c>
      <c r="OO149" s="43" t="str">
        <f t="shared" si="517"/>
        <v/>
      </c>
      <c r="OP149" s="43" t="str">
        <f t="shared" si="518"/>
        <v/>
      </c>
      <c r="OQ149" s="43" t="str">
        <f t="shared" si="519"/>
        <v/>
      </c>
      <c r="OR149" s="43" t="str">
        <f t="shared" si="520"/>
        <v/>
      </c>
      <c r="OS149" s="43" t="str">
        <f t="shared" si="521"/>
        <v/>
      </c>
      <c r="OT149" s="43" t="str">
        <f t="shared" si="522"/>
        <v/>
      </c>
      <c r="OU149" s="43" t="str">
        <f t="shared" si="523"/>
        <v/>
      </c>
      <c r="OV149" s="110" t="str">
        <f t="shared" si="524"/>
        <v/>
      </c>
      <c r="OW149" s="43" t="str">
        <f t="shared" si="525"/>
        <v/>
      </c>
      <c r="OX149" s="43" t="str">
        <f t="shared" si="526"/>
        <v/>
      </c>
      <c r="OY149" s="43" t="str">
        <f t="shared" si="527"/>
        <v/>
      </c>
      <c r="OZ149" s="43" t="str">
        <f t="shared" si="528"/>
        <v/>
      </c>
      <c r="PA149" s="43" t="str">
        <f t="shared" si="529"/>
        <v/>
      </c>
      <c r="PB149" s="43" t="str">
        <f t="shared" si="530"/>
        <v/>
      </c>
      <c r="PC149" s="43" t="str">
        <f t="shared" si="531"/>
        <v/>
      </c>
      <c r="PD149" s="43" t="str">
        <f t="shared" si="532"/>
        <v/>
      </c>
      <c r="PE149" s="43" t="str">
        <f t="shared" si="533"/>
        <v/>
      </c>
      <c r="PF149" s="43" t="str">
        <f t="shared" si="534"/>
        <v/>
      </c>
      <c r="PG149" s="43" t="str">
        <f t="shared" si="535"/>
        <v/>
      </c>
      <c r="PH149" s="43" t="str">
        <f t="shared" si="536"/>
        <v/>
      </c>
      <c r="PI149" s="43">
        <f t="shared" si="537"/>
        <v>28</v>
      </c>
      <c r="PJ149" s="43" t="str">
        <f t="shared" si="538"/>
        <v/>
      </c>
      <c r="PK149" s="43" t="str">
        <f t="shared" si="539"/>
        <v/>
      </c>
      <c r="PL149" s="43" t="str">
        <f t="shared" si="540"/>
        <v/>
      </c>
      <c r="PM149" s="43" t="str">
        <f t="shared" si="541"/>
        <v/>
      </c>
      <c r="PN149" s="43" t="str">
        <f t="shared" si="542"/>
        <v/>
      </c>
      <c r="PO149" s="43" t="str">
        <f t="shared" si="543"/>
        <v/>
      </c>
      <c r="PP149" s="43" t="str">
        <f t="shared" si="544"/>
        <v/>
      </c>
      <c r="PQ149" s="43" t="str">
        <f t="shared" si="545"/>
        <v/>
      </c>
      <c r="PR149" s="43" t="str">
        <f t="shared" si="546"/>
        <v/>
      </c>
      <c r="PS149" s="43" t="str">
        <f t="shared" si="547"/>
        <v/>
      </c>
      <c r="PT149" s="43" t="str">
        <f t="shared" si="548"/>
        <v/>
      </c>
      <c r="PU149" s="43" t="str">
        <f t="shared" si="549"/>
        <v/>
      </c>
      <c r="PV149" s="43" t="str">
        <f t="shared" si="550"/>
        <v/>
      </c>
      <c r="PW149" s="43" t="str">
        <f t="shared" si="551"/>
        <v/>
      </c>
      <c r="PX149" s="43" t="str">
        <f t="shared" si="552"/>
        <v/>
      </c>
      <c r="PY149" s="43" t="str">
        <f t="shared" si="553"/>
        <v/>
      </c>
      <c r="PZ149" s="43" t="str">
        <f t="shared" si="554"/>
        <v/>
      </c>
      <c r="QA149" s="43" t="str">
        <f t="shared" si="555"/>
        <v/>
      </c>
      <c r="QB149" s="43" t="str">
        <f t="shared" si="556"/>
        <v/>
      </c>
      <c r="QC149" s="43" t="str">
        <f t="shared" si="557"/>
        <v>NORMAL</v>
      </c>
      <c r="QD149" s="43" t="str">
        <f t="shared" si="558"/>
        <v/>
      </c>
      <c r="QE149" s="43" t="str">
        <f t="shared" si="559"/>
        <v/>
      </c>
      <c r="QF149" s="43" t="str">
        <f t="shared" si="560"/>
        <v/>
      </c>
      <c r="QG149" s="43" t="str">
        <f t="shared" si="561"/>
        <v/>
      </c>
      <c r="QH149" s="43" t="str">
        <f t="shared" si="562"/>
        <v/>
      </c>
      <c r="QI149" s="43" t="str">
        <f t="shared" si="563"/>
        <v/>
      </c>
      <c r="QJ149" s="43" t="str">
        <f t="shared" si="564"/>
        <v/>
      </c>
      <c r="QK149" s="43" t="str">
        <f t="shared" si="565"/>
        <v/>
      </c>
      <c r="QL149" s="43" t="str">
        <f t="shared" si="566"/>
        <v/>
      </c>
      <c r="QM149" s="43" t="str">
        <f t="shared" si="567"/>
        <v/>
      </c>
      <c r="QN149" s="43" t="str">
        <f t="shared" si="568"/>
        <v/>
      </c>
      <c r="QO149" s="43" t="str">
        <f t="shared" si="569"/>
        <v/>
      </c>
      <c r="QP149" s="43" t="str">
        <f t="shared" si="570"/>
        <v/>
      </c>
      <c r="QQ149" s="43" t="str">
        <f t="shared" si="571"/>
        <v/>
      </c>
      <c r="QR149" s="43">
        <f t="shared" si="672"/>
        <v>28</v>
      </c>
      <c r="QS149" s="43"/>
      <c r="QT149" s="21" t="str">
        <f t="shared" si="572"/>
        <v/>
      </c>
      <c r="QU149" s="21" t="str">
        <f t="shared" si="573"/>
        <v/>
      </c>
      <c r="QV149" s="21" t="str">
        <f t="shared" si="574"/>
        <v/>
      </c>
      <c r="QW149" s="21" t="str">
        <f t="shared" si="575"/>
        <v/>
      </c>
      <c r="QX149" s="21" t="str">
        <f t="shared" si="576"/>
        <v/>
      </c>
      <c r="QY149" s="21" t="str">
        <f t="shared" si="577"/>
        <v/>
      </c>
      <c r="QZ149" s="21" t="str">
        <f t="shared" si="578"/>
        <v/>
      </c>
      <c r="RA149" s="21" t="str">
        <f t="shared" si="579"/>
        <v/>
      </c>
      <c r="RB149" s="21" t="str">
        <f t="shared" si="580"/>
        <v/>
      </c>
      <c r="RC149" s="21" t="str">
        <f t="shared" si="581"/>
        <v/>
      </c>
      <c r="RD149" s="21" t="str">
        <f t="shared" si="582"/>
        <v/>
      </c>
      <c r="RE149" s="21" t="str">
        <f t="shared" si="583"/>
        <v/>
      </c>
      <c r="RF149" s="21" t="str">
        <f t="shared" si="584"/>
        <v/>
      </c>
      <c r="RG149" s="21" t="str">
        <f t="shared" si="585"/>
        <v/>
      </c>
      <c r="RH149" s="21" t="str">
        <f t="shared" si="586"/>
        <v/>
      </c>
      <c r="RI149" s="21" t="str">
        <f t="shared" si="587"/>
        <v>ADECUADO PARA EDAD GESTACIONAL</v>
      </c>
      <c r="RJ149" s="21" t="str">
        <f t="shared" si="588"/>
        <v/>
      </c>
      <c r="RK149" s="21" t="str">
        <f t="shared" si="589"/>
        <v/>
      </c>
      <c r="RL149" s="21" t="str">
        <f t="shared" si="590"/>
        <v/>
      </c>
      <c r="RM149" s="21" t="str">
        <f t="shared" si="591"/>
        <v/>
      </c>
      <c r="RN149" s="21" t="str">
        <f t="shared" si="592"/>
        <v/>
      </c>
      <c r="RO149" s="21" t="str">
        <f t="shared" si="593"/>
        <v/>
      </c>
      <c r="RP149" s="21" t="str">
        <f t="shared" si="594"/>
        <v/>
      </c>
      <c r="RQ149" s="21" t="str">
        <f t="shared" si="595"/>
        <v/>
      </c>
      <c r="RR149" s="21" t="str">
        <f t="shared" si="596"/>
        <v/>
      </c>
      <c r="RS149" s="21" t="str">
        <f t="shared" si="597"/>
        <v/>
      </c>
      <c r="RT149" s="21" t="str">
        <f t="shared" si="598"/>
        <v/>
      </c>
      <c r="RU149" s="21" t="str">
        <f t="shared" si="599"/>
        <v/>
      </c>
      <c r="RV149" s="21">
        <f t="shared" si="600"/>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3"/>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1"/>
        <v>22.654794520547945</v>
      </c>
      <c r="O150" s="22">
        <v>45031</v>
      </c>
      <c r="P150" s="214" t="str">
        <f t="shared" si="675"/>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2"/>
        <v>0</v>
      </c>
      <c r="BR150" s="223">
        <f t="shared" si="603"/>
        <v>44978.2</v>
      </c>
      <c r="BS150" s="224">
        <f t="shared" si="604"/>
        <v>12.428571428571429</v>
      </c>
      <c r="BT150" s="216" t="str">
        <f t="shared" si="605"/>
        <v>II TRIM</v>
      </c>
      <c r="BU150" s="214">
        <f t="shared" ca="1" si="606"/>
        <v>41.142857142857146</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7"/>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8"/>
        <v>45149</v>
      </c>
      <c r="CL150" s="21">
        <v>68</v>
      </c>
      <c r="CM150" s="214">
        <f t="shared" si="609"/>
        <v>27.239224483255885</v>
      </c>
      <c r="CN150" s="216">
        <f t="shared" si="610"/>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90"/>
        <v>APARENTEMENTE NORMAL</v>
      </c>
      <c r="DA150" s="21">
        <v>100</v>
      </c>
      <c r="DB150" s="21">
        <v>60</v>
      </c>
      <c r="DC150" s="217" t="str">
        <f t="shared" si="611"/>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6"/>
        <v>CONCERTAR PLAN DE PARTO INMEDIATO</v>
      </c>
      <c r="DV150" s="226" t="str">
        <f t="shared" si="677"/>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2"/>
        <v>#REF!</v>
      </c>
      <c r="DY150" s="212">
        <f>IF(R150="","",IF(R150&gt;0,MAX(Tabla1[[#This Row],[FECHA C2]:[FECHA C13]],Tabla1[[#This Row],[FECHA CONSULTA PRIMERA VEZ PROGRAMA CPN ]])))</f>
        <v>45149</v>
      </c>
      <c r="DZ150" s="216">
        <f t="shared" si="613"/>
        <v>29</v>
      </c>
      <c r="EA150" s="222">
        <f>IF(R150&gt;0,SUM(COUNTA(DF150:DQ150)+COUNTA(Tabla1[[#This Row],[FECHA CONSULTA PRIMERA VEZ PROGRAMA CPN ]])),"")</f>
        <v>2</v>
      </c>
      <c r="EB150" s="222" t="str">
        <f t="shared" si="614"/>
        <v>NO</v>
      </c>
      <c r="EC150" s="214">
        <f t="shared" si="615"/>
        <v>8</v>
      </c>
      <c r="ED150" s="227">
        <f t="shared" si="616"/>
        <v>0.25</v>
      </c>
      <c r="EE150" s="22">
        <v>45031</v>
      </c>
      <c r="EF150" s="22">
        <v>45149</v>
      </c>
      <c r="EG150" s="22">
        <v>45031</v>
      </c>
      <c r="EH150" s="22"/>
      <c r="EI150" s="22">
        <v>45031</v>
      </c>
      <c r="EJ150" s="22"/>
      <c r="EK150" s="22"/>
      <c r="EL150" s="21"/>
      <c r="EM150" s="21">
        <v>13.2</v>
      </c>
      <c r="EN150" s="22">
        <v>45031</v>
      </c>
      <c r="EO150" s="222">
        <f t="shared" si="617"/>
        <v>12.428571428571429</v>
      </c>
      <c r="EP150" s="214" t="str">
        <f t="shared" si="618"/>
        <v>NORMAL- SUMINISTRAR SULFATO FERROSO</v>
      </c>
      <c r="EQ150" s="216" t="str">
        <f t="shared" si="619"/>
        <v>I TRIM</v>
      </c>
      <c r="ER150" s="24"/>
      <c r="ES150" s="22"/>
      <c r="ET150" s="29" t="str">
        <f t="shared" ca="1" si="678"/>
        <v>TOMA DE HEMOGLOBINA TARDÍA</v>
      </c>
      <c r="EU150" s="25" t="str">
        <f t="shared" si="620"/>
        <v/>
      </c>
      <c r="EV150" s="24" t="s">
        <v>1510</v>
      </c>
      <c r="EW150" s="32">
        <v>45031</v>
      </c>
      <c r="EX150" s="22"/>
      <c r="EY150" s="29">
        <f t="shared" si="454"/>
        <v>12.428571428571429</v>
      </c>
      <c r="EZ150" s="25" t="str">
        <f t="shared" si="455"/>
        <v>SIN RIESGO DE ISOINMUNIZACIÓN</v>
      </c>
      <c r="FA150" s="21">
        <v>77</v>
      </c>
      <c r="FB150" s="22">
        <v>45031</v>
      </c>
      <c r="FC150" s="29">
        <f t="shared" si="621"/>
        <v>12.428571428571429</v>
      </c>
      <c r="FD150" s="29"/>
      <c r="FE150" s="29"/>
      <c r="FF150" s="29"/>
      <c r="FG150" s="21" t="str">
        <f t="shared" ca="1" si="622"/>
        <v>TOMAR PTOG</v>
      </c>
      <c r="FH150" s="31"/>
      <c r="FI150" s="29" t="str">
        <f t="shared" si="623"/>
        <v>TOMAR EXAMEN</v>
      </c>
      <c r="FJ150" s="22" t="s">
        <v>867</v>
      </c>
      <c r="FK150" s="22">
        <v>45031</v>
      </c>
      <c r="FL150" s="29">
        <f t="shared" ca="1" si="624"/>
        <v>12.428571428571429</v>
      </c>
      <c r="FM150" s="22"/>
      <c r="FN150" s="32"/>
      <c r="FO150" s="29" t="str">
        <f t="shared" ca="1" si="679"/>
        <v>PIERDE TOMA DE TAMIZAJE</v>
      </c>
      <c r="FP150" s="22"/>
      <c r="FQ150" s="32"/>
      <c r="FR150" s="29" t="str">
        <f t="shared" ca="1" si="680"/>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5"/>
        <v>TOMAR EXAMEN</v>
      </c>
      <c r="FY150" s="22">
        <v>45031</v>
      </c>
      <c r="FZ150" s="22">
        <v>45031</v>
      </c>
      <c r="GA150" s="29">
        <f t="shared" ca="1" si="498"/>
        <v>12.428571428571429</v>
      </c>
      <c r="GB150" s="22"/>
      <c r="GC150" s="22"/>
      <c r="GD150" s="29" t="str">
        <f t="shared" ca="1" si="681"/>
        <v>PIERDE TOMA DE TAMIZAJE</v>
      </c>
      <c r="GE150" s="22"/>
      <c r="GF150" s="22"/>
      <c r="GG150" s="29" t="str">
        <f t="shared" ca="1" si="682"/>
        <v>TOMA INMEDIATA DE TAMIZAJE</v>
      </c>
      <c r="GH150" s="22"/>
      <c r="GI150" s="29"/>
      <c r="GJ150" s="22"/>
      <c r="GK150" s="22"/>
      <c r="GL150" s="22"/>
      <c r="GM150" s="22"/>
      <c r="GN150" s="28" t="s">
        <v>869</v>
      </c>
      <c r="GO150" s="22">
        <v>45031</v>
      </c>
      <c r="GP150" s="29">
        <f t="shared" si="626"/>
        <v>12.428571428571429</v>
      </c>
      <c r="GQ150" s="28" t="s">
        <v>869</v>
      </c>
      <c r="GR150" s="28" t="s">
        <v>869</v>
      </c>
      <c r="GS150" s="22" t="str">
        <f t="shared" si="627"/>
        <v>CONTROL Igm</v>
      </c>
      <c r="GT150" s="22">
        <v>45031</v>
      </c>
      <c r="GU150" s="29">
        <f t="shared" si="628"/>
        <v>12.428571428571429</v>
      </c>
      <c r="GV150" s="21" t="str">
        <f t="shared" si="629"/>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30"/>
        <v>#REF!</v>
      </c>
      <c r="HI150" s="22" t="e">
        <f t="shared" ca="1" si="631"/>
        <v>#REF!</v>
      </c>
      <c r="HJ150" s="21" t="str">
        <f t="shared" ca="1" si="632"/>
        <v>***************PRESENTACIÓN FETAL PODALICA O TRANSVERSA************EMBARAZO PROLONGADO************</v>
      </c>
      <c r="HK150" s="21" t="str">
        <f t="shared" si="633"/>
        <v>SIN ANTECEDENTES DE RIESGO</v>
      </c>
      <c r="HL150" s="24" t="str">
        <f t="shared" si="634"/>
        <v>APARENTEMENTE NORMAL</v>
      </c>
      <c r="HM150" s="21" t="e">
        <f t="shared" ca="1" si="635"/>
        <v>#REF!</v>
      </c>
      <c r="HN150" s="30" t="str">
        <f t="shared" si="683"/>
        <v>ACTIVA INGRESO A CPN</v>
      </c>
      <c r="HO150" s="21"/>
      <c r="HP150" s="21"/>
      <c r="HQ150" s="349"/>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6"/>
        <v>PENDIENTE CONSULTA</v>
      </c>
      <c r="IA150" s="26"/>
      <c r="IB150" s="26"/>
      <c r="IC150" s="111"/>
      <c r="ID150" s="22"/>
      <c r="IE150" s="22" t="str">
        <f t="shared" ca="1" si="637"/>
        <v>INASISTENTE</v>
      </c>
      <c r="IF150" s="22"/>
      <c r="IG150" s="22">
        <f t="shared" si="638"/>
        <v>45224</v>
      </c>
      <c r="IH150" s="29">
        <f t="shared" ca="1" si="639"/>
        <v>-8</v>
      </c>
      <c r="II150" s="22" t="str">
        <f t="shared" ca="1" si="640"/>
        <v>POSIBLEMENTE NACIO</v>
      </c>
      <c r="IJ150" s="22"/>
      <c r="IK150" s="21"/>
      <c r="IL150" s="21"/>
      <c r="IM150" s="34"/>
      <c r="IN150" s="22"/>
      <c r="IO150" s="21"/>
      <c r="IP150" s="29" t="str">
        <f t="shared" si="674"/>
        <v/>
      </c>
      <c r="IQ150" s="35"/>
      <c r="IR150" s="21"/>
      <c r="IS150" s="21"/>
      <c r="IT150" s="21"/>
      <c r="IU150" s="21"/>
      <c r="IV150" s="21"/>
      <c r="IW150" s="21"/>
      <c r="IX150" s="21"/>
      <c r="IY150" s="21"/>
      <c r="IZ150" s="21"/>
      <c r="JA150" s="21"/>
      <c r="JB150" s="30"/>
      <c r="JC150" s="21"/>
      <c r="JD150" s="36"/>
      <c r="JE150" s="21" t="str">
        <f t="shared" si="684"/>
        <v/>
      </c>
      <c r="JF150" s="30"/>
      <c r="JG150" s="21"/>
      <c r="JH150" s="21"/>
      <c r="JI150" s="21"/>
      <c r="JJ150" s="30"/>
      <c r="JK150" s="22"/>
      <c r="JL150" s="22"/>
      <c r="JM150" s="21"/>
      <c r="JN150" s="36"/>
      <c r="JO150" s="21" t="str">
        <f t="shared" si="685"/>
        <v/>
      </c>
      <c r="JP150" s="22"/>
      <c r="JQ150" s="21"/>
      <c r="JR150" s="21"/>
      <c r="JS150" s="21"/>
      <c r="JT150" s="30"/>
      <c r="JU150" s="22"/>
      <c r="JV150" s="22"/>
      <c r="JW150" s="33"/>
      <c r="JX150" s="28" t="str">
        <f t="shared" si="686"/>
        <v/>
      </c>
      <c r="JY150" s="33"/>
      <c r="JZ150" s="28" t="str">
        <f t="shared" si="687"/>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41"/>
        <v>0</v>
      </c>
      <c r="MI150" s="43" t="str">
        <f t="shared" si="642"/>
        <v/>
      </c>
      <c r="MJ150" s="43" t="str">
        <f t="shared" si="643"/>
        <v/>
      </c>
      <c r="MK150" s="43">
        <f t="shared" si="644"/>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5"/>
        <v>12.428571428571429</v>
      </c>
      <c r="MN150" s="43">
        <f t="shared" si="646"/>
        <v>4</v>
      </c>
      <c r="MO150" s="43">
        <f t="shared" si="647"/>
        <v>2023</v>
      </c>
      <c r="MP150" s="43" t="str">
        <f t="shared" si="648"/>
        <v>II TRIMESTRE AÑO</v>
      </c>
      <c r="MQ150" s="43">
        <f t="shared" si="649"/>
        <v>21.769601401664474</v>
      </c>
      <c r="MR150" s="43">
        <f t="shared" si="650"/>
        <v>0</v>
      </c>
      <c r="MS150" s="43" t="str">
        <f t="shared" si="651"/>
        <v xml:space="preserve"> DE 20 A 24 AÑOS</v>
      </c>
      <c r="MT150" s="43">
        <f t="shared" si="652"/>
        <v>0</v>
      </c>
      <c r="MU150" s="43">
        <f t="shared" si="653"/>
        <v>0</v>
      </c>
      <c r="MV150" s="43">
        <f t="shared" si="654"/>
        <v>0</v>
      </c>
      <c r="MW150" s="43">
        <f t="shared" si="655"/>
        <v>0</v>
      </c>
      <c r="MX150" s="43" t="str">
        <f t="shared" si="656"/>
        <v/>
      </c>
      <c r="MY150" s="43">
        <f t="shared" ca="1" si="688"/>
        <v>1</v>
      </c>
      <c r="MZ150" s="43" t="str">
        <f t="shared" si="657"/>
        <v/>
      </c>
      <c r="NA150" s="43">
        <f t="shared" si="658"/>
        <v>3</v>
      </c>
      <c r="NB150" s="43" t="str">
        <f t="shared" si="659"/>
        <v/>
      </c>
      <c r="NC150" s="43" t="str">
        <f t="shared" si="660"/>
        <v/>
      </c>
      <c r="ND150" s="43">
        <f t="shared" ca="1" si="661"/>
        <v>4</v>
      </c>
      <c r="NE150" s="43">
        <f>IF(OR(O150&gt;0,R150&gt;0),SUM(COUNTIF(Tabla1[[#This Row],[AÑOS AL INICIO5 CPN]],"&gt;=40"),COUNTIF(AS150,"0"),COUNTIF(AR150,"SI"),COUNTIF(CC150,"SI"),COUNTIF(BQ150,"&gt;119"),COUNTIF(CI150,"&gt;=35")),"")</f>
        <v>0</v>
      </c>
      <c r="NF150" s="43" t="str">
        <f t="shared" si="662"/>
        <v/>
      </c>
      <c r="NG150" s="43">
        <f t="shared" si="663"/>
        <v>0</v>
      </c>
      <c r="NH150" s="43">
        <f t="shared" si="664"/>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5"/>
        <v>X</v>
      </c>
      <c r="NM150" s="43" t="str">
        <f t="shared" si="501"/>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6"/>
        <v>II TRIM</v>
      </c>
      <c r="NQ150" s="21" t="str">
        <f t="shared" si="691"/>
        <v/>
      </c>
      <c r="NR150" s="21">
        <f t="shared" ca="1" si="689"/>
        <v>2</v>
      </c>
      <c r="NS150" s="205">
        <f t="shared" ca="1" si="667"/>
        <v>1</v>
      </c>
      <c r="NT150" s="21">
        <f t="shared" ca="1" si="668"/>
        <v>1</v>
      </c>
      <c r="NU150" s="21" t="str">
        <f t="shared" ca="1" si="669"/>
        <v>INCOMPLETO</v>
      </c>
      <c r="NV150" s="21" t="str">
        <f t="shared" ca="1" si="670"/>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71"/>
        <v>SIN VACUNAR</v>
      </c>
      <c r="NY150" s="43">
        <f>ROW(Tabla1[[#This Row],['# DE TAMIZAJES SIFILIS TOMADOS ]])</f>
        <v>150</v>
      </c>
      <c r="NZ150" s="43">
        <f t="shared" si="502"/>
        <v>12</v>
      </c>
      <c r="OA150" s="43" t="str">
        <f t="shared" si="503"/>
        <v/>
      </c>
      <c r="OB150" s="43" t="str">
        <f t="shared" si="504"/>
        <v/>
      </c>
      <c r="OC150" s="43" t="str">
        <f t="shared" si="505"/>
        <v/>
      </c>
      <c r="OD150" s="43" t="str">
        <f t="shared" si="506"/>
        <v>NORMAL</v>
      </c>
      <c r="OE150" s="43" t="str">
        <f t="shared" si="507"/>
        <v/>
      </c>
      <c r="OF150" s="43" t="str">
        <f t="shared" si="508"/>
        <v/>
      </c>
      <c r="OG150" s="43" t="str">
        <f t="shared" si="509"/>
        <v/>
      </c>
      <c r="OH150" s="43" t="str">
        <f t="shared" si="510"/>
        <v/>
      </c>
      <c r="OI150" s="43" t="str">
        <f t="shared" si="511"/>
        <v/>
      </c>
      <c r="OJ150" s="43" t="str">
        <f t="shared" si="512"/>
        <v/>
      </c>
      <c r="OK150" s="43" t="str">
        <f t="shared" si="513"/>
        <v/>
      </c>
      <c r="OL150" s="43" t="str">
        <f t="shared" si="514"/>
        <v/>
      </c>
      <c r="OM150" s="43" t="str">
        <f t="shared" si="515"/>
        <v/>
      </c>
      <c r="ON150" s="43" t="str">
        <f t="shared" si="516"/>
        <v/>
      </c>
      <c r="OO150" s="43" t="str">
        <f t="shared" si="517"/>
        <v/>
      </c>
      <c r="OP150" s="43" t="str">
        <f t="shared" si="518"/>
        <v/>
      </c>
      <c r="OQ150" s="43" t="str">
        <f t="shared" si="519"/>
        <v/>
      </c>
      <c r="OR150" s="43" t="str">
        <f t="shared" si="520"/>
        <v/>
      </c>
      <c r="OS150" s="43" t="str">
        <f t="shared" si="521"/>
        <v/>
      </c>
      <c r="OT150" s="43" t="str">
        <f t="shared" si="522"/>
        <v/>
      </c>
      <c r="OU150" s="43" t="str">
        <f t="shared" si="523"/>
        <v/>
      </c>
      <c r="OV150" s="110" t="str">
        <f t="shared" si="524"/>
        <v/>
      </c>
      <c r="OW150" s="43" t="str">
        <f t="shared" si="525"/>
        <v/>
      </c>
      <c r="OX150" s="43" t="str">
        <f t="shared" si="526"/>
        <v/>
      </c>
      <c r="OY150" s="43" t="str">
        <f t="shared" si="527"/>
        <v/>
      </c>
      <c r="OZ150" s="43" t="str">
        <f t="shared" si="528"/>
        <v/>
      </c>
      <c r="PA150" s="43" t="str">
        <f t="shared" si="529"/>
        <v/>
      </c>
      <c r="PB150" s="43" t="str">
        <f t="shared" si="530"/>
        <v/>
      </c>
      <c r="PC150" s="43" t="str">
        <f t="shared" si="531"/>
        <v/>
      </c>
      <c r="PD150" s="43" t="str">
        <f t="shared" si="532"/>
        <v/>
      </c>
      <c r="PE150" s="43" t="str">
        <f t="shared" si="533"/>
        <v/>
      </c>
      <c r="PF150" s="43" t="str">
        <f t="shared" si="534"/>
        <v/>
      </c>
      <c r="PG150" s="43" t="str">
        <f t="shared" si="535"/>
        <v/>
      </c>
      <c r="PH150" s="43" t="str">
        <f t="shared" si="536"/>
        <v/>
      </c>
      <c r="PI150" s="43">
        <f t="shared" si="537"/>
        <v>29</v>
      </c>
      <c r="PJ150" s="43" t="str">
        <f t="shared" si="538"/>
        <v/>
      </c>
      <c r="PK150" s="43" t="str">
        <f t="shared" si="539"/>
        <v/>
      </c>
      <c r="PL150" s="43" t="str">
        <f t="shared" si="540"/>
        <v/>
      </c>
      <c r="PM150" s="43" t="str">
        <f t="shared" si="541"/>
        <v/>
      </c>
      <c r="PN150" s="43" t="str">
        <f t="shared" si="542"/>
        <v/>
      </c>
      <c r="PO150" s="43" t="str">
        <f t="shared" si="543"/>
        <v/>
      </c>
      <c r="PP150" s="43" t="str">
        <f t="shared" si="544"/>
        <v/>
      </c>
      <c r="PQ150" s="43" t="str">
        <f t="shared" si="545"/>
        <v/>
      </c>
      <c r="PR150" s="43" t="str">
        <f t="shared" si="546"/>
        <v/>
      </c>
      <c r="PS150" s="43" t="str">
        <f t="shared" si="547"/>
        <v/>
      </c>
      <c r="PT150" s="43" t="str">
        <f t="shared" si="548"/>
        <v/>
      </c>
      <c r="PU150" s="43" t="str">
        <f t="shared" si="549"/>
        <v/>
      </c>
      <c r="PV150" s="43" t="str">
        <f t="shared" si="550"/>
        <v/>
      </c>
      <c r="PW150" s="43" t="str">
        <f t="shared" si="551"/>
        <v/>
      </c>
      <c r="PX150" s="43" t="str">
        <f t="shared" si="552"/>
        <v/>
      </c>
      <c r="PY150" s="43" t="str">
        <f t="shared" si="553"/>
        <v/>
      </c>
      <c r="PZ150" s="43" t="str">
        <f t="shared" si="554"/>
        <v/>
      </c>
      <c r="QA150" s="43" t="str">
        <f t="shared" si="555"/>
        <v/>
      </c>
      <c r="QB150" s="43" t="str">
        <f t="shared" si="556"/>
        <v/>
      </c>
      <c r="QC150" s="43" t="str">
        <f t="shared" si="557"/>
        <v/>
      </c>
      <c r="QD150" s="43" t="str">
        <f t="shared" si="558"/>
        <v>NORMAL</v>
      </c>
      <c r="QE150" s="43" t="str">
        <f t="shared" si="559"/>
        <v/>
      </c>
      <c r="QF150" s="43" t="str">
        <f t="shared" si="560"/>
        <v/>
      </c>
      <c r="QG150" s="43" t="str">
        <f t="shared" si="561"/>
        <v/>
      </c>
      <c r="QH150" s="43" t="str">
        <f t="shared" si="562"/>
        <v/>
      </c>
      <c r="QI150" s="43" t="str">
        <f t="shared" si="563"/>
        <v/>
      </c>
      <c r="QJ150" s="43" t="str">
        <f t="shared" si="564"/>
        <v/>
      </c>
      <c r="QK150" s="43" t="str">
        <f t="shared" si="565"/>
        <v/>
      </c>
      <c r="QL150" s="43" t="str">
        <f t="shared" si="566"/>
        <v/>
      </c>
      <c r="QM150" s="43" t="str">
        <f t="shared" si="567"/>
        <v/>
      </c>
      <c r="QN150" s="43" t="str">
        <f t="shared" si="568"/>
        <v/>
      </c>
      <c r="QO150" s="43" t="str">
        <f t="shared" si="569"/>
        <v/>
      </c>
      <c r="QP150" s="43" t="str">
        <f t="shared" si="570"/>
        <v/>
      </c>
      <c r="QQ150" s="43" t="str">
        <f t="shared" si="571"/>
        <v/>
      </c>
      <c r="QR150" s="43">
        <f t="shared" si="672"/>
        <v>29</v>
      </c>
      <c r="QS150" s="43"/>
      <c r="QT150" s="21" t="str">
        <f t="shared" si="572"/>
        <v/>
      </c>
      <c r="QU150" s="21" t="str">
        <f t="shared" si="573"/>
        <v/>
      </c>
      <c r="QV150" s="21" t="str">
        <f t="shared" si="574"/>
        <v/>
      </c>
      <c r="QW150" s="21" t="str">
        <f t="shared" si="575"/>
        <v/>
      </c>
      <c r="QX150" s="21" t="str">
        <f t="shared" si="576"/>
        <v/>
      </c>
      <c r="QY150" s="21" t="str">
        <f t="shared" si="577"/>
        <v/>
      </c>
      <c r="QZ150" s="21" t="str">
        <f t="shared" si="578"/>
        <v/>
      </c>
      <c r="RA150" s="21" t="str">
        <f t="shared" si="579"/>
        <v/>
      </c>
      <c r="RB150" s="21" t="str">
        <f t="shared" si="580"/>
        <v/>
      </c>
      <c r="RC150" s="21" t="str">
        <f t="shared" si="581"/>
        <v/>
      </c>
      <c r="RD150" s="21" t="str">
        <f t="shared" si="582"/>
        <v/>
      </c>
      <c r="RE150" s="21" t="str">
        <f t="shared" si="583"/>
        <v/>
      </c>
      <c r="RF150" s="21" t="str">
        <f t="shared" si="584"/>
        <v/>
      </c>
      <c r="RG150" s="21" t="str">
        <f t="shared" si="585"/>
        <v/>
      </c>
      <c r="RH150" s="21" t="str">
        <f t="shared" si="586"/>
        <v/>
      </c>
      <c r="RI150" s="21" t="str">
        <f t="shared" si="587"/>
        <v/>
      </c>
      <c r="RJ150" s="21" t="str">
        <f t="shared" si="588"/>
        <v>ALTO PARA EDAD GESTACIONAL</v>
      </c>
      <c r="RK150" s="21" t="str">
        <f t="shared" si="589"/>
        <v/>
      </c>
      <c r="RL150" s="21" t="str">
        <f t="shared" si="590"/>
        <v/>
      </c>
      <c r="RM150" s="21" t="str">
        <f t="shared" si="591"/>
        <v/>
      </c>
      <c r="RN150" s="21" t="str">
        <f t="shared" si="592"/>
        <v/>
      </c>
      <c r="RO150" s="21" t="str">
        <f t="shared" si="593"/>
        <v/>
      </c>
      <c r="RP150" s="21" t="str">
        <f t="shared" si="594"/>
        <v/>
      </c>
      <c r="RQ150" s="21" t="str">
        <f t="shared" si="595"/>
        <v/>
      </c>
      <c r="RR150" s="21" t="str">
        <f t="shared" si="596"/>
        <v/>
      </c>
      <c r="RS150" s="21" t="str">
        <f t="shared" si="597"/>
        <v/>
      </c>
      <c r="RT150" s="21" t="str">
        <f t="shared" si="598"/>
        <v/>
      </c>
      <c r="RU150" s="21" t="str">
        <f t="shared" si="599"/>
        <v/>
      </c>
      <c r="RV150" s="21">
        <f t="shared" si="600"/>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3"/>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1"/>
        <v>24.912328767123288</v>
      </c>
      <c r="O151" s="22">
        <v>44996</v>
      </c>
      <c r="P151" s="214" t="str">
        <f t="shared" si="675"/>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2"/>
        <v>0</v>
      </c>
      <c r="BR151" s="223" t="str">
        <f t="shared" si="603"/>
        <v/>
      </c>
      <c r="BS151" s="224">
        <f t="shared" si="604"/>
        <v>6.4285714285714288</v>
      </c>
      <c r="BT151" s="216" t="str">
        <f t="shared" si="605"/>
        <v>I TRIM</v>
      </c>
      <c r="BU151" s="214">
        <f t="shared" ca="1" si="606"/>
        <v>40.142857142857146</v>
      </c>
      <c r="BV151" s="25"/>
      <c r="BW151" s="22"/>
      <c r="BX151" s="28"/>
      <c r="BY151" s="28"/>
      <c r="BZ151" s="22"/>
      <c r="CA151" s="21"/>
      <c r="CB151" s="26"/>
      <c r="CC151" s="26"/>
      <c r="CD151" s="26"/>
      <c r="CE151" s="26"/>
      <c r="CF151" s="22" t="s">
        <v>1517</v>
      </c>
      <c r="CG151" s="21">
        <v>1.52</v>
      </c>
      <c r="CH151" s="21">
        <v>63.7</v>
      </c>
      <c r="CI151" s="214">
        <f t="shared" si="607"/>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8"/>
        <v>45136</v>
      </c>
      <c r="CL151" s="21">
        <v>71.2</v>
      </c>
      <c r="CM151" s="214">
        <f t="shared" si="609"/>
        <v>30.817174515235457</v>
      </c>
      <c r="CN151" s="216">
        <f t="shared" si="610"/>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90"/>
        <v/>
      </c>
      <c r="DA151" s="21">
        <v>90</v>
      </c>
      <c r="DB151" s="21">
        <v>60</v>
      </c>
      <c r="DC151" s="217" t="str">
        <f t="shared" si="611"/>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6"/>
        <v>CONCERTAR PLAN DE PARTO INMEDIATO</v>
      </c>
      <c r="DV151" s="226" t="str">
        <f t="shared" si="677"/>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2"/>
        <v>#REF!</v>
      </c>
      <c r="DY151" s="212">
        <f>IF(R151="","",IF(R151&gt;0,MAX(Tabla1[[#This Row],[FECHA C2]:[FECHA C13]],Tabla1[[#This Row],[FECHA CONSULTA PRIMERA VEZ PROGRAMA CPN ]])))</f>
        <v>45136</v>
      </c>
      <c r="DZ151" s="216">
        <f t="shared" si="613"/>
        <v>26</v>
      </c>
      <c r="EA151" s="222">
        <f>IF(R151&gt;0,SUM(COUNTA(DF151:DQ151)+COUNTA(Tabla1[[#This Row],[FECHA CONSULTA PRIMERA VEZ PROGRAMA CPN ]])),"")</f>
        <v>5</v>
      </c>
      <c r="EB151" s="222" t="str">
        <f t="shared" si="614"/>
        <v>SI</v>
      </c>
      <c r="EC151" s="214">
        <f t="shared" si="615"/>
        <v>10</v>
      </c>
      <c r="ED151" s="227">
        <f t="shared" si="616"/>
        <v>0.5</v>
      </c>
      <c r="EE151" s="22">
        <v>44996</v>
      </c>
      <c r="EF151" s="22">
        <v>44994</v>
      </c>
      <c r="EG151" s="22">
        <v>44996</v>
      </c>
      <c r="EH151" s="22"/>
      <c r="EI151" s="22">
        <v>44996</v>
      </c>
      <c r="EJ151" s="22">
        <v>44945</v>
      </c>
      <c r="EK151" s="22">
        <v>44945</v>
      </c>
      <c r="EL151" s="21"/>
      <c r="EM151" s="21">
        <v>15.5</v>
      </c>
      <c r="EN151" s="22">
        <v>44996</v>
      </c>
      <c r="EO151" s="222">
        <f t="shared" si="617"/>
        <v>6.4285714285714288</v>
      </c>
      <c r="EP151" s="214" t="str">
        <f t="shared" si="618"/>
        <v>NO DAR SULFATO FERROSO</v>
      </c>
      <c r="EQ151" s="216" t="str">
        <f t="shared" si="619"/>
        <v>I TRIM</v>
      </c>
      <c r="ER151" s="24"/>
      <c r="ES151" s="22"/>
      <c r="ET151" s="29" t="str">
        <f t="shared" ca="1" si="678"/>
        <v>TOMA DE HEMOGLOBINA TARDÍA</v>
      </c>
      <c r="EU151" s="25" t="str">
        <f t="shared" si="620"/>
        <v/>
      </c>
      <c r="EV151" s="24" t="s">
        <v>1510</v>
      </c>
      <c r="EW151" s="32">
        <v>44996</v>
      </c>
      <c r="EX151" s="22"/>
      <c r="EY151" s="29">
        <f t="shared" si="454"/>
        <v>6.4285714285714288</v>
      </c>
      <c r="EZ151" s="25" t="str">
        <f t="shared" si="455"/>
        <v>SIN RIESGO DE ISOINMUNIZACIÓN</v>
      </c>
      <c r="FA151" s="21">
        <v>80</v>
      </c>
      <c r="FB151" s="22">
        <v>44996</v>
      </c>
      <c r="FC151" s="29">
        <f t="shared" si="621"/>
        <v>6.4285714285714288</v>
      </c>
      <c r="FD151" s="29"/>
      <c r="FE151" s="29"/>
      <c r="FF151" s="29"/>
      <c r="FG151" s="21" t="str">
        <f t="shared" ca="1" si="622"/>
        <v>TOMAR PTOG</v>
      </c>
      <c r="FH151" s="31"/>
      <c r="FI151" s="29" t="str">
        <f t="shared" si="623"/>
        <v>TOMAR EXAMEN</v>
      </c>
      <c r="FJ151" s="22" t="s">
        <v>867</v>
      </c>
      <c r="FK151" s="22">
        <v>44996</v>
      </c>
      <c r="FL151" s="29">
        <f t="shared" ca="1" si="624"/>
        <v>6.4285714285714288</v>
      </c>
      <c r="FM151" s="22"/>
      <c r="FN151" s="32"/>
      <c r="FO151" s="29" t="str">
        <f t="shared" ca="1" si="679"/>
        <v>PIERDE TOMA DE TAMIZAJE</v>
      </c>
      <c r="FP151" s="22"/>
      <c r="FQ151" s="32"/>
      <c r="FR151" s="29" t="str">
        <f t="shared" ca="1" si="680"/>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5"/>
        <v>TOMAR EXAMEN</v>
      </c>
      <c r="FY151" s="22" t="s">
        <v>868</v>
      </c>
      <c r="FZ151" s="22">
        <v>44996</v>
      </c>
      <c r="GA151" s="29">
        <f t="shared" ca="1" si="498"/>
        <v>6.4285714285714288</v>
      </c>
      <c r="GB151" s="22"/>
      <c r="GC151" s="22"/>
      <c r="GD151" s="29" t="str">
        <f t="shared" ca="1" si="681"/>
        <v>PIERDE TOMA DE TAMIZAJE</v>
      </c>
      <c r="GE151" s="22"/>
      <c r="GF151" s="22"/>
      <c r="GG151" s="29" t="str">
        <f t="shared" ca="1" si="682"/>
        <v>TOMA INMEDIATA DE TAMIZAJE</v>
      </c>
      <c r="GH151" s="22"/>
      <c r="GI151" s="29"/>
      <c r="GJ151" s="22"/>
      <c r="GK151" s="22"/>
      <c r="GL151" s="22"/>
      <c r="GM151" s="22"/>
      <c r="GN151" s="28" t="s">
        <v>869</v>
      </c>
      <c r="GO151" s="22">
        <v>44996</v>
      </c>
      <c r="GP151" s="29">
        <f t="shared" si="626"/>
        <v>6.4285714285714288</v>
      </c>
      <c r="GQ151" s="28" t="s">
        <v>869</v>
      </c>
      <c r="GR151" s="28" t="s">
        <v>869</v>
      </c>
      <c r="GS151" s="22" t="str">
        <f t="shared" si="627"/>
        <v>CONTROL Igm</v>
      </c>
      <c r="GT151" s="22">
        <v>44996</v>
      </c>
      <c r="GU151" s="29">
        <f t="shared" si="628"/>
        <v>6.4285714285714288</v>
      </c>
      <c r="GV151" s="21" t="str">
        <f t="shared" si="629"/>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30"/>
        <v>#REF!</v>
      </c>
      <c r="HI151" s="22" t="e">
        <f t="shared" ca="1" si="631"/>
        <v>#REF!</v>
      </c>
      <c r="HJ151" s="21" t="str">
        <f t="shared" ca="1" si="632"/>
        <v>**********************MULTIPARIDAD*****************</v>
      </c>
      <c r="HK151" s="21" t="str">
        <f t="shared" si="633"/>
        <v>SIN ANTECEDENTES DE RIESGO</v>
      </c>
      <c r="HL151" s="24" t="str">
        <f t="shared" si="634"/>
        <v>APARENTEMENTE NORMAL</v>
      </c>
      <c r="HM151" s="21" t="e">
        <f t="shared" ca="1" si="635"/>
        <v>#REF!</v>
      </c>
      <c r="HN151" s="30" t="str">
        <f t="shared" si="683"/>
        <v>ACTIVA INGRESO A CPN</v>
      </c>
      <c r="HO151" s="21"/>
      <c r="HP151" s="21"/>
      <c r="HQ151" s="349">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6"/>
        <v>PENDIENTE CONSULTA</v>
      </c>
      <c r="IA151" s="26"/>
      <c r="IB151" s="26"/>
      <c r="IC151" s="111"/>
      <c r="ID151" s="22"/>
      <c r="IE151" s="22" t="str">
        <f t="shared" ca="1" si="637"/>
        <v>INASISTENTE</v>
      </c>
      <c r="IF151" s="22"/>
      <c r="IG151" s="22">
        <f t="shared" si="638"/>
        <v>45231</v>
      </c>
      <c r="IH151" s="29">
        <f t="shared" ca="1" si="639"/>
        <v>-1</v>
      </c>
      <c r="II151" s="22" t="str">
        <f t="shared" ca="1" si="640"/>
        <v>POSIBLEMENTE NACIO</v>
      </c>
      <c r="IJ151" s="22"/>
      <c r="IK151" s="21"/>
      <c r="IL151" s="21"/>
      <c r="IM151" s="34"/>
      <c r="IN151" s="22"/>
      <c r="IO151" s="21"/>
      <c r="IP151" s="29" t="str">
        <f t="shared" si="674"/>
        <v/>
      </c>
      <c r="IQ151" s="35"/>
      <c r="IR151" s="21"/>
      <c r="IS151" s="21"/>
      <c r="IT151" s="21"/>
      <c r="IU151" s="21"/>
      <c r="IV151" s="21"/>
      <c r="IW151" s="21"/>
      <c r="IX151" s="21"/>
      <c r="IY151" s="21"/>
      <c r="IZ151" s="21"/>
      <c r="JA151" s="21"/>
      <c r="JB151" s="30"/>
      <c r="JC151" s="21"/>
      <c r="JD151" s="36"/>
      <c r="JE151" s="21" t="str">
        <f t="shared" si="684"/>
        <v/>
      </c>
      <c r="JF151" s="30"/>
      <c r="JG151" s="21"/>
      <c r="JH151" s="21"/>
      <c r="JI151" s="21"/>
      <c r="JJ151" s="30"/>
      <c r="JK151" s="22"/>
      <c r="JL151" s="22"/>
      <c r="JM151" s="21"/>
      <c r="JN151" s="36"/>
      <c r="JO151" s="21" t="str">
        <f t="shared" si="685"/>
        <v/>
      </c>
      <c r="JP151" s="22"/>
      <c r="JQ151" s="21"/>
      <c r="JR151" s="21"/>
      <c r="JS151" s="21"/>
      <c r="JT151" s="30"/>
      <c r="JU151" s="22"/>
      <c r="JV151" s="22"/>
      <c r="JW151" s="33"/>
      <c r="JX151" s="28" t="str">
        <f t="shared" si="686"/>
        <v/>
      </c>
      <c r="JY151" s="33"/>
      <c r="JZ151" s="28" t="str">
        <f t="shared" si="687"/>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41"/>
        <v>0</v>
      </c>
      <c r="MI151" s="43" t="str">
        <f t="shared" si="642"/>
        <v/>
      </c>
      <c r="MJ151" s="43" t="str">
        <f t="shared" si="643"/>
        <v/>
      </c>
      <c r="MK151" s="43">
        <f t="shared" si="644"/>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5"/>
        <v>6.4285714285714288</v>
      </c>
      <c r="MN151" s="43">
        <f t="shared" si="646"/>
        <v>3</v>
      </c>
      <c r="MO151" s="43">
        <f t="shared" si="647"/>
        <v>2023</v>
      </c>
      <c r="MP151" s="43" t="str">
        <f t="shared" si="648"/>
        <v>I TRIMESTRE AÑO</v>
      </c>
      <c r="MQ151" s="43">
        <f t="shared" si="649"/>
        <v>23.90221200175208</v>
      </c>
      <c r="MR151" s="43">
        <f t="shared" si="650"/>
        <v>0</v>
      </c>
      <c r="MS151" s="43" t="str">
        <f t="shared" si="651"/>
        <v xml:space="preserve"> DE 20 A 24 AÑOS</v>
      </c>
      <c r="MT151" s="43">
        <f t="shared" si="652"/>
        <v>0</v>
      </c>
      <c r="MU151" s="43">
        <f t="shared" si="653"/>
        <v>1</v>
      </c>
      <c r="MV151" s="43">
        <f t="shared" si="654"/>
        <v>0</v>
      </c>
      <c r="MW151" s="43">
        <f t="shared" si="655"/>
        <v>0</v>
      </c>
      <c r="MX151" s="43" t="str">
        <f t="shared" si="656"/>
        <v/>
      </c>
      <c r="MY151" s="43" t="str">
        <f t="shared" ca="1" si="688"/>
        <v/>
      </c>
      <c r="MZ151" s="43" t="str">
        <f t="shared" si="657"/>
        <v/>
      </c>
      <c r="NA151" s="43" t="str">
        <f t="shared" si="658"/>
        <v/>
      </c>
      <c r="NB151" s="43" t="str">
        <f t="shared" si="659"/>
        <v/>
      </c>
      <c r="NC151" s="43" t="str">
        <f t="shared" si="660"/>
        <v/>
      </c>
      <c r="ND151" s="43">
        <f t="shared" ca="1" si="661"/>
        <v>1</v>
      </c>
      <c r="NE151" s="43">
        <f>IF(OR(O151&gt;0,R151&gt;0),SUM(COUNTIF(Tabla1[[#This Row],[AÑOS AL INICIO5 CPN]],"&gt;=40"),COUNTIF(AS151,"0"),COUNTIF(AR151,"SI"),COUNTIF(CC151,"SI"),COUNTIF(BQ151,"&gt;119"),COUNTIF(CI151,"&gt;=35")),"")</f>
        <v>1</v>
      </c>
      <c r="NF151" s="43" t="str">
        <f t="shared" si="662"/>
        <v/>
      </c>
      <c r="NG151" s="43">
        <f t="shared" si="663"/>
        <v>0</v>
      </c>
      <c r="NH151" s="43" t="str">
        <f t="shared" si="664"/>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5"/>
        <v>-51</v>
      </c>
      <c r="NM151" s="43" t="str">
        <f t="shared" si="501"/>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6"/>
        <v>I TRIM</v>
      </c>
      <c r="NQ151" s="21" t="str">
        <f t="shared" si="691"/>
        <v/>
      </c>
      <c r="NR151" s="21">
        <f t="shared" ca="1" si="689"/>
        <v>3</v>
      </c>
      <c r="NS151" s="205">
        <f t="shared" ca="1" si="667"/>
        <v>1</v>
      </c>
      <c r="NT151" s="21">
        <f t="shared" ca="1" si="668"/>
        <v>1</v>
      </c>
      <c r="NU151" s="21" t="str">
        <f t="shared" ca="1" si="669"/>
        <v>INCOMPLETO</v>
      </c>
      <c r="NV151" s="21" t="str">
        <f t="shared" ca="1" si="670"/>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71"/>
        <v>SIN VACUNAR</v>
      </c>
      <c r="NY151" s="43">
        <f>ROW(Tabla1[[#This Row],['# DE TAMIZAJES SIFILIS TOMADOS ]])</f>
        <v>151</v>
      </c>
      <c r="NZ151" s="43" t="str">
        <f t="shared" si="502"/>
        <v>Menor</v>
      </c>
      <c r="OA151" s="43" t="str">
        <f t="shared" si="503"/>
        <v>SOBREPESO</v>
      </c>
      <c r="OB151" s="43" t="str">
        <f t="shared" si="504"/>
        <v/>
      </c>
      <c r="OC151" s="43" t="str">
        <f t="shared" si="505"/>
        <v/>
      </c>
      <c r="OD151" s="43" t="str">
        <f t="shared" si="506"/>
        <v/>
      </c>
      <c r="OE151" s="43" t="str">
        <f t="shared" si="507"/>
        <v/>
      </c>
      <c r="OF151" s="43" t="str">
        <f t="shared" si="508"/>
        <v/>
      </c>
      <c r="OG151" s="43" t="str">
        <f t="shared" si="509"/>
        <v/>
      </c>
      <c r="OH151" s="43" t="str">
        <f t="shared" si="510"/>
        <v/>
      </c>
      <c r="OI151" s="43" t="str">
        <f t="shared" si="511"/>
        <v/>
      </c>
      <c r="OJ151" s="43" t="str">
        <f t="shared" si="512"/>
        <v/>
      </c>
      <c r="OK151" s="43" t="str">
        <f t="shared" si="513"/>
        <v/>
      </c>
      <c r="OL151" s="43" t="str">
        <f t="shared" si="514"/>
        <v/>
      </c>
      <c r="OM151" s="43" t="str">
        <f t="shared" si="515"/>
        <v/>
      </c>
      <c r="ON151" s="43" t="str">
        <f t="shared" si="516"/>
        <v/>
      </c>
      <c r="OO151" s="43" t="str">
        <f t="shared" si="517"/>
        <v/>
      </c>
      <c r="OP151" s="43" t="str">
        <f t="shared" si="518"/>
        <v/>
      </c>
      <c r="OQ151" s="43" t="str">
        <f t="shared" si="519"/>
        <v/>
      </c>
      <c r="OR151" s="43" t="str">
        <f t="shared" si="520"/>
        <v/>
      </c>
      <c r="OS151" s="43" t="str">
        <f t="shared" si="521"/>
        <v/>
      </c>
      <c r="OT151" s="43" t="str">
        <f t="shared" si="522"/>
        <v/>
      </c>
      <c r="OU151" s="43" t="str">
        <f t="shared" si="523"/>
        <v/>
      </c>
      <c r="OV151" s="110" t="str">
        <f t="shared" si="524"/>
        <v/>
      </c>
      <c r="OW151" s="43" t="str">
        <f t="shared" si="525"/>
        <v/>
      </c>
      <c r="OX151" s="43" t="str">
        <f t="shared" si="526"/>
        <v/>
      </c>
      <c r="OY151" s="43" t="str">
        <f t="shared" si="527"/>
        <v/>
      </c>
      <c r="OZ151" s="43" t="str">
        <f t="shared" si="528"/>
        <v/>
      </c>
      <c r="PA151" s="43" t="str">
        <f t="shared" si="529"/>
        <v/>
      </c>
      <c r="PB151" s="43" t="str">
        <f t="shared" si="530"/>
        <v/>
      </c>
      <c r="PC151" s="43" t="str">
        <f t="shared" si="531"/>
        <v/>
      </c>
      <c r="PD151" s="43" t="str">
        <f t="shared" si="532"/>
        <v/>
      </c>
      <c r="PE151" s="43" t="str">
        <f t="shared" si="533"/>
        <v/>
      </c>
      <c r="PF151" s="43" t="str">
        <f t="shared" si="534"/>
        <v/>
      </c>
      <c r="PG151" s="43" t="str">
        <f t="shared" si="535"/>
        <v/>
      </c>
      <c r="PH151" s="43" t="str">
        <f t="shared" si="536"/>
        <v/>
      </c>
      <c r="PI151" s="43">
        <f t="shared" si="537"/>
        <v>26</v>
      </c>
      <c r="PJ151" s="43" t="str">
        <f t="shared" si="538"/>
        <v/>
      </c>
      <c r="PK151" s="43" t="str">
        <f t="shared" si="539"/>
        <v/>
      </c>
      <c r="PL151" s="43" t="str">
        <f t="shared" si="540"/>
        <v/>
      </c>
      <c r="PM151" s="43" t="str">
        <f t="shared" si="541"/>
        <v/>
      </c>
      <c r="PN151" s="43" t="str">
        <f t="shared" si="542"/>
        <v/>
      </c>
      <c r="PO151" s="43" t="str">
        <f t="shared" si="543"/>
        <v/>
      </c>
      <c r="PP151" s="43" t="str">
        <f t="shared" si="544"/>
        <v/>
      </c>
      <c r="PQ151" s="43" t="str">
        <f t="shared" si="545"/>
        <v/>
      </c>
      <c r="PR151" s="43" t="str">
        <f t="shared" si="546"/>
        <v/>
      </c>
      <c r="PS151" s="43" t="str">
        <f t="shared" si="547"/>
        <v/>
      </c>
      <c r="PT151" s="43" t="str">
        <f t="shared" si="548"/>
        <v/>
      </c>
      <c r="PU151" s="43" t="str">
        <f t="shared" si="549"/>
        <v/>
      </c>
      <c r="PV151" s="43" t="str">
        <f t="shared" si="550"/>
        <v/>
      </c>
      <c r="PW151" s="43" t="str">
        <f t="shared" si="551"/>
        <v/>
      </c>
      <c r="PX151" s="43" t="str">
        <f t="shared" si="552"/>
        <v/>
      </c>
      <c r="PY151" s="43" t="str">
        <f t="shared" si="553"/>
        <v/>
      </c>
      <c r="PZ151" s="43" t="str">
        <f t="shared" si="554"/>
        <v/>
      </c>
      <c r="QA151" s="43" t="str">
        <f t="shared" si="555"/>
        <v>SOBREPESO</v>
      </c>
      <c r="QB151" s="43" t="str">
        <f t="shared" si="556"/>
        <v/>
      </c>
      <c r="QC151" s="43" t="str">
        <f t="shared" si="557"/>
        <v/>
      </c>
      <c r="QD151" s="43" t="str">
        <f t="shared" si="558"/>
        <v/>
      </c>
      <c r="QE151" s="43" t="str">
        <f t="shared" si="559"/>
        <v/>
      </c>
      <c r="QF151" s="43" t="str">
        <f t="shared" si="560"/>
        <v/>
      </c>
      <c r="QG151" s="43" t="str">
        <f t="shared" si="561"/>
        <v/>
      </c>
      <c r="QH151" s="43" t="str">
        <f t="shared" si="562"/>
        <v/>
      </c>
      <c r="QI151" s="43" t="str">
        <f t="shared" si="563"/>
        <v/>
      </c>
      <c r="QJ151" s="43" t="str">
        <f t="shared" si="564"/>
        <v/>
      </c>
      <c r="QK151" s="43" t="str">
        <f t="shared" si="565"/>
        <v/>
      </c>
      <c r="QL151" s="43" t="str">
        <f t="shared" si="566"/>
        <v/>
      </c>
      <c r="QM151" s="43" t="str">
        <f t="shared" si="567"/>
        <v/>
      </c>
      <c r="QN151" s="43" t="str">
        <f t="shared" si="568"/>
        <v/>
      </c>
      <c r="QO151" s="43" t="str">
        <f t="shared" si="569"/>
        <v/>
      </c>
      <c r="QP151" s="43" t="str">
        <f t="shared" si="570"/>
        <v/>
      </c>
      <c r="QQ151" s="43" t="str">
        <f t="shared" si="571"/>
        <v/>
      </c>
      <c r="QR151" s="43">
        <f t="shared" si="672"/>
        <v>26</v>
      </c>
      <c r="QS151" s="43"/>
      <c r="QT151" s="21" t="str">
        <f t="shared" si="572"/>
        <v/>
      </c>
      <c r="QU151" s="21" t="str">
        <f t="shared" si="573"/>
        <v/>
      </c>
      <c r="QV151" s="21" t="str">
        <f t="shared" si="574"/>
        <v/>
      </c>
      <c r="QW151" s="21" t="str">
        <f t="shared" si="575"/>
        <v/>
      </c>
      <c r="QX151" s="21" t="str">
        <f t="shared" si="576"/>
        <v/>
      </c>
      <c r="QY151" s="21" t="str">
        <f t="shared" si="577"/>
        <v/>
      </c>
      <c r="QZ151" s="21" t="str">
        <f t="shared" si="578"/>
        <v/>
      </c>
      <c r="RA151" s="21" t="str">
        <f t="shared" si="579"/>
        <v/>
      </c>
      <c r="RB151" s="21" t="str">
        <f t="shared" si="580"/>
        <v/>
      </c>
      <c r="RC151" s="21" t="str">
        <f t="shared" si="581"/>
        <v/>
      </c>
      <c r="RD151" s="21" t="str">
        <f t="shared" si="582"/>
        <v/>
      </c>
      <c r="RE151" s="21" t="str">
        <f t="shared" si="583"/>
        <v/>
      </c>
      <c r="RF151" s="21" t="str">
        <f t="shared" si="584"/>
        <v/>
      </c>
      <c r="RG151" s="21" t="str">
        <f t="shared" si="585"/>
        <v>ADECUADO PARA EDAD GESTACIONAL</v>
      </c>
      <c r="RH151" s="21" t="str">
        <f t="shared" si="586"/>
        <v/>
      </c>
      <c r="RI151" s="21" t="str">
        <f t="shared" si="587"/>
        <v/>
      </c>
      <c r="RJ151" s="21" t="str">
        <f t="shared" si="588"/>
        <v/>
      </c>
      <c r="RK151" s="21" t="str">
        <f t="shared" si="589"/>
        <v/>
      </c>
      <c r="RL151" s="21" t="str">
        <f t="shared" si="590"/>
        <v/>
      </c>
      <c r="RM151" s="21" t="str">
        <f t="shared" si="591"/>
        <v/>
      </c>
      <c r="RN151" s="21" t="str">
        <f t="shared" si="592"/>
        <v/>
      </c>
      <c r="RO151" s="21" t="str">
        <f t="shared" si="593"/>
        <v/>
      </c>
      <c r="RP151" s="21" t="str">
        <f t="shared" si="594"/>
        <v/>
      </c>
      <c r="RQ151" s="21" t="str">
        <f t="shared" si="595"/>
        <v/>
      </c>
      <c r="RR151" s="21" t="str">
        <f t="shared" si="596"/>
        <v/>
      </c>
      <c r="RS151" s="21" t="str">
        <f t="shared" si="597"/>
        <v/>
      </c>
      <c r="RT151" s="21" t="str">
        <f t="shared" si="598"/>
        <v/>
      </c>
      <c r="RU151" s="21" t="str">
        <f t="shared" si="599"/>
        <v/>
      </c>
      <c r="RV151" s="21">
        <f t="shared" si="600"/>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3"/>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1"/>
        <v>30.602739726027398</v>
      </c>
      <c r="O152" s="22">
        <v>44999</v>
      </c>
      <c r="P152" s="214" t="str">
        <f t="shared" si="675"/>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2"/>
        <v>125.83333333333333</v>
      </c>
      <c r="BR152" s="223">
        <f t="shared" si="603"/>
        <v>44954.5</v>
      </c>
      <c r="BS152" s="224">
        <f t="shared" si="604"/>
        <v>7</v>
      </c>
      <c r="BT152" s="216" t="str">
        <f t="shared" si="605"/>
        <v>I TRIM</v>
      </c>
      <c r="BU152" s="214">
        <f t="shared" ca="1" si="606"/>
        <v>40.285714285714285</v>
      </c>
      <c r="BV152" s="25" t="s">
        <v>1525</v>
      </c>
      <c r="BW152" s="22">
        <v>45035</v>
      </c>
      <c r="BX152" s="28">
        <v>11.5</v>
      </c>
      <c r="BY152" s="28"/>
      <c r="BZ152" s="22"/>
      <c r="CA152" s="21"/>
      <c r="CB152" s="26"/>
      <c r="CC152" s="26"/>
      <c r="CD152" s="26"/>
      <c r="CE152" s="26"/>
      <c r="CF152" s="22" t="s">
        <v>1517</v>
      </c>
      <c r="CG152" s="21">
        <v>1.57</v>
      </c>
      <c r="CH152" s="21">
        <v>87.5</v>
      </c>
      <c r="CI152" s="214">
        <f t="shared" si="607"/>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8"/>
        <v>45143</v>
      </c>
      <c r="CL152" s="21">
        <v>84</v>
      </c>
      <c r="CM152" s="214">
        <f t="shared" si="609"/>
        <v>34.078461600876302</v>
      </c>
      <c r="CN152" s="216">
        <f t="shared" si="610"/>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90"/>
        <v/>
      </c>
      <c r="DA152" s="21">
        <v>90</v>
      </c>
      <c r="DB152" s="21">
        <v>60</v>
      </c>
      <c r="DC152" s="217" t="str">
        <f t="shared" si="611"/>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6"/>
        <v>CONCERTAR PLAN DE PARTO INMEDIATO</v>
      </c>
      <c r="DV152" s="226" t="str">
        <f t="shared" si="677"/>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2"/>
        <v>#REF!</v>
      </c>
      <c r="DY152" s="212">
        <f>IF(R152="","",IF(R152&gt;0,MAX(Tabla1[[#This Row],[FECHA C2]:[FECHA C13]],Tabla1[[#This Row],[FECHA CONSULTA PRIMERA VEZ PROGRAMA CPN ]])))</f>
        <v>45143</v>
      </c>
      <c r="DZ152" s="216">
        <f t="shared" si="613"/>
        <v>27</v>
      </c>
      <c r="EA152" s="222">
        <f>IF(R152&gt;0,SUM(COUNTA(DF152:DQ152)+COUNTA(Tabla1[[#This Row],[FECHA CONSULTA PRIMERA VEZ PROGRAMA CPN ]])),"")</f>
        <v>4</v>
      </c>
      <c r="EB152" s="222" t="str">
        <f t="shared" si="614"/>
        <v>SI</v>
      </c>
      <c r="EC152" s="214">
        <f t="shared" si="615"/>
        <v>10</v>
      </c>
      <c r="ED152" s="227">
        <f t="shared" si="616"/>
        <v>0.4</v>
      </c>
      <c r="EE152" s="22">
        <v>44999</v>
      </c>
      <c r="EF152" s="22">
        <v>44999</v>
      </c>
      <c r="EG152" s="22">
        <v>44999</v>
      </c>
      <c r="EH152" s="22">
        <v>45019</v>
      </c>
      <c r="EI152" s="22">
        <v>44999</v>
      </c>
      <c r="EJ152" s="22">
        <v>45043</v>
      </c>
      <c r="EK152" s="22">
        <v>45043</v>
      </c>
      <c r="EL152" s="21"/>
      <c r="EM152" s="21">
        <v>14.3</v>
      </c>
      <c r="EN152" s="22">
        <v>45020</v>
      </c>
      <c r="EO152" s="222">
        <f t="shared" si="617"/>
        <v>10</v>
      </c>
      <c r="EP152" s="214" t="str">
        <f t="shared" si="618"/>
        <v>NO DAR SULFATO FERROSO</v>
      </c>
      <c r="EQ152" s="216" t="str">
        <f t="shared" si="619"/>
        <v>I TRIM</v>
      </c>
      <c r="ER152" s="24"/>
      <c r="ES152" s="22"/>
      <c r="ET152" s="29" t="str">
        <f t="shared" ca="1" si="678"/>
        <v>TOMA DE HEMOGLOBINA TARDÍA</v>
      </c>
      <c r="EU152" s="25" t="str">
        <f t="shared" si="620"/>
        <v/>
      </c>
      <c r="EV152" s="24"/>
      <c r="EW152" s="24"/>
      <c r="EX152" s="22"/>
      <c r="EY152" s="29" t="str">
        <f t="shared" si="454"/>
        <v>TOMAR EXAMEN</v>
      </c>
      <c r="EZ152" s="25" t="str">
        <f t="shared" ca="1" si="455"/>
        <v/>
      </c>
      <c r="FA152" s="21">
        <v>81</v>
      </c>
      <c r="FB152" s="22">
        <v>45020</v>
      </c>
      <c r="FC152" s="29">
        <f t="shared" si="621"/>
        <v>10</v>
      </c>
      <c r="FD152" s="29"/>
      <c r="FE152" s="29"/>
      <c r="FF152" s="29"/>
      <c r="FG152" s="21" t="str">
        <f t="shared" ca="1" si="622"/>
        <v>TOMAR PTOG</v>
      </c>
      <c r="FH152" s="31"/>
      <c r="FI152" s="29" t="str">
        <f t="shared" si="623"/>
        <v>TOMAR EXAMEN</v>
      </c>
      <c r="FJ152" s="22" t="s">
        <v>867</v>
      </c>
      <c r="FK152" s="22">
        <v>45020</v>
      </c>
      <c r="FL152" s="29">
        <f t="shared" ca="1" si="624"/>
        <v>10</v>
      </c>
      <c r="FM152" s="22"/>
      <c r="FN152" s="32"/>
      <c r="FO152" s="29" t="str">
        <f t="shared" ca="1" si="679"/>
        <v>PIERDE TOMA DE TAMIZAJE</v>
      </c>
      <c r="FP152" s="22"/>
      <c r="FQ152" s="32"/>
      <c r="FR152" s="29" t="str">
        <f t="shared" ca="1" si="680"/>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5"/>
        <v>TOMAR EXAMEN</v>
      </c>
      <c r="FY152" s="22">
        <v>44999</v>
      </c>
      <c r="FZ152" s="22">
        <v>44999</v>
      </c>
      <c r="GA152" s="29">
        <f t="shared" ca="1" si="498"/>
        <v>7</v>
      </c>
      <c r="GB152" s="22"/>
      <c r="GC152" s="22"/>
      <c r="GD152" s="29" t="str">
        <f t="shared" ca="1" si="681"/>
        <v>PIERDE TOMA DE TAMIZAJE</v>
      </c>
      <c r="GE152" s="22"/>
      <c r="GF152" s="22"/>
      <c r="GG152" s="29" t="str">
        <f t="shared" ca="1" si="682"/>
        <v>TOMA INMEDIATA DE TAMIZAJE</v>
      </c>
      <c r="GH152" s="22"/>
      <c r="GI152" s="29"/>
      <c r="GJ152" s="22"/>
      <c r="GK152" s="22"/>
      <c r="GL152" s="22"/>
      <c r="GM152" s="22"/>
      <c r="GN152" s="28" t="s">
        <v>869</v>
      </c>
      <c r="GO152" s="22">
        <v>45020</v>
      </c>
      <c r="GP152" s="29">
        <f t="shared" si="626"/>
        <v>10</v>
      </c>
      <c r="GQ152" s="28"/>
      <c r="GR152" s="28" t="s">
        <v>869</v>
      </c>
      <c r="GS152" s="22" t="str">
        <f t="shared" si="627"/>
        <v/>
      </c>
      <c r="GT152" s="22">
        <v>45020</v>
      </c>
      <c r="GU152" s="29">
        <f t="shared" si="628"/>
        <v>10</v>
      </c>
      <c r="GV152" s="21" t="str">
        <f t="shared" si="629"/>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30"/>
        <v>#REF!</v>
      </c>
      <c r="HI152" s="22" t="str">
        <f t="shared" si="631"/>
        <v>ALTO RIESGO</v>
      </c>
      <c r="HJ152" s="21" t="str">
        <f t="shared" ca="1" si="632"/>
        <v>***************************************</v>
      </c>
      <c r="HK152" s="21" t="str">
        <f t="shared" si="633"/>
        <v>RIESGO MODERADO (2 O MAS CRITERIOS) VER MANEJO GUIA SUMINISTRO ASA Y CALCIO</v>
      </c>
      <c r="HL152" s="24" t="str">
        <f t="shared" si="634"/>
        <v>APARENTEMENTE NORMAL</v>
      </c>
      <c r="HM152" s="21" t="e">
        <f t="shared" ca="1" si="635"/>
        <v>#REF!</v>
      </c>
      <c r="HN152" s="30" t="str">
        <f t="shared" si="683"/>
        <v>ACTIVA INGRESO A CPN</v>
      </c>
      <c r="HO152" s="21"/>
      <c r="HP152" s="21"/>
      <c r="HQ152" s="349"/>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6"/>
        <v>7</v>
      </c>
      <c r="IA152" s="26"/>
      <c r="IB152" s="26"/>
      <c r="IC152" s="111"/>
      <c r="ID152" s="22"/>
      <c r="IE152" s="22" t="str">
        <f t="shared" ca="1" si="637"/>
        <v>INASISTENTE</v>
      </c>
      <c r="IF152" s="22"/>
      <c r="IG152" s="22">
        <f t="shared" si="638"/>
        <v>45230</v>
      </c>
      <c r="IH152" s="29">
        <f t="shared" ca="1" si="639"/>
        <v>-2</v>
      </c>
      <c r="II152" s="22" t="str">
        <f t="shared" ca="1" si="640"/>
        <v>POSIBLEMENTE NACIO</v>
      </c>
      <c r="IJ152" s="22"/>
      <c r="IK152" s="21"/>
      <c r="IL152" s="21"/>
      <c r="IM152" s="34"/>
      <c r="IN152" s="22"/>
      <c r="IO152" s="21"/>
      <c r="IP152" s="29" t="str">
        <f t="shared" si="674"/>
        <v/>
      </c>
      <c r="IQ152" s="35"/>
      <c r="IR152" s="21"/>
      <c r="IS152" s="21"/>
      <c r="IT152" s="21"/>
      <c r="IU152" s="21"/>
      <c r="IV152" s="21"/>
      <c r="IW152" s="21"/>
      <c r="IX152" s="21"/>
      <c r="IY152" s="21"/>
      <c r="IZ152" s="21"/>
      <c r="JA152" s="21"/>
      <c r="JB152" s="30"/>
      <c r="JC152" s="21"/>
      <c r="JD152" s="36"/>
      <c r="JE152" s="21" t="str">
        <f t="shared" si="684"/>
        <v/>
      </c>
      <c r="JF152" s="30"/>
      <c r="JG152" s="21"/>
      <c r="JH152" s="21"/>
      <c r="JI152" s="21"/>
      <c r="JJ152" s="30"/>
      <c r="JK152" s="22"/>
      <c r="JL152" s="22"/>
      <c r="JM152" s="21"/>
      <c r="JN152" s="36"/>
      <c r="JO152" s="21" t="str">
        <f t="shared" si="685"/>
        <v/>
      </c>
      <c r="JP152" s="22"/>
      <c r="JQ152" s="21"/>
      <c r="JR152" s="21"/>
      <c r="JS152" s="21"/>
      <c r="JT152" s="30"/>
      <c r="JU152" s="22"/>
      <c r="JV152" s="22"/>
      <c r="JW152" s="33"/>
      <c r="JX152" s="28" t="str">
        <f t="shared" si="686"/>
        <v/>
      </c>
      <c r="JY152" s="33"/>
      <c r="JZ152" s="28" t="str">
        <f t="shared" si="687"/>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41"/>
        <v>0</v>
      </c>
      <c r="MI152" s="43" t="str">
        <f t="shared" si="642"/>
        <v/>
      </c>
      <c r="MJ152" s="43" t="str">
        <f t="shared" si="643"/>
        <v/>
      </c>
      <c r="MK152" s="43">
        <f t="shared" si="644"/>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5"/>
        <v>7</v>
      </c>
      <c r="MN152" s="43">
        <f t="shared" si="646"/>
        <v>3</v>
      </c>
      <c r="MO152" s="43">
        <f t="shared" si="647"/>
        <v>2023</v>
      </c>
      <c r="MP152" s="43" t="str">
        <f t="shared" si="648"/>
        <v>I TRIMESTRE AÑO</v>
      </c>
      <c r="MQ152" s="43">
        <f t="shared" si="649"/>
        <v>29.514345159877351</v>
      </c>
      <c r="MR152" s="43">
        <f t="shared" si="650"/>
        <v>0</v>
      </c>
      <c r="MS152" s="43" t="str">
        <f t="shared" si="651"/>
        <v xml:space="preserve"> DE 25 A 29 AÑOS</v>
      </c>
      <c r="MT152" s="43">
        <f t="shared" si="652"/>
        <v>0</v>
      </c>
      <c r="MU152" s="43">
        <f t="shared" si="653"/>
        <v>0</v>
      </c>
      <c r="MV152" s="43">
        <f t="shared" si="654"/>
        <v>0</v>
      </c>
      <c r="MW152" s="43">
        <f t="shared" si="655"/>
        <v>0</v>
      </c>
      <c r="MX152" s="43" t="str">
        <f t="shared" si="656"/>
        <v/>
      </c>
      <c r="MY152" s="43" t="str">
        <f t="shared" ca="1" si="688"/>
        <v/>
      </c>
      <c r="MZ152" s="43" t="str">
        <f t="shared" si="657"/>
        <v/>
      </c>
      <c r="NA152" s="43" t="str">
        <f t="shared" si="658"/>
        <v/>
      </c>
      <c r="NB152" s="43" t="str">
        <f t="shared" si="659"/>
        <v/>
      </c>
      <c r="NC152" s="43" t="str">
        <f t="shared" si="660"/>
        <v/>
      </c>
      <c r="ND152" s="43">
        <f t="shared" ca="1" si="661"/>
        <v>0</v>
      </c>
      <c r="NE152" s="43">
        <f>IF(OR(O152&gt;0,R152&gt;0),SUM(COUNTIF(Tabla1[[#This Row],[AÑOS AL INICIO5 CPN]],"&gt;=40"),COUNTIF(AS152,"0"),COUNTIF(AR152,"SI"),COUNTIF(CC152,"SI"),COUNTIF(BQ152,"&gt;119"),COUNTIF(CI152,"&gt;=35")),"")</f>
        <v>2</v>
      </c>
      <c r="NF152" s="43" t="str">
        <f t="shared" si="662"/>
        <v/>
      </c>
      <c r="NG152" s="43">
        <f t="shared" si="663"/>
        <v>0</v>
      </c>
      <c r="NH152" s="43">
        <f t="shared" si="664"/>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5"/>
        <v>44</v>
      </c>
      <c r="NM152" s="43" t="str">
        <f t="shared" si="501"/>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6"/>
        <v>I TRIM</v>
      </c>
      <c r="NQ152" s="21" t="str">
        <f t="shared" si="691"/>
        <v/>
      </c>
      <c r="NR152" s="21">
        <f t="shared" ca="1" si="689"/>
        <v>3</v>
      </c>
      <c r="NS152" s="205">
        <f t="shared" ca="1" si="667"/>
        <v>1</v>
      </c>
      <c r="NT152" s="21">
        <f t="shared" ca="1" si="668"/>
        <v>1</v>
      </c>
      <c r="NU152" s="21" t="str">
        <f t="shared" ca="1" si="669"/>
        <v>INCOMPLETO</v>
      </c>
      <c r="NV152" s="21" t="str">
        <f t="shared" ca="1" si="670"/>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71"/>
        <v>SIN VACUNAR</v>
      </c>
      <c r="NY152" s="43">
        <f>ROW(Tabla1[[#This Row],['# DE TAMIZAJES SIFILIS TOMADOS ]])</f>
        <v>152</v>
      </c>
      <c r="NZ152" s="43" t="str">
        <f t="shared" si="502"/>
        <v>Menor</v>
      </c>
      <c r="OA152" s="43" t="str">
        <f t="shared" si="503"/>
        <v>OBESIDAD</v>
      </c>
      <c r="OB152" s="43" t="str">
        <f t="shared" si="504"/>
        <v/>
      </c>
      <c r="OC152" s="43" t="str">
        <f t="shared" si="505"/>
        <v/>
      </c>
      <c r="OD152" s="43" t="str">
        <f t="shared" si="506"/>
        <v/>
      </c>
      <c r="OE152" s="43" t="str">
        <f t="shared" si="507"/>
        <v/>
      </c>
      <c r="OF152" s="43" t="str">
        <f t="shared" si="508"/>
        <v/>
      </c>
      <c r="OG152" s="43" t="str">
        <f t="shared" si="509"/>
        <v/>
      </c>
      <c r="OH152" s="43" t="str">
        <f t="shared" si="510"/>
        <v/>
      </c>
      <c r="OI152" s="43" t="str">
        <f t="shared" si="511"/>
        <v/>
      </c>
      <c r="OJ152" s="43" t="str">
        <f t="shared" si="512"/>
        <v/>
      </c>
      <c r="OK152" s="43" t="str">
        <f t="shared" si="513"/>
        <v/>
      </c>
      <c r="OL152" s="43" t="str">
        <f t="shared" si="514"/>
        <v/>
      </c>
      <c r="OM152" s="43" t="str">
        <f t="shared" si="515"/>
        <v/>
      </c>
      <c r="ON152" s="43" t="str">
        <f t="shared" si="516"/>
        <v/>
      </c>
      <c r="OO152" s="43" t="str">
        <f t="shared" si="517"/>
        <v/>
      </c>
      <c r="OP152" s="43" t="str">
        <f t="shared" si="518"/>
        <v/>
      </c>
      <c r="OQ152" s="43" t="str">
        <f t="shared" si="519"/>
        <v/>
      </c>
      <c r="OR152" s="43" t="str">
        <f t="shared" si="520"/>
        <v/>
      </c>
      <c r="OS152" s="43" t="str">
        <f t="shared" si="521"/>
        <v/>
      </c>
      <c r="OT152" s="43" t="str">
        <f t="shared" si="522"/>
        <v/>
      </c>
      <c r="OU152" s="43" t="str">
        <f t="shared" si="523"/>
        <v/>
      </c>
      <c r="OV152" s="110" t="str">
        <f t="shared" si="524"/>
        <v/>
      </c>
      <c r="OW152" s="43" t="str">
        <f t="shared" si="525"/>
        <v/>
      </c>
      <c r="OX152" s="43" t="str">
        <f t="shared" si="526"/>
        <v/>
      </c>
      <c r="OY152" s="43" t="str">
        <f t="shared" si="527"/>
        <v/>
      </c>
      <c r="OZ152" s="43" t="str">
        <f t="shared" si="528"/>
        <v/>
      </c>
      <c r="PA152" s="43" t="str">
        <f t="shared" si="529"/>
        <v/>
      </c>
      <c r="PB152" s="43" t="str">
        <f t="shared" si="530"/>
        <v/>
      </c>
      <c r="PC152" s="43" t="str">
        <f t="shared" si="531"/>
        <v/>
      </c>
      <c r="PD152" s="43" t="str">
        <f t="shared" si="532"/>
        <v/>
      </c>
      <c r="PE152" s="43" t="str">
        <f t="shared" si="533"/>
        <v/>
      </c>
      <c r="PF152" s="43" t="str">
        <f t="shared" si="534"/>
        <v/>
      </c>
      <c r="PG152" s="43" t="str">
        <f t="shared" si="535"/>
        <v/>
      </c>
      <c r="PH152" s="43" t="str">
        <f t="shared" si="536"/>
        <v/>
      </c>
      <c r="PI152" s="43">
        <f t="shared" si="537"/>
        <v>27</v>
      </c>
      <c r="PJ152" s="43" t="str">
        <f t="shared" si="538"/>
        <v/>
      </c>
      <c r="PK152" s="43" t="str">
        <f t="shared" si="539"/>
        <v/>
      </c>
      <c r="PL152" s="43" t="str">
        <f t="shared" si="540"/>
        <v/>
      </c>
      <c r="PM152" s="43" t="str">
        <f t="shared" si="541"/>
        <v/>
      </c>
      <c r="PN152" s="43" t="str">
        <f t="shared" si="542"/>
        <v/>
      </c>
      <c r="PO152" s="43" t="str">
        <f t="shared" si="543"/>
        <v/>
      </c>
      <c r="PP152" s="43" t="str">
        <f t="shared" si="544"/>
        <v/>
      </c>
      <c r="PQ152" s="43" t="str">
        <f t="shared" si="545"/>
        <v/>
      </c>
      <c r="PR152" s="43" t="str">
        <f t="shared" si="546"/>
        <v/>
      </c>
      <c r="PS152" s="43" t="str">
        <f t="shared" si="547"/>
        <v/>
      </c>
      <c r="PT152" s="43" t="str">
        <f t="shared" si="548"/>
        <v/>
      </c>
      <c r="PU152" s="43" t="str">
        <f t="shared" si="549"/>
        <v/>
      </c>
      <c r="PV152" s="43" t="str">
        <f t="shared" si="550"/>
        <v/>
      </c>
      <c r="PW152" s="43" t="str">
        <f t="shared" si="551"/>
        <v/>
      </c>
      <c r="PX152" s="43" t="str">
        <f t="shared" si="552"/>
        <v/>
      </c>
      <c r="PY152" s="43" t="str">
        <f t="shared" si="553"/>
        <v/>
      </c>
      <c r="PZ152" s="43" t="str">
        <f t="shared" si="554"/>
        <v/>
      </c>
      <c r="QA152" s="43" t="str">
        <f t="shared" si="555"/>
        <v/>
      </c>
      <c r="QB152" s="43" t="str">
        <f t="shared" si="556"/>
        <v>OBESIDAD</v>
      </c>
      <c r="QC152" s="43" t="str">
        <f t="shared" si="557"/>
        <v/>
      </c>
      <c r="QD152" s="43" t="str">
        <f t="shared" si="558"/>
        <v/>
      </c>
      <c r="QE152" s="43" t="str">
        <f t="shared" si="559"/>
        <v/>
      </c>
      <c r="QF152" s="43" t="str">
        <f t="shared" si="560"/>
        <v/>
      </c>
      <c r="QG152" s="43" t="str">
        <f t="shared" si="561"/>
        <v/>
      </c>
      <c r="QH152" s="43" t="str">
        <f t="shared" si="562"/>
        <v/>
      </c>
      <c r="QI152" s="43" t="str">
        <f t="shared" si="563"/>
        <v/>
      </c>
      <c r="QJ152" s="43" t="str">
        <f t="shared" si="564"/>
        <v/>
      </c>
      <c r="QK152" s="43" t="str">
        <f t="shared" si="565"/>
        <v/>
      </c>
      <c r="QL152" s="43" t="str">
        <f t="shared" si="566"/>
        <v/>
      </c>
      <c r="QM152" s="43" t="str">
        <f t="shared" si="567"/>
        <v/>
      </c>
      <c r="QN152" s="43" t="str">
        <f t="shared" si="568"/>
        <v/>
      </c>
      <c r="QO152" s="43" t="str">
        <f t="shared" si="569"/>
        <v/>
      </c>
      <c r="QP152" s="43" t="str">
        <f t="shared" si="570"/>
        <v/>
      </c>
      <c r="QQ152" s="43" t="str">
        <f t="shared" si="571"/>
        <v/>
      </c>
      <c r="QR152" s="43">
        <f t="shared" si="672"/>
        <v>27</v>
      </c>
      <c r="QS152" s="43"/>
      <c r="QT152" s="21" t="str">
        <f t="shared" si="572"/>
        <v/>
      </c>
      <c r="QU152" s="21" t="str">
        <f t="shared" si="573"/>
        <v/>
      </c>
      <c r="QV152" s="21" t="str">
        <f t="shared" si="574"/>
        <v/>
      </c>
      <c r="QW152" s="21" t="str">
        <f t="shared" si="575"/>
        <v/>
      </c>
      <c r="QX152" s="21" t="str">
        <f t="shared" si="576"/>
        <v/>
      </c>
      <c r="QY152" s="21" t="str">
        <f t="shared" si="577"/>
        <v/>
      </c>
      <c r="QZ152" s="21" t="str">
        <f t="shared" si="578"/>
        <v/>
      </c>
      <c r="RA152" s="21" t="str">
        <f t="shared" si="579"/>
        <v/>
      </c>
      <c r="RB152" s="21" t="str">
        <f t="shared" si="580"/>
        <v/>
      </c>
      <c r="RC152" s="21" t="str">
        <f t="shared" si="581"/>
        <v/>
      </c>
      <c r="RD152" s="21" t="str">
        <f t="shared" si="582"/>
        <v/>
      </c>
      <c r="RE152" s="21" t="str">
        <f t="shared" si="583"/>
        <v/>
      </c>
      <c r="RF152" s="21" t="str">
        <f t="shared" si="584"/>
        <v/>
      </c>
      <c r="RG152" s="21" t="str">
        <f t="shared" si="585"/>
        <v/>
      </c>
      <c r="RH152" s="21" t="str">
        <f t="shared" si="586"/>
        <v>ADECUADO PARA EDAD GESTACIONAL</v>
      </c>
      <c r="RI152" s="21" t="str">
        <f t="shared" si="587"/>
        <v/>
      </c>
      <c r="RJ152" s="21" t="str">
        <f t="shared" si="588"/>
        <v/>
      </c>
      <c r="RK152" s="21" t="str">
        <f t="shared" si="589"/>
        <v/>
      </c>
      <c r="RL152" s="21" t="str">
        <f t="shared" si="590"/>
        <v/>
      </c>
      <c r="RM152" s="21" t="str">
        <f t="shared" si="591"/>
        <v/>
      </c>
      <c r="RN152" s="21" t="str">
        <f t="shared" si="592"/>
        <v/>
      </c>
      <c r="RO152" s="21" t="str">
        <f t="shared" si="593"/>
        <v/>
      </c>
      <c r="RP152" s="21" t="str">
        <f t="shared" si="594"/>
        <v/>
      </c>
      <c r="RQ152" s="21" t="str">
        <f t="shared" si="595"/>
        <v/>
      </c>
      <c r="RR152" s="21" t="str">
        <f t="shared" si="596"/>
        <v/>
      </c>
      <c r="RS152" s="21" t="str">
        <f t="shared" si="597"/>
        <v/>
      </c>
      <c r="RT152" s="21" t="str">
        <f t="shared" si="598"/>
        <v/>
      </c>
      <c r="RU152" s="21" t="str">
        <f t="shared" si="599"/>
        <v/>
      </c>
      <c r="RV152" s="21">
        <f t="shared" si="600"/>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3"/>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1"/>
        <v>27.36986301369863</v>
      </c>
      <c r="O153" s="22">
        <v>45003</v>
      </c>
      <c r="P153" s="214" t="str">
        <f t="shared" si="675"/>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2"/>
        <v>31.833333333333332</v>
      </c>
      <c r="BR153" s="223">
        <f t="shared" si="603"/>
        <v>44907.5</v>
      </c>
      <c r="BS153" s="224">
        <f t="shared" si="604"/>
        <v>13.714285714285714</v>
      </c>
      <c r="BT153" s="216" t="str">
        <f t="shared" si="605"/>
        <v>DEFINIR CON ECO</v>
      </c>
      <c r="BU153" s="214" t="str">
        <f t="shared" ca="1" si="606"/>
        <v/>
      </c>
      <c r="BV153" s="25"/>
      <c r="BW153" s="22">
        <v>45051</v>
      </c>
      <c r="BX153" s="28">
        <v>20.5</v>
      </c>
      <c r="BY153" s="28"/>
      <c r="BZ153" s="22"/>
      <c r="CA153" s="21"/>
      <c r="CB153" s="26"/>
      <c r="CC153" s="26"/>
      <c r="CD153" s="26"/>
      <c r="CE153" s="26"/>
      <c r="CF153" s="22" t="s">
        <v>1517</v>
      </c>
      <c r="CG153" s="21">
        <v>1.58</v>
      </c>
      <c r="CH153" s="21">
        <v>68.599999999999994</v>
      </c>
      <c r="CI153" s="214">
        <f t="shared" si="607"/>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8"/>
        <v>45161</v>
      </c>
      <c r="CL153" s="21">
        <v>73</v>
      </c>
      <c r="CM153" s="214">
        <f t="shared" si="609"/>
        <v>29.242108636436463</v>
      </c>
      <c r="CN153" s="216">
        <f t="shared" si="610"/>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90"/>
        <v/>
      </c>
      <c r="DA153" s="21">
        <v>90</v>
      </c>
      <c r="DB153" s="21">
        <v>60</v>
      </c>
      <c r="DC153" s="217" t="str">
        <f t="shared" si="611"/>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6"/>
        <v>CONCERTAR PLAN DE PARTO INMEDIATO</v>
      </c>
      <c r="DV153" s="226" t="str">
        <f t="shared" si="677"/>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2"/>
        <v>#REF!</v>
      </c>
      <c r="DY153" s="212">
        <f>IF(R153="","",IF(R153&gt;0,MAX(Tabla1[[#This Row],[FECHA C2]:[FECHA C13]],Tabla1[[#This Row],[FECHA CONSULTA PRIMERA VEZ PROGRAMA CPN ]])))</f>
        <v>45161</v>
      </c>
      <c r="DZ153" s="216">
        <f t="shared" si="613"/>
        <v>36</v>
      </c>
      <c r="EA153" s="222">
        <f>IF(R153&gt;0,SUM(COUNTA(DF153:DQ153)+COUNTA(Tabla1[[#This Row],[FECHA CONSULTA PRIMERA VEZ PROGRAMA CPN ]])),"")</f>
        <v>6</v>
      </c>
      <c r="EB153" s="222" t="str">
        <f t="shared" si="614"/>
        <v>SI</v>
      </c>
      <c r="EC153" s="214">
        <f t="shared" si="615"/>
        <v>8</v>
      </c>
      <c r="ED153" s="227">
        <f t="shared" si="616"/>
        <v>0.75</v>
      </c>
      <c r="EE153" s="22">
        <v>45003</v>
      </c>
      <c r="EF153" s="22">
        <v>45003</v>
      </c>
      <c r="EG153" s="22">
        <v>45003</v>
      </c>
      <c r="EH153" s="22">
        <v>45049</v>
      </c>
      <c r="EI153" s="22">
        <v>45003</v>
      </c>
      <c r="EJ153" s="22">
        <v>45035</v>
      </c>
      <c r="EK153" s="22"/>
      <c r="EL153" s="21"/>
      <c r="EM153" s="21">
        <v>13.5</v>
      </c>
      <c r="EN153" s="22">
        <v>45013</v>
      </c>
      <c r="EO153" s="222">
        <f t="shared" si="617"/>
        <v>15.142857142857142</v>
      </c>
      <c r="EP153" s="214" t="str">
        <f t="shared" si="618"/>
        <v>NORMAL- SUMINISTRAR SULFATO FERROSO</v>
      </c>
      <c r="EQ153" s="216" t="str">
        <f t="shared" si="619"/>
        <v>II TRIM</v>
      </c>
      <c r="ER153" s="24">
        <v>11.8</v>
      </c>
      <c r="ES153" s="22">
        <v>45071</v>
      </c>
      <c r="ET153" s="29">
        <f t="shared" ca="1" si="678"/>
        <v>23.428571428571427</v>
      </c>
      <c r="EU153" s="25" t="str">
        <f t="shared" si="620"/>
        <v>NORMAL- SUMINISTRAR SULFATO FERROSO</v>
      </c>
      <c r="EV153" s="24" t="s">
        <v>1510</v>
      </c>
      <c r="EW153" s="24">
        <v>45013</v>
      </c>
      <c r="EX153" s="22"/>
      <c r="EY153" s="29">
        <f t="shared" si="454"/>
        <v>15.142857142857142</v>
      </c>
      <c r="EZ153" s="25" t="str">
        <f t="shared" si="455"/>
        <v>SIN RIESGO DE ISOINMUNIZACIÓN</v>
      </c>
      <c r="FA153" s="21">
        <v>63</v>
      </c>
      <c r="FB153" s="22">
        <v>45013</v>
      </c>
      <c r="FC153" s="29">
        <f t="shared" si="621"/>
        <v>15.142857142857142</v>
      </c>
      <c r="FD153" s="29">
        <v>60</v>
      </c>
      <c r="FE153" s="29">
        <v>80</v>
      </c>
      <c r="FF153" s="29">
        <v>68</v>
      </c>
      <c r="FG153" s="21" t="str">
        <f t="shared" si="622"/>
        <v xml:space="preserve">NORMAL, NO DESCARTA DIABETES POR REALIZARLO ANTES DE  SEMANA 24, </v>
      </c>
      <c r="FH153" s="31">
        <v>45071</v>
      </c>
      <c r="FI153" s="29">
        <f t="shared" si="623"/>
        <v>23.428571428571427</v>
      </c>
      <c r="FJ153" s="22"/>
      <c r="FK153" s="22"/>
      <c r="FL153" s="29" t="str">
        <f t="shared" ca="1" si="624"/>
        <v>NO APLICA-INGRESO TARDIO</v>
      </c>
      <c r="FM153" s="22"/>
      <c r="FN153" s="32"/>
      <c r="FO153" s="29" t="str">
        <f t="shared" ca="1" si="679"/>
        <v>PIERDE TOMA DE TAMIZAJE</v>
      </c>
      <c r="FP153" s="22"/>
      <c r="FQ153" s="32"/>
      <c r="FR153" s="29" t="str">
        <f t="shared" ca="1" si="680"/>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5"/>
        <v>TOMAR EXAMEN</v>
      </c>
      <c r="FY153" s="22">
        <v>45003</v>
      </c>
      <c r="FZ153" s="22">
        <v>45003</v>
      </c>
      <c r="GA153" s="29" t="str">
        <f t="shared" si="498"/>
        <v>REGISTRAR EN II TRIMESTRE</v>
      </c>
      <c r="GB153" s="22" t="s">
        <v>868</v>
      </c>
      <c r="GC153" s="22">
        <v>45013</v>
      </c>
      <c r="GD153" s="29">
        <f t="shared" ca="1" si="681"/>
        <v>15.142857142857142</v>
      </c>
      <c r="GE153" s="22"/>
      <c r="GF153" s="22"/>
      <c r="GG153" s="29" t="str">
        <f t="shared" ca="1" si="682"/>
        <v>TOMA INMEDIATA DE TAMIZAJE</v>
      </c>
      <c r="GH153" s="22"/>
      <c r="GI153" s="29"/>
      <c r="GJ153" s="22"/>
      <c r="GK153" s="22"/>
      <c r="GL153" s="22"/>
      <c r="GM153" s="22"/>
      <c r="GN153" s="28" t="s">
        <v>869</v>
      </c>
      <c r="GO153" s="22">
        <v>45013</v>
      </c>
      <c r="GP153" s="29">
        <f t="shared" si="626"/>
        <v>15.142857142857142</v>
      </c>
      <c r="GQ153" s="28"/>
      <c r="GR153" s="28" t="s">
        <v>869</v>
      </c>
      <c r="GS153" s="22" t="str">
        <f t="shared" si="627"/>
        <v/>
      </c>
      <c r="GT153" s="22">
        <v>45013</v>
      </c>
      <c r="GU153" s="29">
        <f t="shared" si="628"/>
        <v>15.142857142857142</v>
      </c>
      <c r="GV153" s="21" t="str">
        <f t="shared" si="629"/>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30"/>
        <v>#REF!</v>
      </c>
      <c r="HI153" s="22" t="e">
        <f t="shared" ca="1" si="631"/>
        <v>#REF!</v>
      </c>
      <c r="HJ153" s="21" t="str">
        <f t="shared" ca="1" si="632"/>
        <v>***************************************</v>
      </c>
      <c r="HK153" s="21" t="str">
        <f t="shared" si="633"/>
        <v>SIN ANTECEDENTES DE RIESGO</v>
      </c>
      <c r="HL153" s="24" t="str">
        <f t="shared" si="634"/>
        <v>VIGILAR CIFRAS PRESION ARTERIAL</v>
      </c>
      <c r="HM153" s="21" t="e">
        <f t="shared" ca="1" si="635"/>
        <v>#REF!</v>
      </c>
      <c r="HN153" s="30" t="str">
        <f t="shared" si="683"/>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6"/>
        <v>14.714285714285714</v>
      </c>
      <c r="IA153" s="26"/>
      <c r="IB153" s="26"/>
      <c r="IC153" s="111"/>
      <c r="ID153" s="22"/>
      <c r="IE153" s="22" t="str">
        <f t="shared" ca="1" si="637"/>
        <v/>
      </c>
      <c r="IF153" s="22"/>
      <c r="IG153" s="22">
        <f t="shared" si="638"/>
        <v>45187</v>
      </c>
      <c r="IH153" s="29">
        <f t="shared" ca="1" si="639"/>
        <v>-45</v>
      </c>
      <c r="II153" s="22" t="str">
        <f t="shared" ca="1" si="640"/>
        <v>POSIBLEMENTE NACIO</v>
      </c>
      <c r="IJ153" s="22"/>
      <c r="IK153" s="21"/>
      <c r="IL153" s="21"/>
      <c r="IM153" s="34"/>
      <c r="IN153" s="349"/>
      <c r="IO153" s="21"/>
      <c r="IP153" s="29" t="str">
        <f t="shared" si="674"/>
        <v/>
      </c>
      <c r="IQ153" s="35"/>
      <c r="IR153" s="21"/>
      <c r="IS153" s="21"/>
      <c r="IT153" s="21"/>
      <c r="IU153" s="21"/>
      <c r="IV153" s="21"/>
      <c r="IW153" s="21"/>
      <c r="IX153" s="21"/>
      <c r="IY153" s="21"/>
      <c r="IZ153" s="21"/>
      <c r="JA153" s="21"/>
      <c r="JB153" s="30"/>
      <c r="JC153" s="21"/>
      <c r="JD153" s="36"/>
      <c r="JE153" s="21" t="str">
        <f t="shared" si="684"/>
        <v/>
      </c>
      <c r="JF153" s="30"/>
      <c r="JG153" s="21"/>
      <c r="JH153" s="21"/>
      <c r="JI153" s="21"/>
      <c r="JJ153" s="30"/>
      <c r="JK153" s="22"/>
      <c r="JL153" s="22"/>
      <c r="JM153" s="21"/>
      <c r="JN153" s="36"/>
      <c r="JO153" s="21" t="str">
        <f t="shared" si="685"/>
        <v/>
      </c>
      <c r="JP153" s="22"/>
      <c r="JQ153" s="21"/>
      <c r="JR153" s="21"/>
      <c r="JS153" s="21"/>
      <c r="JT153" s="30"/>
      <c r="JU153" s="22"/>
      <c r="JV153" s="22"/>
      <c r="JW153" s="33"/>
      <c r="JX153" s="28" t="str">
        <f t="shared" si="686"/>
        <v/>
      </c>
      <c r="JY153" s="33"/>
      <c r="JZ153" s="28" t="str">
        <f t="shared" si="687"/>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41"/>
        <v>0</v>
      </c>
      <c r="MI153" s="43" t="str">
        <f t="shared" si="642"/>
        <v/>
      </c>
      <c r="MJ153" s="43" t="str">
        <f t="shared" si="643"/>
        <v/>
      </c>
      <c r="MK153" s="43">
        <f t="shared" si="644"/>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5"/>
        <v>13.714285714285714</v>
      </c>
      <c r="MN153" s="43">
        <f t="shared" si="646"/>
        <v>3</v>
      </c>
      <c r="MO153" s="43">
        <f t="shared" si="647"/>
        <v>2023</v>
      </c>
      <c r="MP153" s="43" t="str">
        <f t="shared" si="648"/>
        <v>I TRIMESTRE AÑO</v>
      </c>
      <c r="MQ153" s="43">
        <f t="shared" si="649"/>
        <v>26.341436706088476</v>
      </c>
      <c r="MR153" s="43">
        <f t="shared" si="650"/>
        <v>0</v>
      </c>
      <c r="MS153" s="43" t="str">
        <f t="shared" si="651"/>
        <v xml:space="preserve"> DE 25 A 29 AÑOS</v>
      </c>
      <c r="MT153" s="43">
        <f t="shared" si="652"/>
        <v>0</v>
      </c>
      <c r="MU153" s="43">
        <f t="shared" si="653"/>
        <v>0</v>
      </c>
      <c r="MV153" s="43">
        <f t="shared" si="654"/>
        <v>0</v>
      </c>
      <c r="MW153" s="43">
        <f t="shared" si="655"/>
        <v>0</v>
      </c>
      <c r="MX153" s="43" t="str">
        <f t="shared" si="656"/>
        <v/>
      </c>
      <c r="MY153" s="43" t="str">
        <f t="shared" ca="1" si="688"/>
        <v/>
      </c>
      <c r="MZ153" s="43" t="str">
        <f t="shared" si="657"/>
        <v/>
      </c>
      <c r="NA153" s="43" t="str">
        <f t="shared" si="658"/>
        <v/>
      </c>
      <c r="NB153" s="43" t="str">
        <f t="shared" si="659"/>
        <v/>
      </c>
      <c r="NC153" s="43" t="str">
        <f t="shared" si="660"/>
        <v/>
      </c>
      <c r="ND153" s="43">
        <f t="shared" ca="1" si="661"/>
        <v>0</v>
      </c>
      <c r="NE153" s="43">
        <f>IF(OR(O153&gt;0,R153&gt;0),SUM(COUNTIF(Tabla1[[#This Row],[AÑOS AL INICIO5 CPN]],"&gt;=40"),COUNTIF(AS153,"0"),COUNTIF(AR153,"SI"),COUNTIF(CC153,"SI"),COUNTIF(BQ153,"&gt;119"),COUNTIF(CI153,"&gt;=35")),"")</f>
        <v>0</v>
      </c>
      <c r="NF153" s="43" t="str">
        <f t="shared" si="662"/>
        <v/>
      </c>
      <c r="NG153" s="43">
        <f t="shared" si="663"/>
        <v>0</v>
      </c>
      <c r="NH153" s="43">
        <f t="shared" si="664"/>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5"/>
        <v>32</v>
      </c>
      <c r="NM153" s="43" t="str">
        <f t="shared" si="501"/>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6"/>
        <v>DEFINIR CON ECO</v>
      </c>
      <c r="NQ153" s="21" t="str">
        <f t="shared" si="691"/>
        <v/>
      </c>
      <c r="NR153" s="21" t="str">
        <f t="shared" ca="1" si="689"/>
        <v>REVISAR FUM O FECHA SALIDA PROGRAMA</v>
      </c>
      <c r="NS153" s="205">
        <f t="shared" ca="1" si="667"/>
        <v>0</v>
      </c>
      <c r="NT153" s="21">
        <f t="shared" ca="1" si="668"/>
        <v>1</v>
      </c>
      <c r="NU153" s="21" t="str">
        <f t="shared" ca="1" si="669"/>
        <v>POR DEFINIR</v>
      </c>
      <c r="NV153" s="21" t="str">
        <f t="shared" ca="1" si="670"/>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71"/>
        <v>SIN VACUNAR</v>
      </c>
      <c r="NY153" s="43">
        <f>ROW(Tabla1[[#This Row],['# DE TAMIZAJES SIFILIS TOMADOS ]])</f>
        <v>153</v>
      </c>
      <c r="NZ153" s="43">
        <f t="shared" si="502"/>
        <v>13</v>
      </c>
      <c r="OA153" s="43" t="str">
        <f t="shared" si="503"/>
        <v/>
      </c>
      <c r="OB153" s="43" t="str">
        <f t="shared" si="504"/>
        <v/>
      </c>
      <c r="OC153" s="43" t="str">
        <f t="shared" si="505"/>
        <v/>
      </c>
      <c r="OD153" s="43" t="str">
        <f t="shared" si="506"/>
        <v/>
      </c>
      <c r="OE153" s="43" t="str">
        <f t="shared" si="507"/>
        <v>SOBREPESO</v>
      </c>
      <c r="OF153" s="43" t="str">
        <f t="shared" si="508"/>
        <v/>
      </c>
      <c r="OG153" s="43" t="str">
        <f t="shared" si="509"/>
        <v/>
      </c>
      <c r="OH153" s="43" t="str">
        <f t="shared" si="510"/>
        <v/>
      </c>
      <c r="OI153" s="43" t="str">
        <f t="shared" si="511"/>
        <v/>
      </c>
      <c r="OJ153" s="43" t="str">
        <f t="shared" si="512"/>
        <v/>
      </c>
      <c r="OK153" s="43" t="str">
        <f t="shared" si="513"/>
        <v/>
      </c>
      <c r="OL153" s="43" t="str">
        <f t="shared" si="514"/>
        <v/>
      </c>
      <c r="OM153" s="43" t="str">
        <f t="shared" si="515"/>
        <v/>
      </c>
      <c r="ON153" s="43" t="str">
        <f t="shared" si="516"/>
        <v/>
      </c>
      <c r="OO153" s="43" t="str">
        <f t="shared" si="517"/>
        <v/>
      </c>
      <c r="OP153" s="43" t="str">
        <f t="shared" si="518"/>
        <v/>
      </c>
      <c r="OQ153" s="43" t="str">
        <f t="shared" si="519"/>
        <v/>
      </c>
      <c r="OR153" s="43" t="str">
        <f t="shared" si="520"/>
        <v/>
      </c>
      <c r="OS153" s="43" t="str">
        <f t="shared" si="521"/>
        <v/>
      </c>
      <c r="OT153" s="43" t="str">
        <f t="shared" si="522"/>
        <v/>
      </c>
      <c r="OU153" s="43" t="str">
        <f t="shared" si="523"/>
        <v/>
      </c>
      <c r="OV153" s="110" t="str">
        <f t="shared" si="524"/>
        <v/>
      </c>
      <c r="OW153" s="43" t="str">
        <f t="shared" si="525"/>
        <v/>
      </c>
      <c r="OX153" s="43" t="str">
        <f t="shared" si="526"/>
        <v/>
      </c>
      <c r="OY153" s="43" t="str">
        <f t="shared" si="527"/>
        <v/>
      </c>
      <c r="OZ153" s="43" t="str">
        <f t="shared" si="528"/>
        <v/>
      </c>
      <c r="PA153" s="43" t="str">
        <f t="shared" si="529"/>
        <v/>
      </c>
      <c r="PB153" s="43" t="str">
        <f t="shared" si="530"/>
        <v/>
      </c>
      <c r="PC153" s="43" t="str">
        <f t="shared" si="531"/>
        <v/>
      </c>
      <c r="PD153" s="43" t="str">
        <f t="shared" si="532"/>
        <v/>
      </c>
      <c r="PE153" s="43" t="str">
        <f t="shared" si="533"/>
        <v/>
      </c>
      <c r="PF153" s="43" t="str">
        <f t="shared" si="534"/>
        <v/>
      </c>
      <c r="PG153" s="43" t="str">
        <f t="shared" si="535"/>
        <v/>
      </c>
      <c r="PH153" s="43" t="str">
        <f t="shared" si="536"/>
        <v/>
      </c>
      <c r="PI153" s="43">
        <f t="shared" si="537"/>
        <v>36</v>
      </c>
      <c r="PJ153" s="43" t="str">
        <f t="shared" si="538"/>
        <v/>
      </c>
      <c r="PK153" s="43" t="str">
        <f t="shared" si="539"/>
        <v/>
      </c>
      <c r="PL153" s="43" t="str">
        <f t="shared" si="540"/>
        <v/>
      </c>
      <c r="PM153" s="43" t="str">
        <f t="shared" si="541"/>
        <v/>
      </c>
      <c r="PN153" s="43" t="str">
        <f t="shared" si="542"/>
        <v/>
      </c>
      <c r="PO153" s="43" t="str">
        <f t="shared" si="543"/>
        <v/>
      </c>
      <c r="PP153" s="43" t="str">
        <f t="shared" si="544"/>
        <v/>
      </c>
      <c r="PQ153" s="43" t="str">
        <f t="shared" si="545"/>
        <v/>
      </c>
      <c r="PR153" s="43" t="str">
        <f t="shared" si="546"/>
        <v/>
      </c>
      <c r="PS153" s="43" t="str">
        <f t="shared" si="547"/>
        <v/>
      </c>
      <c r="PT153" s="43" t="str">
        <f t="shared" si="548"/>
        <v/>
      </c>
      <c r="PU153" s="43" t="str">
        <f t="shared" si="549"/>
        <v/>
      </c>
      <c r="PV153" s="43" t="str">
        <f t="shared" si="550"/>
        <v/>
      </c>
      <c r="PW153" s="43" t="str">
        <f t="shared" si="551"/>
        <v/>
      </c>
      <c r="PX153" s="43" t="str">
        <f t="shared" si="552"/>
        <v/>
      </c>
      <c r="PY153" s="43" t="str">
        <f t="shared" si="553"/>
        <v/>
      </c>
      <c r="PZ153" s="43" t="str">
        <f t="shared" si="554"/>
        <v/>
      </c>
      <c r="QA153" s="43" t="str">
        <f t="shared" si="555"/>
        <v/>
      </c>
      <c r="QB153" s="43" t="str">
        <f t="shared" si="556"/>
        <v/>
      </c>
      <c r="QC153" s="43" t="str">
        <f t="shared" si="557"/>
        <v/>
      </c>
      <c r="QD153" s="43" t="str">
        <f t="shared" si="558"/>
        <v/>
      </c>
      <c r="QE153" s="43" t="str">
        <f t="shared" si="559"/>
        <v/>
      </c>
      <c r="QF153" s="43" t="str">
        <f t="shared" si="560"/>
        <v/>
      </c>
      <c r="QG153" s="43" t="str">
        <f t="shared" si="561"/>
        <v/>
      </c>
      <c r="QH153" s="43" t="str">
        <f t="shared" si="562"/>
        <v/>
      </c>
      <c r="QI153" s="43" t="str">
        <f t="shared" si="563"/>
        <v/>
      </c>
      <c r="QJ153" s="43" t="str">
        <f t="shared" si="564"/>
        <v/>
      </c>
      <c r="QK153" s="43" t="str">
        <f t="shared" si="565"/>
        <v>SOBREPESO</v>
      </c>
      <c r="QL153" s="43" t="str">
        <f t="shared" si="566"/>
        <v/>
      </c>
      <c r="QM153" s="43" t="str">
        <f t="shared" si="567"/>
        <v/>
      </c>
      <c r="QN153" s="43" t="str">
        <f t="shared" si="568"/>
        <v/>
      </c>
      <c r="QO153" s="43" t="str">
        <f t="shared" si="569"/>
        <v/>
      </c>
      <c r="QP153" s="43" t="str">
        <f t="shared" si="570"/>
        <v/>
      </c>
      <c r="QQ153" s="43" t="str">
        <f t="shared" si="571"/>
        <v/>
      </c>
      <c r="QR153" s="43">
        <f t="shared" si="672"/>
        <v>36</v>
      </c>
      <c r="QS153" s="43"/>
      <c r="QT153" s="21" t="str">
        <f t="shared" si="572"/>
        <v/>
      </c>
      <c r="QU153" s="21" t="str">
        <f t="shared" si="573"/>
        <v/>
      </c>
      <c r="QV153" s="21" t="str">
        <f t="shared" si="574"/>
        <v/>
      </c>
      <c r="QW153" s="21" t="str">
        <f t="shared" si="575"/>
        <v/>
      </c>
      <c r="QX153" s="21" t="str">
        <f t="shared" si="576"/>
        <v/>
      </c>
      <c r="QY153" s="21" t="str">
        <f t="shared" si="577"/>
        <v/>
      </c>
      <c r="QZ153" s="21" t="str">
        <f t="shared" si="578"/>
        <v/>
      </c>
      <c r="RA153" s="21" t="str">
        <f t="shared" si="579"/>
        <v/>
      </c>
      <c r="RB153" s="21" t="str">
        <f t="shared" si="580"/>
        <v/>
      </c>
      <c r="RC153" s="21" t="str">
        <f t="shared" si="581"/>
        <v/>
      </c>
      <c r="RD153" s="21" t="str">
        <f t="shared" si="582"/>
        <v/>
      </c>
      <c r="RE153" s="21" t="str">
        <f t="shared" si="583"/>
        <v/>
      </c>
      <c r="RF153" s="21" t="str">
        <f t="shared" si="584"/>
        <v/>
      </c>
      <c r="RG153" s="21" t="str">
        <f t="shared" si="585"/>
        <v/>
      </c>
      <c r="RH153" s="21" t="str">
        <f t="shared" si="586"/>
        <v/>
      </c>
      <c r="RI153" s="21" t="str">
        <f t="shared" si="587"/>
        <v/>
      </c>
      <c r="RJ153" s="21" t="str">
        <f t="shared" si="588"/>
        <v/>
      </c>
      <c r="RK153" s="21" t="str">
        <f t="shared" si="589"/>
        <v/>
      </c>
      <c r="RL153" s="21" t="str">
        <f t="shared" si="590"/>
        <v/>
      </c>
      <c r="RM153" s="21" t="str">
        <f t="shared" si="591"/>
        <v/>
      </c>
      <c r="RN153" s="21" t="str">
        <f t="shared" si="592"/>
        <v/>
      </c>
      <c r="RO153" s="21" t="str">
        <f t="shared" si="593"/>
        <v/>
      </c>
      <c r="RP153" s="21" t="str">
        <f t="shared" si="594"/>
        <v/>
      </c>
      <c r="RQ153" s="21" t="str">
        <f t="shared" si="595"/>
        <v>ADECUADO PARA EDAD GESTACIONAL</v>
      </c>
      <c r="RR153" s="21" t="str">
        <f t="shared" si="596"/>
        <v/>
      </c>
      <c r="RS153" s="21" t="str">
        <f t="shared" si="597"/>
        <v/>
      </c>
      <c r="RT153" s="21" t="str">
        <f t="shared" si="598"/>
        <v/>
      </c>
      <c r="RU153" s="21" t="str">
        <f t="shared" si="599"/>
        <v/>
      </c>
      <c r="RV153" s="21">
        <f t="shared" si="600"/>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3"/>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1"/>
        <v>19.654794520547945</v>
      </c>
      <c r="O154" s="22">
        <v>45036</v>
      </c>
      <c r="P154" s="214" t="str">
        <f t="shared" si="675"/>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2"/>
        <v>0</v>
      </c>
      <c r="BR154" s="223">
        <f t="shared" si="603"/>
        <v>44953</v>
      </c>
      <c r="BS154" s="224">
        <f t="shared" si="604"/>
        <v>12.142857142857142</v>
      </c>
      <c r="BT154" s="216" t="str">
        <f t="shared" si="605"/>
        <v>II TRIM</v>
      </c>
      <c r="BU154" s="214">
        <f t="shared" ca="1" si="606"/>
        <v>40.142857142857146</v>
      </c>
      <c r="BV154" s="25"/>
      <c r="BW154" s="22">
        <v>45051</v>
      </c>
      <c r="BX154" s="28">
        <v>14</v>
      </c>
      <c r="BY154" s="28"/>
      <c r="BZ154" s="22"/>
      <c r="CA154" s="21"/>
      <c r="CB154" s="26"/>
      <c r="CC154" s="26"/>
      <c r="CD154" s="26"/>
      <c r="CE154" s="26" t="s">
        <v>864</v>
      </c>
      <c r="CF154" s="22" t="s">
        <v>1517</v>
      </c>
      <c r="CG154" s="21">
        <v>1.56</v>
      </c>
      <c r="CH154" s="21">
        <v>53</v>
      </c>
      <c r="CI154" s="214">
        <f t="shared" si="607"/>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8"/>
        <v>45136</v>
      </c>
      <c r="CL154" s="21">
        <v>58.9</v>
      </c>
      <c r="CM154" s="214">
        <f t="shared" si="609"/>
        <v>24.202827087442468</v>
      </c>
      <c r="CN154" s="216">
        <f t="shared" si="610"/>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90"/>
        <v/>
      </c>
      <c r="DA154" s="21">
        <v>90</v>
      </c>
      <c r="DB154" s="21">
        <v>60</v>
      </c>
      <c r="DC154" s="217" t="str">
        <f t="shared" si="611"/>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6"/>
        <v>CONCERTAR PLAN DE PARTO INMEDIATO</v>
      </c>
      <c r="DV154" s="226" t="str">
        <f t="shared" si="677"/>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2"/>
        <v>#REF!</v>
      </c>
      <c r="DY154" s="212">
        <f>IF(R154="","",IF(R154&gt;0,MAX(Tabla1[[#This Row],[FECHA C2]:[FECHA C13]],Tabla1[[#This Row],[FECHA CONSULTA PRIMERA VEZ PROGRAMA CPN ]])))</f>
        <v>45136</v>
      </c>
      <c r="DZ154" s="216">
        <f t="shared" si="613"/>
        <v>26</v>
      </c>
      <c r="EA154" s="222">
        <f>IF(R154&gt;0,SUM(COUNTA(DF154:DQ154)+COUNTA(Tabla1[[#This Row],[FECHA CONSULTA PRIMERA VEZ PROGRAMA CPN ]])),"")</f>
        <v>5</v>
      </c>
      <c r="EB154" s="222" t="str">
        <f t="shared" si="614"/>
        <v>SI</v>
      </c>
      <c r="EC154" s="214">
        <f t="shared" si="615"/>
        <v>8</v>
      </c>
      <c r="ED154" s="227">
        <f t="shared" si="616"/>
        <v>0.625</v>
      </c>
      <c r="EE154" s="22">
        <v>44999</v>
      </c>
      <c r="EF154" s="22">
        <v>44999</v>
      </c>
      <c r="EG154" s="22">
        <v>44999</v>
      </c>
      <c r="EH154" s="22"/>
      <c r="EI154" s="22">
        <v>44999</v>
      </c>
      <c r="EJ154" s="22"/>
      <c r="EK154" s="22"/>
      <c r="EL154" s="21"/>
      <c r="EM154" s="21">
        <v>15.5</v>
      </c>
      <c r="EN154" s="22">
        <v>45031</v>
      </c>
      <c r="EO154" s="222">
        <f t="shared" si="617"/>
        <v>11.428571428571429</v>
      </c>
      <c r="EP154" s="214" t="str">
        <f t="shared" si="618"/>
        <v>NO DAR SULFATO FERROSO</v>
      </c>
      <c r="EQ154" s="216" t="str">
        <f t="shared" si="619"/>
        <v>I TRIM</v>
      </c>
      <c r="ER154" s="24">
        <v>13.8</v>
      </c>
      <c r="ES154" s="22">
        <v>45119</v>
      </c>
      <c r="ET154" s="29">
        <f t="shared" ca="1" si="678"/>
        <v>24</v>
      </c>
      <c r="EU154" s="25" t="str">
        <f t="shared" si="620"/>
        <v>NORMAL- SUMINISTRAR SULFATO FERROSO</v>
      </c>
      <c r="EV154" s="24" t="s">
        <v>1510</v>
      </c>
      <c r="EW154" s="32">
        <v>45031</v>
      </c>
      <c r="EX154" s="22"/>
      <c r="EY154" s="29">
        <f t="shared" si="454"/>
        <v>11.428571428571429</v>
      </c>
      <c r="EZ154" s="25" t="str">
        <f t="shared" si="455"/>
        <v>SIN RIESGO DE ISOINMUNIZACIÓN</v>
      </c>
      <c r="FA154" s="21">
        <v>74</v>
      </c>
      <c r="FB154" s="22">
        <v>45031</v>
      </c>
      <c r="FC154" s="29">
        <f t="shared" si="621"/>
        <v>11.428571428571429</v>
      </c>
      <c r="FD154" s="29">
        <v>70</v>
      </c>
      <c r="FE154" s="29">
        <v>100</v>
      </c>
      <c r="FF154" s="29">
        <v>109</v>
      </c>
      <c r="FG154" s="21" t="str">
        <f t="shared" ca="1" si="622"/>
        <v>NORMAL</v>
      </c>
      <c r="FH154" s="31">
        <v>45119</v>
      </c>
      <c r="FI154" s="29">
        <f t="shared" si="623"/>
        <v>24</v>
      </c>
      <c r="FJ154" s="22" t="s">
        <v>867</v>
      </c>
      <c r="FK154" s="22">
        <v>45031</v>
      </c>
      <c r="FL154" s="29">
        <f t="shared" ca="1" si="624"/>
        <v>11.428571428571429</v>
      </c>
      <c r="FM154" s="22" t="s">
        <v>867</v>
      </c>
      <c r="FN154" s="31">
        <v>45119</v>
      </c>
      <c r="FO154" s="29">
        <f t="shared" ca="1" si="679"/>
        <v>24</v>
      </c>
      <c r="FP154" s="22"/>
      <c r="FQ154" s="32"/>
      <c r="FR154" s="29" t="str">
        <f t="shared" ca="1" si="680"/>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5"/>
        <v>TOMAR EXAMEN</v>
      </c>
      <c r="FY154" s="22" t="s">
        <v>868</v>
      </c>
      <c r="FZ154" s="22">
        <v>44999</v>
      </c>
      <c r="GA154" s="29">
        <f t="shared" ca="1" si="498"/>
        <v>6.8571428571428568</v>
      </c>
      <c r="GB154" s="22" t="s">
        <v>868</v>
      </c>
      <c r="GC154" s="31">
        <v>45119</v>
      </c>
      <c r="GD154" s="29">
        <f t="shared" ca="1" si="681"/>
        <v>24</v>
      </c>
      <c r="GE154" s="22"/>
      <c r="GF154" s="22"/>
      <c r="GG154" s="29" t="str">
        <f t="shared" ca="1" si="682"/>
        <v>TOMA INMEDIATA DE TAMIZAJE</v>
      </c>
      <c r="GH154" s="22"/>
      <c r="GI154" s="29"/>
      <c r="GJ154" s="22"/>
      <c r="GK154" s="22"/>
      <c r="GL154" s="22"/>
      <c r="GM154" s="22"/>
      <c r="GN154" s="28" t="s">
        <v>869</v>
      </c>
      <c r="GO154" s="22">
        <v>45031</v>
      </c>
      <c r="GP154" s="29">
        <f t="shared" si="626"/>
        <v>11.428571428571429</v>
      </c>
      <c r="GQ154" s="28" t="s">
        <v>869</v>
      </c>
      <c r="GR154" s="28" t="s">
        <v>869</v>
      </c>
      <c r="GS154" s="22" t="str">
        <f t="shared" si="627"/>
        <v>CONTROL Igm</v>
      </c>
      <c r="GT154" s="22">
        <v>45031</v>
      </c>
      <c r="GU154" s="29">
        <f t="shared" si="628"/>
        <v>11.428571428571429</v>
      </c>
      <c r="GV154" s="21" t="str">
        <f t="shared" si="629"/>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30"/>
        <v>#REF!</v>
      </c>
      <c r="HI154" s="22" t="e">
        <f t="shared" ca="1" si="631"/>
        <v>#REF!</v>
      </c>
      <c r="HJ154" s="21" t="str">
        <f t="shared" ca="1" si="632"/>
        <v>***************************************</v>
      </c>
      <c r="HK154" s="21" t="str">
        <f t="shared" si="633"/>
        <v>SIN ANTECEDENTES DE RIESGO</v>
      </c>
      <c r="HL154" s="24" t="str">
        <f t="shared" si="634"/>
        <v>APARENTEMENTE NORMAL</v>
      </c>
      <c r="HM154" s="21" t="e">
        <f t="shared" ca="1" si="635"/>
        <v>#REF!</v>
      </c>
      <c r="HN154" s="30" t="str">
        <f t="shared" si="683"/>
        <v>ACTIVA INGRESO A CPN</v>
      </c>
      <c r="HO154" s="21"/>
      <c r="HP154" s="21"/>
      <c r="HQ154" s="349"/>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6"/>
        <v>7.1428571428571432</v>
      </c>
      <c r="IA154" s="26"/>
      <c r="IB154" s="26"/>
      <c r="IC154" s="111"/>
      <c r="ID154" s="22"/>
      <c r="IE154" s="22" t="str">
        <f t="shared" ca="1" si="637"/>
        <v>INASISTENTE</v>
      </c>
      <c r="IF154" s="22"/>
      <c r="IG154" s="22">
        <f t="shared" si="638"/>
        <v>45231</v>
      </c>
      <c r="IH154" s="29">
        <f t="shared" ca="1" si="639"/>
        <v>-1</v>
      </c>
      <c r="II154" s="22" t="str">
        <f t="shared" ca="1" si="640"/>
        <v>POSIBLEMENTE NACIO</v>
      </c>
      <c r="IJ154" s="22"/>
      <c r="IK154" s="21"/>
      <c r="IL154" s="21"/>
      <c r="IM154" s="34"/>
      <c r="IN154" s="22"/>
      <c r="IO154" s="21"/>
      <c r="IP154" s="29" t="str">
        <f t="shared" si="674"/>
        <v/>
      </c>
      <c r="IQ154" s="35"/>
      <c r="IR154" s="21"/>
      <c r="IS154" s="21"/>
      <c r="IT154" s="21"/>
      <c r="IU154" s="21"/>
      <c r="IV154" s="21"/>
      <c r="IW154" s="21"/>
      <c r="IX154" s="21"/>
      <c r="IY154" s="21"/>
      <c r="IZ154" s="21"/>
      <c r="JA154" s="21"/>
      <c r="JB154" s="30"/>
      <c r="JC154" s="21"/>
      <c r="JD154" s="36"/>
      <c r="JE154" s="21" t="str">
        <f t="shared" si="684"/>
        <v/>
      </c>
      <c r="JF154" s="30"/>
      <c r="JG154" s="21"/>
      <c r="JH154" s="21"/>
      <c r="JI154" s="21"/>
      <c r="JJ154" s="30"/>
      <c r="JK154" s="22"/>
      <c r="JL154" s="22"/>
      <c r="JM154" s="21"/>
      <c r="JN154" s="36"/>
      <c r="JO154" s="21" t="str">
        <f t="shared" si="685"/>
        <v/>
      </c>
      <c r="JP154" s="22"/>
      <c r="JQ154" s="21"/>
      <c r="JR154" s="21"/>
      <c r="JS154" s="21"/>
      <c r="JT154" s="30"/>
      <c r="JU154" s="22"/>
      <c r="JV154" s="22"/>
      <c r="JW154" s="33"/>
      <c r="JX154" s="28" t="str">
        <f t="shared" si="686"/>
        <v/>
      </c>
      <c r="JY154" s="33"/>
      <c r="JZ154" s="28" t="str">
        <f t="shared" si="687"/>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41"/>
        <v>0</v>
      </c>
      <c r="MI154" s="43" t="str">
        <f t="shared" si="642"/>
        <v/>
      </c>
      <c r="MJ154" s="43" t="str">
        <f t="shared" si="643"/>
        <v/>
      </c>
      <c r="MK154" s="43">
        <f t="shared" si="644"/>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5"/>
        <v>12.142857142857142</v>
      </c>
      <c r="MN154" s="43">
        <f t="shared" si="646"/>
        <v>4</v>
      </c>
      <c r="MO154" s="43">
        <f t="shared" si="647"/>
        <v>2023</v>
      </c>
      <c r="MP154" s="43" t="str">
        <f t="shared" si="648"/>
        <v>II TRIMESTRE AÑO</v>
      </c>
      <c r="MQ154" s="43">
        <f t="shared" si="649"/>
        <v>18.82939115199299</v>
      </c>
      <c r="MR154" s="43">
        <f t="shared" si="650"/>
        <v>0</v>
      </c>
      <c r="MS154" s="43" t="str">
        <f t="shared" si="651"/>
        <v>DE 14 A 19AÑOS</v>
      </c>
      <c r="MT154" s="43">
        <f t="shared" si="652"/>
        <v>0</v>
      </c>
      <c r="MU154" s="43">
        <f t="shared" si="653"/>
        <v>0</v>
      </c>
      <c r="MV154" s="43">
        <f t="shared" si="654"/>
        <v>0</v>
      </c>
      <c r="MW154" s="43">
        <f t="shared" si="655"/>
        <v>0</v>
      </c>
      <c r="MX154" s="43" t="str">
        <f t="shared" si="656"/>
        <v/>
      </c>
      <c r="MY154" s="43" t="str">
        <f t="shared" ca="1" si="688"/>
        <v/>
      </c>
      <c r="MZ154" s="43" t="str">
        <f t="shared" si="657"/>
        <v/>
      </c>
      <c r="NA154" s="43" t="str">
        <f t="shared" si="658"/>
        <v/>
      </c>
      <c r="NB154" s="43" t="str">
        <f t="shared" si="659"/>
        <v/>
      </c>
      <c r="NC154" s="43" t="str">
        <f t="shared" si="660"/>
        <v/>
      </c>
      <c r="ND154" s="43">
        <f t="shared" ca="1" si="661"/>
        <v>0</v>
      </c>
      <c r="NE154" s="43">
        <f>IF(OR(O154&gt;0,R154&gt;0),SUM(COUNTIF(Tabla1[[#This Row],[AÑOS AL INICIO5 CPN]],"&gt;=40"),COUNTIF(AS154,"0"),COUNTIF(AR154,"SI"),COUNTIF(CC154,"SI"),COUNTIF(BQ154,"&gt;119"),COUNTIF(CI154,"&gt;=35")),"")</f>
        <v>0</v>
      </c>
      <c r="NF154" s="43" t="str">
        <f t="shared" si="662"/>
        <v/>
      </c>
      <c r="NG154" s="43">
        <f t="shared" si="663"/>
        <v>0</v>
      </c>
      <c r="NH154" s="43">
        <f t="shared" si="664"/>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5"/>
        <v>X</v>
      </c>
      <c r="NM154" s="43" t="str">
        <f t="shared" si="501"/>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6"/>
        <v>II TRIM</v>
      </c>
      <c r="NQ154" s="21">
        <f t="shared" si="691"/>
        <v>3</v>
      </c>
      <c r="NR154" s="21">
        <f t="shared" ca="1" si="689"/>
        <v>2</v>
      </c>
      <c r="NS154" s="205">
        <f t="shared" ca="1" si="667"/>
        <v>2</v>
      </c>
      <c r="NT154" s="21">
        <f t="shared" ca="1" si="668"/>
        <v>2</v>
      </c>
      <c r="NU154" s="21" t="str">
        <f t="shared" ca="1" si="669"/>
        <v>COMPLETO</v>
      </c>
      <c r="NV154" s="21" t="str">
        <f t="shared" ca="1" si="670"/>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71"/>
        <v>SIN VACUNAR</v>
      </c>
      <c r="NY154" s="43">
        <f>ROW(Tabla1[[#This Row],['# DE TAMIZAJES SIFILIS TOMADOS ]])</f>
        <v>154</v>
      </c>
      <c r="NZ154" s="43">
        <f t="shared" si="502"/>
        <v>12</v>
      </c>
      <c r="OA154" s="43" t="str">
        <f t="shared" si="503"/>
        <v/>
      </c>
      <c r="OB154" s="43" t="str">
        <f t="shared" si="504"/>
        <v/>
      </c>
      <c r="OC154" s="43" t="str">
        <f t="shared" si="505"/>
        <v/>
      </c>
      <c r="OD154" s="43" t="str">
        <f t="shared" si="506"/>
        <v>NORMAL</v>
      </c>
      <c r="OE154" s="43" t="str">
        <f t="shared" si="507"/>
        <v/>
      </c>
      <c r="OF154" s="43" t="str">
        <f t="shared" si="508"/>
        <v/>
      </c>
      <c r="OG154" s="43" t="str">
        <f t="shared" si="509"/>
        <v/>
      </c>
      <c r="OH154" s="43" t="str">
        <f t="shared" si="510"/>
        <v/>
      </c>
      <c r="OI154" s="43" t="str">
        <f t="shared" si="511"/>
        <v/>
      </c>
      <c r="OJ154" s="43" t="str">
        <f t="shared" si="512"/>
        <v/>
      </c>
      <c r="OK154" s="43" t="str">
        <f t="shared" si="513"/>
        <v/>
      </c>
      <c r="OL154" s="43" t="str">
        <f t="shared" si="514"/>
        <v/>
      </c>
      <c r="OM154" s="43" t="str">
        <f t="shared" si="515"/>
        <v/>
      </c>
      <c r="ON154" s="43" t="str">
        <f t="shared" si="516"/>
        <v/>
      </c>
      <c r="OO154" s="43" t="str">
        <f t="shared" si="517"/>
        <v/>
      </c>
      <c r="OP154" s="43" t="str">
        <f t="shared" si="518"/>
        <v/>
      </c>
      <c r="OQ154" s="43" t="str">
        <f t="shared" si="519"/>
        <v/>
      </c>
      <c r="OR154" s="43" t="str">
        <f t="shared" si="520"/>
        <v/>
      </c>
      <c r="OS154" s="43" t="str">
        <f t="shared" si="521"/>
        <v/>
      </c>
      <c r="OT154" s="43" t="str">
        <f t="shared" si="522"/>
        <v/>
      </c>
      <c r="OU154" s="43" t="str">
        <f t="shared" si="523"/>
        <v/>
      </c>
      <c r="OV154" s="110" t="str">
        <f t="shared" si="524"/>
        <v/>
      </c>
      <c r="OW154" s="43" t="str">
        <f t="shared" si="525"/>
        <v/>
      </c>
      <c r="OX154" s="43" t="str">
        <f t="shared" si="526"/>
        <v/>
      </c>
      <c r="OY154" s="43" t="str">
        <f t="shared" si="527"/>
        <v/>
      </c>
      <c r="OZ154" s="43" t="str">
        <f t="shared" si="528"/>
        <v/>
      </c>
      <c r="PA154" s="43" t="str">
        <f t="shared" si="529"/>
        <v/>
      </c>
      <c r="PB154" s="43" t="str">
        <f t="shared" si="530"/>
        <v/>
      </c>
      <c r="PC154" s="43" t="str">
        <f t="shared" si="531"/>
        <v/>
      </c>
      <c r="PD154" s="43" t="str">
        <f t="shared" si="532"/>
        <v/>
      </c>
      <c r="PE154" s="43" t="str">
        <f t="shared" si="533"/>
        <v/>
      </c>
      <c r="PF154" s="43" t="str">
        <f t="shared" si="534"/>
        <v/>
      </c>
      <c r="PG154" s="43" t="str">
        <f t="shared" si="535"/>
        <v/>
      </c>
      <c r="PH154" s="43" t="str">
        <f t="shared" si="536"/>
        <v/>
      </c>
      <c r="PI154" s="43">
        <f t="shared" si="537"/>
        <v>26</v>
      </c>
      <c r="PJ154" s="43" t="str">
        <f t="shared" si="538"/>
        <v/>
      </c>
      <c r="PK154" s="43" t="str">
        <f t="shared" si="539"/>
        <v/>
      </c>
      <c r="PL154" s="43" t="str">
        <f t="shared" si="540"/>
        <v/>
      </c>
      <c r="PM154" s="43" t="str">
        <f t="shared" si="541"/>
        <v/>
      </c>
      <c r="PN154" s="43" t="str">
        <f t="shared" si="542"/>
        <v/>
      </c>
      <c r="PO154" s="43" t="str">
        <f t="shared" si="543"/>
        <v/>
      </c>
      <c r="PP154" s="43" t="str">
        <f t="shared" si="544"/>
        <v/>
      </c>
      <c r="PQ154" s="43" t="str">
        <f t="shared" si="545"/>
        <v/>
      </c>
      <c r="PR154" s="43" t="str">
        <f t="shared" si="546"/>
        <v/>
      </c>
      <c r="PS154" s="43" t="str">
        <f t="shared" si="547"/>
        <v/>
      </c>
      <c r="PT154" s="43" t="str">
        <f t="shared" si="548"/>
        <v/>
      </c>
      <c r="PU154" s="43" t="str">
        <f t="shared" si="549"/>
        <v/>
      </c>
      <c r="PV154" s="43" t="str">
        <f t="shared" si="550"/>
        <v/>
      </c>
      <c r="PW154" s="43" t="str">
        <f t="shared" si="551"/>
        <v/>
      </c>
      <c r="PX154" s="43" t="str">
        <f t="shared" si="552"/>
        <v/>
      </c>
      <c r="PY154" s="43" t="str">
        <f t="shared" si="553"/>
        <v/>
      </c>
      <c r="PZ154" s="43" t="str">
        <f t="shared" si="554"/>
        <v/>
      </c>
      <c r="QA154" s="43" t="str">
        <f t="shared" si="555"/>
        <v>NORMAL</v>
      </c>
      <c r="QB154" s="43" t="str">
        <f t="shared" si="556"/>
        <v/>
      </c>
      <c r="QC154" s="43" t="str">
        <f t="shared" si="557"/>
        <v/>
      </c>
      <c r="QD154" s="43" t="str">
        <f t="shared" si="558"/>
        <v/>
      </c>
      <c r="QE154" s="43" t="str">
        <f t="shared" si="559"/>
        <v/>
      </c>
      <c r="QF154" s="43" t="str">
        <f t="shared" si="560"/>
        <v/>
      </c>
      <c r="QG154" s="43" t="str">
        <f t="shared" si="561"/>
        <v/>
      </c>
      <c r="QH154" s="43" t="str">
        <f t="shared" si="562"/>
        <v/>
      </c>
      <c r="QI154" s="43" t="str">
        <f t="shared" si="563"/>
        <v/>
      </c>
      <c r="QJ154" s="43" t="str">
        <f t="shared" si="564"/>
        <v/>
      </c>
      <c r="QK154" s="43" t="str">
        <f t="shared" si="565"/>
        <v/>
      </c>
      <c r="QL154" s="43" t="str">
        <f t="shared" si="566"/>
        <v/>
      </c>
      <c r="QM154" s="43" t="str">
        <f t="shared" si="567"/>
        <v/>
      </c>
      <c r="QN154" s="43" t="str">
        <f t="shared" si="568"/>
        <v/>
      </c>
      <c r="QO154" s="43" t="str">
        <f t="shared" si="569"/>
        <v/>
      </c>
      <c r="QP154" s="43" t="str">
        <f t="shared" si="570"/>
        <v/>
      </c>
      <c r="QQ154" s="43" t="str">
        <f t="shared" si="571"/>
        <v/>
      </c>
      <c r="QR154" s="43">
        <f t="shared" si="672"/>
        <v>26</v>
      </c>
      <c r="QS154" s="43"/>
      <c r="QT154" s="21" t="str">
        <f t="shared" si="572"/>
        <v/>
      </c>
      <c r="QU154" s="21" t="str">
        <f t="shared" si="573"/>
        <v/>
      </c>
      <c r="QV154" s="21" t="str">
        <f t="shared" si="574"/>
        <v/>
      </c>
      <c r="QW154" s="21" t="str">
        <f t="shared" si="575"/>
        <v/>
      </c>
      <c r="QX154" s="21" t="str">
        <f t="shared" si="576"/>
        <v/>
      </c>
      <c r="QY154" s="21" t="str">
        <f t="shared" si="577"/>
        <v/>
      </c>
      <c r="QZ154" s="21" t="str">
        <f t="shared" si="578"/>
        <v/>
      </c>
      <c r="RA154" s="21" t="str">
        <f t="shared" si="579"/>
        <v/>
      </c>
      <c r="RB154" s="21" t="str">
        <f t="shared" si="580"/>
        <v/>
      </c>
      <c r="RC154" s="21" t="str">
        <f t="shared" si="581"/>
        <v/>
      </c>
      <c r="RD154" s="21" t="str">
        <f t="shared" si="582"/>
        <v/>
      </c>
      <c r="RE154" s="21" t="str">
        <f t="shared" si="583"/>
        <v/>
      </c>
      <c r="RF154" s="21" t="str">
        <f t="shared" si="584"/>
        <v/>
      </c>
      <c r="RG154" s="21" t="str">
        <f t="shared" si="585"/>
        <v>ADECUADO PARA EDAD GESTACIONAL</v>
      </c>
      <c r="RH154" s="21" t="str">
        <f t="shared" si="586"/>
        <v/>
      </c>
      <c r="RI154" s="21" t="str">
        <f t="shared" si="587"/>
        <v/>
      </c>
      <c r="RJ154" s="21" t="str">
        <f t="shared" si="588"/>
        <v/>
      </c>
      <c r="RK154" s="21" t="str">
        <f t="shared" si="589"/>
        <v/>
      </c>
      <c r="RL154" s="21" t="str">
        <f t="shared" si="590"/>
        <v/>
      </c>
      <c r="RM154" s="21" t="str">
        <f t="shared" si="591"/>
        <v/>
      </c>
      <c r="RN154" s="21" t="str">
        <f t="shared" si="592"/>
        <v/>
      </c>
      <c r="RO154" s="21" t="str">
        <f t="shared" si="593"/>
        <v/>
      </c>
      <c r="RP154" s="21" t="str">
        <f t="shared" si="594"/>
        <v/>
      </c>
      <c r="RQ154" s="21" t="str">
        <f t="shared" si="595"/>
        <v/>
      </c>
      <c r="RR154" s="21" t="str">
        <f t="shared" si="596"/>
        <v/>
      </c>
      <c r="RS154" s="21" t="str">
        <f t="shared" si="597"/>
        <v/>
      </c>
      <c r="RT154" s="21" t="str">
        <f t="shared" si="598"/>
        <v/>
      </c>
      <c r="RU154" s="21" t="str">
        <f t="shared" si="599"/>
        <v/>
      </c>
      <c r="RV154" s="21">
        <f t="shared" si="600"/>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3"/>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1"/>
        <v>41.115068493150687</v>
      </c>
      <c r="O155" s="22">
        <v>45009</v>
      </c>
      <c r="P155" s="214" t="str">
        <f t="shared" si="675"/>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2"/>
        <v>194.24333333333342</v>
      </c>
      <c r="BR155" s="223">
        <f t="shared" si="603"/>
        <v>44854.3</v>
      </c>
      <c r="BS155" s="224">
        <f t="shared" si="604"/>
        <v>22.099999999999586</v>
      </c>
      <c r="BT155" s="216" t="str">
        <f t="shared" si="605"/>
        <v>II TRIM</v>
      </c>
      <c r="BU155" s="214" t="str">
        <f t="shared" ca="1" si="606"/>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7"/>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8"/>
        <v>45115</v>
      </c>
      <c r="CL155" s="21">
        <v>71</v>
      </c>
      <c r="CM155" s="214">
        <f t="shared" si="609"/>
        <v>33.769322235434004</v>
      </c>
      <c r="CN155" s="216">
        <f t="shared" si="610"/>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90"/>
        <v/>
      </c>
      <c r="DA155" s="21">
        <v>100</v>
      </c>
      <c r="DB155" s="21">
        <v>60</v>
      </c>
      <c r="DC155" s="217" t="str">
        <f t="shared" si="611"/>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6"/>
        <v>SALE SIN PLAN DE PARTO</v>
      </c>
      <c r="DV155" s="226" t="str">
        <f t="shared" si="677"/>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2"/>
        <v/>
      </c>
      <c r="DY155" s="212">
        <f>IF(R155="","",IF(R155&gt;0,MAX(Tabla1[[#This Row],[FECHA C2]:[FECHA C13]],Tabla1[[#This Row],[FECHA CONSULTA PRIMERA VEZ PROGRAMA CPN ]])))</f>
        <v>45115</v>
      </c>
      <c r="DZ155" s="216">
        <f t="shared" si="613"/>
        <v>37</v>
      </c>
      <c r="EA155" s="222">
        <f>IF(R155&gt;0,SUM(COUNTA(DF155:DQ155)+COUNTA(Tabla1[[#This Row],[FECHA CONSULTA PRIMERA VEZ PROGRAMA CPN ]])),"")</f>
        <v>4</v>
      </c>
      <c r="EB155" s="222" t="str">
        <f t="shared" si="614"/>
        <v>SI</v>
      </c>
      <c r="EC155" s="214">
        <f t="shared" si="615"/>
        <v>6</v>
      </c>
      <c r="ED155" s="227">
        <f t="shared" si="616"/>
        <v>0.66666666666666663</v>
      </c>
      <c r="EE155" s="22">
        <v>45009</v>
      </c>
      <c r="EF155" s="22">
        <v>45016</v>
      </c>
      <c r="EG155" s="22">
        <v>45009</v>
      </c>
      <c r="EH155" s="22"/>
      <c r="EI155" s="22">
        <v>45009</v>
      </c>
      <c r="EJ155" s="22"/>
      <c r="EK155" s="22"/>
      <c r="EL155" s="21"/>
      <c r="EM155" s="21">
        <v>13.5</v>
      </c>
      <c r="EN155" s="22">
        <v>45009</v>
      </c>
      <c r="EO155" s="222">
        <f t="shared" si="617"/>
        <v>22.099999999999586</v>
      </c>
      <c r="EP155" s="214" t="str">
        <f t="shared" si="618"/>
        <v>NORMAL- SUMINISTRAR SULFATO FERROSO</v>
      </c>
      <c r="EQ155" s="216" t="str">
        <f t="shared" si="619"/>
        <v>II TRIM</v>
      </c>
      <c r="ER155" s="24"/>
      <c r="ES155" s="22"/>
      <c r="ET155" s="29" t="str">
        <f t="shared" ca="1" si="678"/>
        <v>SALE SIN TAMIZAJE HEMOGLOBINA SEM 28</v>
      </c>
      <c r="EU155" s="25" t="str">
        <f t="shared" si="620"/>
        <v/>
      </c>
      <c r="EV155" s="24" t="s">
        <v>1510</v>
      </c>
      <c r="EW155" s="24">
        <v>45009</v>
      </c>
      <c r="EX155" s="22"/>
      <c r="EY155" s="29">
        <f t="shared" si="454"/>
        <v>22.099999999999586</v>
      </c>
      <c r="EZ155" s="25" t="str">
        <f t="shared" si="455"/>
        <v>SIN RIESGO DE ISOINMUNIZACIÓN</v>
      </c>
      <c r="FA155" s="21">
        <v>57</v>
      </c>
      <c r="FB155" s="22">
        <v>45051</v>
      </c>
      <c r="FC155" s="29" t="str">
        <f t="shared" si="621"/>
        <v>NO APLICA &gt; 23 SEM -TOMAR PTOG</v>
      </c>
      <c r="FD155" s="29"/>
      <c r="FE155" s="29"/>
      <c r="FF155" s="29"/>
      <c r="FG155" s="21" t="str">
        <f t="shared" ca="1" si="622"/>
        <v/>
      </c>
      <c r="FH155" s="31"/>
      <c r="FI155" s="29" t="str">
        <f t="shared" si="623"/>
        <v>TOMAR EXAMEN</v>
      </c>
      <c r="FJ155" s="22"/>
      <c r="FK155" s="22"/>
      <c r="FL155" s="29" t="str">
        <f t="shared" ca="1" si="624"/>
        <v>NO APLICA-INGRESO TARDIO</v>
      </c>
      <c r="FM155" s="22" t="s">
        <v>867</v>
      </c>
      <c r="FN155" s="32">
        <v>45009</v>
      </c>
      <c r="FO155" s="29">
        <f t="shared" ca="1" si="679"/>
        <v>22.099999999999586</v>
      </c>
      <c r="FP155" s="22" t="s">
        <v>867</v>
      </c>
      <c r="FQ155" s="32">
        <v>45106</v>
      </c>
      <c r="FR155" s="29">
        <f t="shared" ca="1" si="680"/>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5"/>
        <v>TOMAR EXAMEN</v>
      </c>
      <c r="FY155" s="22"/>
      <c r="FZ155" s="22"/>
      <c r="GA155" s="29" t="str">
        <f t="shared" ca="1" si="498"/>
        <v>NO APLICA-INGRESO TARDIO</v>
      </c>
      <c r="GB155" s="22" t="s">
        <v>868</v>
      </c>
      <c r="GC155" s="22">
        <v>45009</v>
      </c>
      <c r="GD155" s="29">
        <f t="shared" ca="1" si="681"/>
        <v>22.099999999999586</v>
      </c>
      <c r="GE155" s="22"/>
      <c r="GF155" s="22"/>
      <c r="GG155" s="29" t="str">
        <f t="shared" ca="1" si="682"/>
        <v>PIERDE TOMA DE TAMIZAJE</v>
      </c>
      <c r="GH155" s="22"/>
      <c r="GI155" s="29"/>
      <c r="GJ155" s="22"/>
      <c r="GK155" s="22"/>
      <c r="GL155" s="22"/>
      <c r="GM155" s="22"/>
      <c r="GN155" s="28" t="s">
        <v>869</v>
      </c>
      <c r="GO155" s="22">
        <v>45009</v>
      </c>
      <c r="GP155" s="29">
        <f t="shared" si="626"/>
        <v>22.099999999999586</v>
      </c>
      <c r="GQ155" s="28" t="s">
        <v>869</v>
      </c>
      <c r="GR155" s="28" t="s">
        <v>869</v>
      </c>
      <c r="GS155" s="22" t="str">
        <f t="shared" si="627"/>
        <v>CONTROL Igm</v>
      </c>
      <c r="GT155" s="22">
        <v>45009</v>
      </c>
      <c r="GU155" s="29">
        <f t="shared" si="628"/>
        <v>18.285714285714285</v>
      </c>
      <c r="GV155" s="21" t="str">
        <f t="shared" si="629"/>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30"/>
        <v>#REF!</v>
      </c>
      <c r="HI155" s="22" t="e">
        <f t="shared" ca="1" si="631"/>
        <v>#REF!</v>
      </c>
      <c r="HJ155" s="21" t="str">
        <f t="shared" ca="1" si="632"/>
        <v>************************RIESGO POR EDAD***************</v>
      </c>
      <c r="HK155" s="21" t="str">
        <f t="shared" si="633"/>
        <v>SIN ANTECEDENTES DE RIESGO</v>
      </c>
      <c r="HL155" s="24" t="str">
        <f t="shared" si="634"/>
        <v>VIGILAR CIFRAS PRESION ARTERIAL</v>
      </c>
      <c r="HM155" s="21" t="str">
        <f t="shared" ca="1" si="635"/>
        <v/>
      </c>
      <c r="HN155" s="30" t="str">
        <f t="shared" si="683"/>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6"/>
        <v>22.099999999999586</v>
      </c>
      <c r="IA155" s="26"/>
      <c r="IB155" s="26"/>
      <c r="IC155" s="111">
        <v>45121</v>
      </c>
      <c r="ID155" s="22">
        <v>45016</v>
      </c>
      <c r="IE155" s="22" t="str">
        <f t="shared" ca="1" si="637"/>
        <v>VACUNA APLICADA ENTRE SEMANA 20 Y SEMANA 26</v>
      </c>
      <c r="IF155" s="22"/>
      <c r="IG155" s="22">
        <f t="shared" si="638"/>
        <v>45134.3</v>
      </c>
      <c r="IH155" s="29">
        <f t="shared" ca="1" si="639"/>
        <v>-97.69999999999709</v>
      </c>
      <c r="II155" s="22" t="str">
        <f t="shared" ca="1" si="640"/>
        <v>POSIBLEMENTE NACIO</v>
      </c>
      <c r="IJ155" s="22"/>
      <c r="IK155" s="21" t="s">
        <v>898</v>
      </c>
      <c r="IL155" s="21"/>
      <c r="IM155" s="34"/>
      <c r="IN155" s="349">
        <v>45135</v>
      </c>
      <c r="IO155" s="21" t="s">
        <v>1186</v>
      </c>
      <c r="IP155" s="29">
        <f t="shared" si="674"/>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4"/>
        <v>PESO ADECUADO EDAD GESTACIONAL</v>
      </c>
      <c r="JF155" s="30"/>
      <c r="JG155" s="21"/>
      <c r="JH155" s="21"/>
      <c r="JI155" s="309" t="s">
        <v>854</v>
      </c>
      <c r="JJ155" s="329" t="s">
        <v>926</v>
      </c>
      <c r="JK155" s="22"/>
      <c r="JL155" s="22"/>
      <c r="JM155" s="21"/>
      <c r="JN155" s="36"/>
      <c r="JO155" s="21" t="str">
        <f t="shared" si="685"/>
        <v/>
      </c>
      <c r="JP155" s="22"/>
      <c r="JQ155" s="21"/>
      <c r="JR155" s="21"/>
      <c r="JS155" s="21"/>
      <c r="JT155" s="30"/>
      <c r="JU155" s="22"/>
      <c r="JV155" s="22"/>
      <c r="JW155" s="33"/>
      <c r="JX155" s="28" t="str">
        <f t="shared" si="686"/>
        <v>INASISTENTE</v>
      </c>
      <c r="JY155" s="33"/>
      <c r="JZ155" s="28" t="str">
        <f t="shared" si="687"/>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41"/>
        <v>0</v>
      </c>
      <c r="MI155" s="43" t="str">
        <f t="shared" si="642"/>
        <v/>
      </c>
      <c r="MJ155" s="43" t="str">
        <f t="shared" si="643"/>
        <v/>
      </c>
      <c r="MK155" s="43">
        <f t="shared" si="644"/>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5"/>
        <v>22.099999999999586</v>
      </c>
      <c r="MN155" s="43">
        <f t="shared" si="646"/>
        <v>3</v>
      </c>
      <c r="MO155" s="43">
        <f t="shared" si="647"/>
        <v>2023</v>
      </c>
      <c r="MP155" s="43" t="str">
        <f t="shared" si="648"/>
        <v>I TRIMESTRE AÑO</v>
      </c>
      <c r="MQ155" s="43">
        <f t="shared" si="649"/>
        <v>39.895422689443713</v>
      </c>
      <c r="MR155" s="43">
        <f t="shared" si="650"/>
        <v>2</v>
      </c>
      <c r="MS155" s="43" t="str">
        <f t="shared" si="651"/>
        <v xml:space="preserve"> DE 35 A 39 AÑOS</v>
      </c>
      <c r="MT155" s="43">
        <f t="shared" si="652"/>
        <v>0</v>
      </c>
      <c r="MU155" s="43">
        <f t="shared" si="653"/>
        <v>0</v>
      </c>
      <c r="MV155" s="43">
        <f t="shared" si="654"/>
        <v>0</v>
      </c>
      <c r="MW155" s="43">
        <f t="shared" si="655"/>
        <v>0</v>
      </c>
      <c r="MX155" s="43" t="str">
        <f t="shared" si="656"/>
        <v/>
      </c>
      <c r="MY155" s="43" t="str">
        <f t="shared" ca="1" si="688"/>
        <v/>
      </c>
      <c r="MZ155" s="43" t="str">
        <f t="shared" si="657"/>
        <v/>
      </c>
      <c r="NA155" s="43">
        <f t="shared" si="658"/>
        <v>0</v>
      </c>
      <c r="NB155" s="43" t="str">
        <f t="shared" si="659"/>
        <v/>
      </c>
      <c r="NC155" s="43" t="str">
        <f t="shared" si="660"/>
        <v/>
      </c>
      <c r="ND155" s="43">
        <f t="shared" ca="1" si="661"/>
        <v>2</v>
      </c>
      <c r="NE155" s="43">
        <f>IF(OR(O155&gt;0,R155&gt;0),SUM(COUNTIF(Tabla1[[#This Row],[AÑOS AL INICIO5 CPN]],"&gt;=40"),COUNTIF(AS155,"0"),COUNTIF(AR155,"SI"),COUNTIF(CC155,"SI"),COUNTIF(BQ155,"&gt;119"),COUNTIF(CI155,"&gt;=35")),"")</f>
        <v>1</v>
      </c>
      <c r="NF155" s="43">
        <f t="shared" si="662"/>
        <v>23.099999999999586</v>
      </c>
      <c r="NG155" s="43">
        <f t="shared" si="663"/>
        <v>0</v>
      </c>
      <c r="NH155" s="43">
        <f t="shared" si="664"/>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5"/>
        <v>X</v>
      </c>
      <c r="NM155" s="43" t="str">
        <f t="shared" si="501"/>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6"/>
        <v>II TRIM</v>
      </c>
      <c r="NQ155" s="21" t="str">
        <f t="shared" si="691"/>
        <v/>
      </c>
      <c r="NR155" s="21">
        <f t="shared" si="689"/>
        <v>2</v>
      </c>
      <c r="NS155" s="205">
        <f t="shared" ca="1" si="667"/>
        <v>2</v>
      </c>
      <c r="NT155" s="21">
        <f t="shared" ca="1" si="668"/>
        <v>1</v>
      </c>
      <c r="NU155" s="21" t="str">
        <f t="shared" ca="1" si="669"/>
        <v>COMPLETO</v>
      </c>
      <c r="NV155" s="21" t="str">
        <f t="shared" ca="1" si="670"/>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71"/>
        <v>VACUNADA</v>
      </c>
      <c r="NY155" s="43">
        <f>ROW(Tabla1[[#This Row],['# DE TAMIZAJES SIFILIS TOMADOS ]])</f>
        <v>155</v>
      </c>
      <c r="NZ155" s="43">
        <f t="shared" si="502"/>
        <v>22</v>
      </c>
      <c r="OA155" s="43" t="str">
        <f t="shared" si="503"/>
        <v/>
      </c>
      <c r="OB155" s="43" t="str">
        <f t="shared" si="504"/>
        <v/>
      </c>
      <c r="OC155" s="43" t="str">
        <f t="shared" si="505"/>
        <v/>
      </c>
      <c r="OD155" s="43" t="str">
        <f t="shared" si="506"/>
        <v/>
      </c>
      <c r="OE155" s="43" t="str">
        <f t="shared" si="507"/>
        <v/>
      </c>
      <c r="OF155" s="43" t="str">
        <f t="shared" si="508"/>
        <v/>
      </c>
      <c r="OG155" s="43" t="str">
        <f t="shared" si="509"/>
        <v/>
      </c>
      <c r="OH155" s="43" t="str">
        <f t="shared" si="510"/>
        <v/>
      </c>
      <c r="OI155" s="43" t="str">
        <f t="shared" si="511"/>
        <v/>
      </c>
      <c r="OJ155" s="43" t="str">
        <f t="shared" si="512"/>
        <v/>
      </c>
      <c r="OK155" s="43" t="str">
        <f t="shared" si="513"/>
        <v/>
      </c>
      <c r="OL155" s="43" t="str">
        <f t="shared" si="514"/>
        <v/>
      </c>
      <c r="OM155" s="43" t="str">
        <f t="shared" si="515"/>
        <v/>
      </c>
      <c r="ON155" s="43" t="str">
        <f t="shared" si="516"/>
        <v>OBESIDAD</v>
      </c>
      <c r="OO155" s="43" t="str">
        <f t="shared" si="517"/>
        <v/>
      </c>
      <c r="OP155" s="43" t="str">
        <f t="shared" si="518"/>
        <v/>
      </c>
      <c r="OQ155" s="43" t="str">
        <f t="shared" si="519"/>
        <v/>
      </c>
      <c r="OR155" s="43" t="str">
        <f t="shared" si="520"/>
        <v/>
      </c>
      <c r="OS155" s="43" t="str">
        <f t="shared" si="521"/>
        <v/>
      </c>
      <c r="OT155" s="43" t="str">
        <f t="shared" si="522"/>
        <v/>
      </c>
      <c r="OU155" s="43" t="str">
        <f t="shared" si="523"/>
        <v/>
      </c>
      <c r="OV155" s="110" t="str">
        <f t="shared" si="524"/>
        <v/>
      </c>
      <c r="OW155" s="43" t="str">
        <f t="shared" si="525"/>
        <v/>
      </c>
      <c r="OX155" s="43" t="str">
        <f t="shared" si="526"/>
        <v/>
      </c>
      <c r="OY155" s="43" t="str">
        <f t="shared" si="527"/>
        <v/>
      </c>
      <c r="OZ155" s="43" t="str">
        <f t="shared" si="528"/>
        <v/>
      </c>
      <c r="PA155" s="43" t="str">
        <f t="shared" si="529"/>
        <v/>
      </c>
      <c r="PB155" s="43" t="str">
        <f t="shared" si="530"/>
        <v/>
      </c>
      <c r="PC155" s="43" t="str">
        <f t="shared" si="531"/>
        <v/>
      </c>
      <c r="PD155" s="43" t="str">
        <f t="shared" si="532"/>
        <v/>
      </c>
      <c r="PE155" s="43" t="str">
        <f t="shared" si="533"/>
        <v/>
      </c>
      <c r="PF155" s="43" t="str">
        <f t="shared" si="534"/>
        <v/>
      </c>
      <c r="PG155" s="43" t="str">
        <f t="shared" si="535"/>
        <v/>
      </c>
      <c r="PH155" s="43" t="str">
        <f t="shared" si="536"/>
        <v/>
      </c>
      <c r="PI155" s="43">
        <f t="shared" si="537"/>
        <v>37</v>
      </c>
      <c r="PJ155" s="43" t="str">
        <f t="shared" si="538"/>
        <v/>
      </c>
      <c r="PK155" s="43" t="str">
        <f t="shared" si="539"/>
        <v/>
      </c>
      <c r="PL155" s="43" t="str">
        <f t="shared" si="540"/>
        <v/>
      </c>
      <c r="PM155" s="43" t="str">
        <f t="shared" si="541"/>
        <v/>
      </c>
      <c r="PN155" s="43" t="str">
        <f t="shared" si="542"/>
        <v/>
      </c>
      <c r="PO155" s="43" t="str">
        <f t="shared" si="543"/>
        <v/>
      </c>
      <c r="PP155" s="43" t="str">
        <f t="shared" si="544"/>
        <v/>
      </c>
      <c r="PQ155" s="43" t="str">
        <f t="shared" si="545"/>
        <v/>
      </c>
      <c r="PR155" s="43" t="str">
        <f t="shared" si="546"/>
        <v/>
      </c>
      <c r="PS155" s="43" t="str">
        <f t="shared" si="547"/>
        <v/>
      </c>
      <c r="PT155" s="43" t="str">
        <f t="shared" si="548"/>
        <v/>
      </c>
      <c r="PU155" s="43" t="str">
        <f t="shared" si="549"/>
        <v/>
      </c>
      <c r="PV155" s="43" t="str">
        <f t="shared" si="550"/>
        <v/>
      </c>
      <c r="PW155" s="43" t="str">
        <f t="shared" si="551"/>
        <v/>
      </c>
      <c r="PX155" s="43" t="str">
        <f t="shared" si="552"/>
        <v/>
      </c>
      <c r="PY155" s="43" t="str">
        <f t="shared" si="553"/>
        <v/>
      </c>
      <c r="PZ155" s="43" t="str">
        <f t="shared" si="554"/>
        <v/>
      </c>
      <c r="QA155" s="43" t="str">
        <f t="shared" si="555"/>
        <v/>
      </c>
      <c r="QB155" s="43" t="str">
        <f t="shared" si="556"/>
        <v/>
      </c>
      <c r="QC155" s="43" t="str">
        <f t="shared" si="557"/>
        <v/>
      </c>
      <c r="QD155" s="43" t="str">
        <f t="shared" si="558"/>
        <v/>
      </c>
      <c r="QE155" s="43" t="str">
        <f t="shared" si="559"/>
        <v/>
      </c>
      <c r="QF155" s="43" t="str">
        <f t="shared" si="560"/>
        <v/>
      </c>
      <c r="QG155" s="43" t="str">
        <f t="shared" si="561"/>
        <v/>
      </c>
      <c r="QH155" s="43" t="str">
        <f t="shared" si="562"/>
        <v/>
      </c>
      <c r="QI155" s="43" t="str">
        <f t="shared" si="563"/>
        <v/>
      </c>
      <c r="QJ155" s="43" t="str">
        <f t="shared" si="564"/>
        <v/>
      </c>
      <c r="QK155" s="43" t="str">
        <f t="shared" si="565"/>
        <v/>
      </c>
      <c r="QL155" s="43" t="str">
        <f t="shared" si="566"/>
        <v>OBESIDAD</v>
      </c>
      <c r="QM155" s="43" t="str">
        <f t="shared" si="567"/>
        <v/>
      </c>
      <c r="QN155" s="43" t="str">
        <f t="shared" si="568"/>
        <v/>
      </c>
      <c r="QO155" s="43" t="str">
        <f t="shared" si="569"/>
        <v/>
      </c>
      <c r="QP155" s="43" t="str">
        <f t="shared" si="570"/>
        <v/>
      </c>
      <c r="QQ155" s="43" t="str">
        <f t="shared" si="571"/>
        <v/>
      </c>
      <c r="QR155" s="43">
        <f t="shared" si="672"/>
        <v>37</v>
      </c>
      <c r="QS155" s="43"/>
      <c r="QT155" s="21" t="str">
        <f t="shared" si="572"/>
        <v/>
      </c>
      <c r="QU155" s="21" t="str">
        <f t="shared" si="573"/>
        <v/>
      </c>
      <c r="QV155" s="21" t="str">
        <f t="shared" si="574"/>
        <v/>
      </c>
      <c r="QW155" s="21" t="str">
        <f t="shared" si="575"/>
        <v/>
      </c>
      <c r="QX155" s="21" t="str">
        <f t="shared" si="576"/>
        <v/>
      </c>
      <c r="QY155" s="21" t="str">
        <f t="shared" si="577"/>
        <v/>
      </c>
      <c r="QZ155" s="21" t="str">
        <f t="shared" si="578"/>
        <v/>
      </c>
      <c r="RA155" s="21" t="str">
        <f t="shared" si="579"/>
        <v/>
      </c>
      <c r="RB155" s="21" t="str">
        <f t="shared" si="580"/>
        <v/>
      </c>
      <c r="RC155" s="21" t="str">
        <f t="shared" si="581"/>
        <v/>
      </c>
      <c r="RD155" s="21" t="str">
        <f t="shared" si="582"/>
        <v/>
      </c>
      <c r="RE155" s="21" t="str">
        <f t="shared" si="583"/>
        <v/>
      </c>
      <c r="RF155" s="21" t="str">
        <f t="shared" si="584"/>
        <v/>
      </c>
      <c r="RG155" s="21" t="str">
        <f t="shared" si="585"/>
        <v/>
      </c>
      <c r="RH155" s="21" t="str">
        <f t="shared" si="586"/>
        <v/>
      </c>
      <c r="RI155" s="21" t="str">
        <f t="shared" si="587"/>
        <v/>
      </c>
      <c r="RJ155" s="21" t="str">
        <f t="shared" si="588"/>
        <v/>
      </c>
      <c r="RK155" s="21" t="str">
        <f t="shared" si="589"/>
        <v/>
      </c>
      <c r="RL155" s="21" t="str">
        <f t="shared" si="590"/>
        <v/>
      </c>
      <c r="RM155" s="21" t="str">
        <f t="shared" si="591"/>
        <v/>
      </c>
      <c r="RN155" s="21" t="str">
        <f t="shared" si="592"/>
        <v/>
      </c>
      <c r="RO155" s="21" t="str">
        <f t="shared" si="593"/>
        <v/>
      </c>
      <c r="RP155" s="21" t="str">
        <f t="shared" si="594"/>
        <v/>
      </c>
      <c r="RQ155" s="21" t="str">
        <f t="shared" si="595"/>
        <v/>
      </c>
      <c r="RR155" s="21" t="str">
        <f t="shared" si="596"/>
        <v>ALTO PARA EDAD GESTACIONAL</v>
      </c>
      <c r="RS155" s="21" t="str">
        <f t="shared" si="597"/>
        <v/>
      </c>
      <c r="RT155" s="21" t="str">
        <f t="shared" si="598"/>
        <v/>
      </c>
      <c r="RU155" s="21" t="str">
        <f t="shared" si="599"/>
        <v/>
      </c>
      <c r="RV155" s="21">
        <f t="shared" si="600"/>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3"/>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1"/>
        <v>35.38356164383562</v>
      </c>
      <c r="O156" s="22">
        <v>45045</v>
      </c>
      <c r="P156" s="214" t="str">
        <f t="shared" si="675"/>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2"/>
        <v>98.039999999999907</v>
      </c>
      <c r="BR156" s="223">
        <f t="shared" si="603"/>
        <v>44999.199999999997</v>
      </c>
      <c r="BS156" s="224">
        <f t="shared" si="604"/>
        <v>6.5428571428575584</v>
      </c>
      <c r="BT156" s="216" t="str">
        <f t="shared" si="605"/>
        <v>I TRIM</v>
      </c>
      <c r="BU156" s="214">
        <f t="shared" ca="1" si="606"/>
        <v>33.257142857143272</v>
      </c>
      <c r="BV156" s="25" t="s">
        <v>1478</v>
      </c>
      <c r="BW156" s="22">
        <v>45051</v>
      </c>
      <c r="BX156" s="28">
        <v>7.4</v>
      </c>
      <c r="BY156" s="28"/>
      <c r="BZ156" s="22"/>
      <c r="CA156" s="21"/>
      <c r="CB156" s="26"/>
      <c r="CC156" s="26"/>
      <c r="CD156" s="26"/>
      <c r="CE156" s="26"/>
      <c r="CF156" s="22" t="s">
        <v>1517</v>
      </c>
      <c r="CG156" s="21">
        <v>1.57</v>
      </c>
      <c r="CH156" s="21">
        <v>78</v>
      </c>
      <c r="CI156" s="214">
        <f t="shared" si="607"/>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8"/>
        <v>45115</v>
      </c>
      <c r="CL156" s="21">
        <v>78.5</v>
      </c>
      <c r="CM156" s="214">
        <f t="shared" si="609"/>
        <v>31.847133757961782</v>
      </c>
      <c r="CN156" s="216">
        <f t="shared" si="610"/>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90"/>
        <v/>
      </c>
      <c r="DA156" s="21">
        <v>100</v>
      </c>
      <c r="DB156" s="21">
        <v>60</v>
      </c>
      <c r="DC156" s="217" t="str">
        <f t="shared" si="611"/>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6"/>
        <v>PLANEAR PLAN DE PARTO</v>
      </c>
      <c r="DV156" s="226" t="str">
        <f t="shared" si="677"/>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2"/>
        <v>#REF!</v>
      </c>
      <c r="DY156" s="212">
        <f>IF(R156="","",IF(R156&gt;0,MAX(Tabla1[[#This Row],[FECHA C2]:[FECHA C13]],Tabla1[[#This Row],[FECHA CONSULTA PRIMERA VEZ PROGRAMA CPN ]])))</f>
        <v>45115</v>
      </c>
      <c r="DZ156" s="216">
        <f t="shared" si="613"/>
        <v>16</v>
      </c>
      <c r="EA156" s="222">
        <f>IF(R156&gt;0,SUM(COUNTA(DF156:DQ156)+COUNTA(Tabla1[[#This Row],[FECHA CONSULTA PRIMERA VEZ PROGRAMA CPN ]])),"")</f>
        <v>3</v>
      </c>
      <c r="EB156" s="222" t="str">
        <f t="shared" si="614"/>
        <v>NO</v>
      </c>
      <c r="EC156" s="214">
        <f t="shared" si="615"/>
        <v>10</v>
      </c>
      <c r="ED156" s="227">
        <f t="shared" si="616"/>
        <v>0.3</v>
      </c>
      <c r="EE156" s="22">
        <v>45045</v>
      </c>
      <c r="EF156" s="22">
        <v>45051</v>
      </c>
      <c r="EG156" s="22">
        <v>45045</v>
      </c>
      <c r="EH156" s="22"/>
      <c r="EI156" s="22">
        <v>45045</v>
      </c>
      <c r="EJ156" s="22"/>
      <c r="EK156" s="22"/>
      <c r="EL156" s="21"/>
      <c r="EM156" s="21">
        <v>13</v>
      </c>
      <c r="EN156" s="22">
        <v>45051</v>
      </c>
      <c r="EO156" s="222">
        <f t="shared" si="617"/>
        <v>7.400000000000416</v>
      </c>
      <c r="EP156" s="214" t="str">
        <f t="shared" si="618"/>
        <v>NORMAL- SUMINISTRAR SULFATO FERROSO</v>
      </c>
      <c r="EQ156" s="216" t="str">
        <f t="shared" si="619"/>
        <v>I TRIM</v>
      </c>
      <c r="ER156" s="24"/>
      <c r="ES156" s="22"/>
      <c r="ET156" s="29" t="str">
        <f t="shared" ca="1" si="678"/>
        <v>TOMA DE HEMOGLOBINA TARDÍA</v>
      </c>
      <c r="EU156" s="25" t="str">
        <f t="shared" si="620"/>
        <v/>
      </c>
      <c r="EV156" s="24" t="s">
        <v>1510</v>
      </c>
      <c r="EW156" s="32">
        <v>45051</v>
      </c>
      <c r="EX156" s="22"/>
      <c r="EY156" s="29">
        <f t="shared" si="454"/>
        <v>7.400000000000416</v>
      </c>
      <c r="EZ156" s="25" t="str">
        <f t="shared" si="455"/>
        <v>SIN RIESGO DE ISOINMUNIZACIÓN</v>
      </c>
      <c r="FA156" s="21">
        <v>61</v>
      </c>
      <c r="FB156" s="22">
        <v>45051</v>
      </c>
      <c r="FC156" s="29">
        <f t="shared" si="621"/>
        <v>7.400000000000416</v>
      </c>
      <c r="FD156" s="29"/>
      <c r="FE156" s="29"/>
      <c r="FF156" s="29"/>
      <c r="FG156" s="21" t="str">
        <f t="shared" ca="1" si="622"/>
        <v>TOMAR PTOG</v>
      </c>
      <c r="FH156" s="31"/>
      <c r="FI156" s="29" t="str">
        <f t="shared" si="623"/>
        <v>TOMAR EXAMEN</v>
      </c>
      <c r="FJ156" s="22"/>
      <c r="FK156" s="22"/>
      <c r="FL156" s="29" t="str">
        <f t="shared" ca="1" si="624"/>
        <v>PIERDE TOMA DE TAMIZAJE</v>
      </c>
      <c r="FM156" s="22"/>
      <c r="FN156" s="32"/>
      <c r="FO156" s="29" t="str">
        <f t="shared" ca="1" si="679"/>
        <v>PIERDE TOMA DE TAMIZAJE</v>
      </c>
      <c r="FP156" s="22"/>
      <c r="FQ156" s="32"/>
      <c r="FR156" s="29" t="str">
        <f t="shared" ca="1" si="680"/>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5"/>
        <v>TOMAR EXAMEN</v>
      </c>
      <c r="FY156" s="22">
        <v>45044</v>
      </c>
      <c r="FZ156" s="22">
        <v>45044</v>
      </c>
      <c r="GA156" s="29">
        <f t="shared" ca="1" si="498"/>
        <v>6.400000000000416</v>
      </c>
      <c r="GB156" s="22"/>
      <c r="GC156" s="22"/>
      <c r="GD156" s="29" t="str">
        <f t="shared" ca="1" si="681"/>
        <v>PIERDE TOMA DE TAMIZAJE</v>
      </c>
      <c r="GE156" s="22"/>
      <c r="GF156" s="22"/>
      <c r="GG156" s="29" t="str">
        <f t="shared" ca="1" si="682"/>
        <v>EN RANGO PARA TOMAR EXAMEN</v>
      </c>
      <c r="GH156" s="22"/>
      <c r="GI156" s="29"/>
      <c r="GJ156" s="22"/>
      <c r="GK156" s="22"/>
      <c r="GL156" s="22"/>
      <c r="GM156" s="22"/>
      <c r="GN156" s="28"/>
      <c r="GO156" s="22"/>
      <c r="GP156" s="29" t="str">
        <f t="shared" si="626"/>
        <v>TOMAR EXAMEN</v>
      </c>
      <c r="GQ156" s="28"/>
      <c r="GR156" s="28"/>
      <c r="GS156" s="22" t="str">
        <f t="shared" si="627"/>
        <v/>
      </c>
      <c r="GT156" s="22"/>
      <c r="GU156" s="29" t="str">
        <f t="shared" si="628"/>
        <v>TOMAR EXAMEN</v>
      </c>
      <c r="GV156" s="21" t="str">
        <f t="shared" si="629"/>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30"/>
        <v>#REF!</v>
      </c>
      <c r="HI156" s="22" t="e">
        <f t="shared" ca="1" si="631"/>
        <v>#REF!</v>
      </c>
      <c r="HJ156" s="21" t="str">
        <f t="shared" ca="1" si="632"/>
        <v>***************************************</v>
      </c>
      <c r="HK156" s="21" t="str">
        <f t="shared" si="633"/>
        <v>SIN ANTECEDENTES DE RIESGO</v>
      </c>
      <c r="HL156" s="24" t="str">
        <f t="shared" si="634"/>
        <v>APARENTEMENTE NORMAL</v>
      </c>
      <c r="HM156" s="21" t="e">
        <f t="shared" ca="1" si="635"/>
        <v>#REF!</v>
      </c>
      <c r="HN156" s="30" t="str">
        <f t="shared" si="683"/>
        <v>ACTIVA INGRESO A CPN</v>
      </c>
      <c r="HO156" s="21"/>
      <c r="HP156" s="21"/>
      <c r="HQ156" s="349">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6"/>
        <v>PENDIENTE CONSULTA</v>
      </c>
      <c r="IA156" s="26"/>
      <c r="IB156" s="26"/>
      <c r="IC156" s="111"/>
      <c r="ID156" s="22"/>
      <c r="IE156" s="22" t="str">
        <f t="shared" ca="1" si="637"/>
        <v>INASISTENTE</v>
      </c>
      <c r="IF156" s="22"/>
      <c r="IG156" s="22">
        <f t="shared" si="638"/>
        <v>45279.199999999997</v>
      </c>
      <c r="IH156" s="29">
        <f t="shared" ca="1" si="639"/>
        <v>47.19999999999709</v>
      </c>
      <c r="II156" s="22" t="str">
        <f t="shared" ca="1" si="640"/>
        <v>PENDIENTE</v>
      </c>
      <c r="IJ156" s="22"/>
      <c r="IK156" s="21"/>
      <c r="IL156" s="21"/>
      <c r="IM156" s="34"/>
      <c r="IN156" s="22"/>
      <c r="IO156" s="21"/>
      <c r="IP156" s="29" t="str">
        <f t="shared" si="674"/>
        <v/>
      </c>
      <c r="IQ156" s="35"/>
      <c r="IR156" s="21"/>
      <c r="IS156" s="21"/>
      <c r="IT156" s="21"/>
      <c r="IU156" s="21"/>
      <c r="IV156" s="21"/>
      <c r="IW156" s="21"/>
      <c r="IX156" s="21"/>
      <c r="IY156" s="21"/>
      <c r="IZ156" s="21"/>
      <c r="JA156" s="21"/>
      <c r="JB156" s="30"/>
      <c r="JC156" s="21"/>
      <c r="JD156" s="36"/>
      <c r="JE156" s="21" t="str">
        <f t="shared" si="684"/>
        <v/>
      </c>
      <c r="JF156" s="30"/>
      <c r="JG156" s="21"/>
      <c r="JH156" s="21"/>
      <c r="JI156" s="21"/>
      <c r="JJ156" s="30"/>
      <c r="JK156" s="22"/>
      <c r="JL156" s="22"/>
      <c r="JM156" s="21"/>
      <c r="JN156" s="36"/>
      <c r="JO156" s="21" t="str">
        <f t="shared" si="685"/>
        <v/>
      </c>
      <c r="JP156" s="22"/>
      <c r="JQ156" s="21"/>
      <c r="JR156" s="21"/>
      <c r="JS156" s="21"/>
      <c r="JT156" s="30"/>
      <c r="JU156" s="22"/>
      <c r="JV156" s="22"/>
      <c r="JW156" s="33"/>
      <c r="JX156" s="28" t="str">
        <f t="shared" si="686"/>
        <v/>
      </c>
      <c r="JY156" s="33"/>
      <c r="JZ156" s="28" t="str">
        <f t="shared" si="687"/>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41"/>
        <v>0</v>
      </c>
      <c r="MI156" s="43" t="str">
        <f t="shared" si="642"/>
        <v/>
      </c>
      <c r="MJ156" s="43" t="str">
        <f t="shared" si="643"/>
        <v/>
      </c>
      <c r="MK156" s="43">
        <f t="shared" si="644"/>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5"/>
        <v>6.5428571428575584</v>
      </c>
      <c r="MN156" s="43">
        <f t="shared" si="646"/>
        <v>4</v>
      </c>
      <c r="MO156" s="43">
        <f t="shared" si="647"/>
        <v>2023</v>
      </c>
      <c r="MP156" s="43" t="str">
        <f t="shared" si="648"/>
        <v>II TRIMESTRE AÑO</v>
      </c>
      <c r="MQ156" s="43">
        <f t="shared" si="649"/>
        <v>34.346254927726676</v>
      </c>
      <c r="MR156" s="43">
        <f t="shared" si="650"/>
        <v>0</v>
      </c>
      <c r="MS156" s="43" t="str">
        <f t="shared" si="651"/>
        <v xml:space="preserve"> DE 30 A 34 AÑOS</v>
      </c>
      <c r="MT156" s="43">
        <f t="shared" si="652"/>
        <v>0</v>
      </c>
      <c r="MU156" s="43">
        <f t="shared" si="653"/>
        <v>0</v>
      </c>
      <c r="MV156" s="43">
        <f t="shared" si="654"/>
        <v>0</v>
      </c>
      <c r="MW156" s="43">
        <f t="shared" si="655"/>
        <v>0</v>
      </c>
      <c r="MX156" s="43" t="str">
        <f t="shared" si="656"/>
        <v/>
      </c>
      <c r="MY156" s="43" t="str">
        <f t="shared" ca="1" si="688"/>
        <v/>
      </c>
      <c r="MZ156" s="43" t="str">
        <f t="shared" si="657"/>
        <v/>
      </c>
      <c r="NA156" s="43" t="str">
        <f t="shared" si="658"/>
        <v/>
      </c>
      <c r="NB156" s="43" t="str">
        <f t="shared" si="659"/>
        <v/>
      </c>
      <c r="NC156" s="43" t="str">
        <f t="shared" si="660"/>
        <v/>
      </c>
      <c r="ND156" s="43">
        <f t="shared" ca="1" si="661"/>
        <v>0</v>
      </c>
      <c r="NE156" s="43">
        <f>IF(OR(O156&gt;0,R156&gt;0),SUM(COUNTIF(Tabla1[[#This Row],[AÑOS AL INICIO5 CPN]],"&gt;=40"),COUNTIF(AS156,"0"),COUNTIF(AR156,"SI"),COUNTIF(CC156,"SI"),COUNTIF(BQ156,"&gt;119"),COUNTIF(CI156,"&gt;=35")),"")</f>
        <v>0</v>
      </c>
      <c r="NF156" s="43" t="str">
        <f t="shared" si="662"/>
        <v/>
      </c>
      <c r="NG156" s="43">
        <f t="shared" si="663"/>
        <v>0</v>
      </c>
      <c r="NH156" s="43">
        <f t="shared" si="664"/>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5"/>
        <v>X</v>
      </c>
      <c r="NM156" s="43" t="str">
        <f t="shared" si="501"/>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6"/>
        <v>I TRIM</v>
      </c>
      <c r="NQ156" s="21" t="str">
        <f t="shared" si="691"/>
        <v/>
      </c>
      <c r="NR156" s="21">
        <f t="shared" ca="1" si="689"/>
        <v>3</v>
      </c>
      <c r="NS156" s="205">
        <f t="shared" ca="1" si="667"/>
        <v>0</v>
      </c>
      <c r="NT156" s="21">
        <f t="shared" ca="1" si="668"/>
        <v>1</v>
      </c>
      <c r="NU156" s="21" t="str">
        <f t="shared" ca="1" si="669"/>
        <v>INCOMPLETO</v>
      </c>
      <c r="NV156" s="21" t="str">
        <f t="shared" ca="1" si="670"/>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71"/>
        <v>SIN VACUNAR</v>
      </c>
      <c r="NY156" s="43">
        <f>ROW(Tabla1[[#This Row],['# DE TAMIZAJES SIFILIS TOMADOS ]])</f>
        <v>156</v>
      </c>
      <c r="NZ156" s="43" t="str">
        <f t="shared" si="502"/>
        <v>Menor</v>
      </c>
      <c r="OA156" s="43" t="str">
        <f t="shared" si="503"/>
        <v>OBESIDAD</v>
      </c>
      <c r="OB156" s="43" t="str">
        <f t="shared" si="504"/>
        <v/>
      </c>
      <c r="OC156" s="43" t="str">
        <f t="shared" si="505"/>
        <v/>
      </c>
      <c r="OD156" s="43" t="str">
        <f t="shared" si="506"/>
        <v/>
      </c>
      <c r="OE156" s="43" t="str">
        <f t="shared" si="507"/>
        <v/>
      </c>
      <c r="OF156" s="43" t="str">
        <f t="shared" si="508"/>
        <v/>
      </c>
      <c r="OG156" s="43" t="str">
        <f t="shared" si="509"/>
        <v/>
      </c>
      <c r="OH156" s="43" t="str">
        <f t="shared" si="510"/>
        <v/>
      </c>
      <c r="OI156" s="43" t="str">
        <f t="shared" si="511"/>
        <v/>
      </c>
      <c r="OJ156" s="43" t="str">
        <f t="shared" si="512"/>
        <v/>
      </c>
      <c r="OK156" s="43" t="str">
        <f t="shared" si="513"/>
        <v/>
      </c>
      <c r="OL156" s="43" t="str">
        <f t="shared" si="514"/>
        <v/>
      </c>
      <c r="OM156" s="43" t="str">
        <f t="shared" si="515"/>
        <v/>
      </c>
      <c r="ON156" s="43" t="str">
        <f t="shared" si="516"/>
        <v/>
      </c>
      <c r="OO156" s="43" t="str">
        <f t="shared" si="517"/>
        <v/>
      </c>
      <c r="OP156" s="43" t="str">
        <f t="shared" si="518"/>
        <v/>
      </c>
      <c r="OQ156" s="43" t="str">
        <f t="shared" si="519"/>
        <v/>
      </c>
      <c r="OR156" s="43" t="str">
        <f t="shared" si="520"/>
        <v/>
      </c>
      <c r="OS156" s="43" t="str">
        <f t="shared" si="521"/>
        <v/>
      </c>
      <c r="OT156" s="43" t="str">
        <f t="shared" si="522"/>
        <v/>
      </c>
      <c r="OU156" s="43" t="str">
        <f t="shared" si="523"/>
        <v/>
      </c>
      <c r="OV156" s="110" t="str">
        <f t="shared" si="524"/>
        <v/>
      </c>
      <c r="OW156" s="43" t="str">
        <f t="shared" si="525"/>
        <v/>
      </c>
      <c r="OX156" s="43" t="str">
        <f t="shared" si="526"/>
        <v/>
      </c>
      <c r="OY156" s="43" t="str">
        <f t="shared" si="527"/>
        <v/>
      </c>
      <c r="OZ156" s="43" t="str">
        <f t="shared" si="528"/>
        <v/>
      </c>
      <c r="PA156" s="43" t="str">
        <f t="shared" si="529"/>
        <v/>
      </c>
      <c r="PB156" s="43" t="str">
        <f t="shared" si="530"/>
        <v/>
      </c>
      <c r="PC156" s="43" t="str">
        <f t="shared" si="531"/>
        <v/>
      </c>
      <c r="PD156" s="43" t="str">
        <f t="shared" si="532"/>
        <v/>
      </c>
      <c r="PE156" s="43" t="str">
        <f t="shared" si="533"/>
        <v/>
      </c>
      <c r="PF156" s="43" t="str">
        <f t="shared" si="534"/>
        <v/>
      </c>
      <c r="PG156" s="43" t="str">
        <f t="shared" si="535"/>
        <v/>
      </c>
      <c r="PH156" s="43" t="str">
        <f t="shared" si="536"/>
        <v/>
      </c>
      <c r="PI156" s="43">
        <f t="shared" si="537"/>
        <v>16</v>
      </c>
      <c r="PJ156" s="43" t="str">
        <f t="shared" si="538"/>
        <v/>
      </c>
      <c r="PK156" s="43" t="str">
        <f t="shared" si="539"/>
        <v/>
      </c>
      <c r="PL156" s="43" t="str">
        <f t="shared" si="540"/>
        <v/>
      </c>
      <c r="PM156" s="43" t="str">
        <f t="shared" si="541"/>
        <v/>
      </c>
      <c r="PN156" s="43" t="str">
        <f t="shared" si="542"/>
        <v/>
      </c>
      <c r="PO156" s="43" t="str">
        <f t="shared" si="543"/>
        <v/>
      </c>
      <c r="PP156" s="43" t="str">
        <f t="shared" si="544"/>
        <v/>
      </c>
      <c r="PQ156" s="43" t="str">
        <f t="shared" si="545"/>
        <v>OBESIDAD</v>
      </c>
      <c r="PR156" s="43" t="str">
        <f t="shared" si="546"/>
        <v/>
      </c>
      <c r="PS156" s="43" t="str">
        <f t="shared" si="547"/>
        <v/>
      </c>
      <c r="PT156" s="43" t="str">
        <f t="shared" si="548"/>
        <v/>
      </c>
      <c r="PU156" s="43" t="str">
        <f t="shared" si="549"/>
        <v/>
      </c>
      <c r="PV156" s="43" t="str">
        <f t="shared" si="550"/>
        <v/>
      </c>
      <c r="PW156" s="43" t="str">
        <f t="shared" si="551"/>
        <v/>
      </c>
      <c r="PX156" s="43" t="str">
        <f t="shared" si="552"/>
        <v/>
      </c>
      <c r="PY156" s="43" t="str">
        <f t="shared" si="553"/>
        <v/>
      </c>
      <c r="PZ156" s="43" t="str">
        <f t="shared" si="554"/>
        <v/>
      </c>
      <c r="QA156" s="43" t="str">
        <f t="shared" si="555"/>
        <v/>
      </c>
      <c r="QB156" s="43" t="str">
        <f t="shared" si="556"/>
        <v/>
      </c>
      <c r="QC156" s="43" t="str">
        <f t="shared" si="557"/>
        <v/>
      </c>
      <c r="QD156" s="43" t="str">
        <f t="shared" si="558"/>
        <v/>
      </c>
      <c r="QE156" s="43" t="str">
        <f t="shared" si="559"/>
        <v/>
      </c>
      <c r="QF156" s="43" t="str">
        <f t="shared" si="560"/>
        <v/>
      </c>
      <c r="QG156" s="43" t="str">
        <f t="shared" si="561"/>
        <v/>
      </c>
      <c r="QH156" s="43" t="str">
        <f t="shared" si="562"/>
        <v/>
      </c>
      <c r="QI156" s="43" t="str">
        <f t="shared" si="563"/>
        <v/>
      </c>
      <c r="QJ156" s="43" t="str">
        <f t="shared" si="564"/>
        <v/>
      </c>
      <c r="QK156" s="43" t="str">
        <f t="shared" si="565"/>
        <v/>
      </c>
      <c r="QL156" s="43" t="str">
        <f t="shared" si="566"/>
        <v/>
      </c>
      <c r="QM156" s="43" t="str">
        <f t="shared" si="567"/>
        <v/>
      </c>
      <c r="QN156" s="43" t="str">
        <f t="shared" si="568"/>
        <v/>
      </c>
      <c r="QO156" s="43" t="str">
        <f t="shared" si="569"/>
        <v/>
      </c>
      <c r="QP156" s="43" t="str">
        <f t="shared" si="570"/>
        <v/>
      </c>
      <c r="QQ156" s="43" t="str">
        <f t="shared" si="571"/>
        <v/>
      </c>
      <c r="QR156" s="43">
        <f t="shared" si="672"/>
        <v>16</v>
      </c>
      <c r="QS156" s="43"/>
      <c r="QT156" s="21" t="str">
        <f t="shared" si="572"/>
        <v/>
      </c>
      <c r="QU156" s="21" t="str">
        <f t="shared" si="573"/>
        <v/>
      </c>
      <c r="QV156" s="21" t="str">
        <f t="shared" si="574"/>
        <v/>
      </c>
      <c r="QW156" s="21" t="str">
        <f t="shared" si="575"/>
        <v>ADECUADO PARA EDAD GESTACIONAL</v>
      </c>
      <c r="QX156" s="21" t="str">
        <f t="shared" si="576"/>
        <v/>
      </c>
      <c r="QY156" s="21" t="str">
        <f t="shared" si="577"/>
        <v/>
      </c>
      <c r="QZ156" s="21" t="str">
        <f t="shared" si="578"/>
        <v/>
      </c>
      <c r="RA156" s="21" t="str">
        <f t="shared" si="579"/>
        <v/>
      </c>
      <c r="RB156" s="21" t="str">
        <f t="shared" si="580"/>
        <v/>
      </c>
      <c r="RC156" s="21" t="str">
        <f t="shared" si="581"/>
        <v/>
      </c>
      <c r="RD156" s="21" t="str">
        <f t="shared" si="582"/>
        <v/>
      </c>
      <c r="RE156" s="21" t="str">
        <f t="shared" si="583"/>
        <v/>
      </c>
      <c r="RF156" s="21" t="str">
        <f t="shared" si="584"/>
        <v/>
      </c>
      <c r="RG156" s="21" t="str">
        <f t="shared" si="585"/>
        <v/>
      </c>
      <c r="RH156" s="21" t="str">
        <f t="shared" si="586"/>
        <v/>
      </c>
      <c r="RI156" s="21" t="str">
        <f t="shared" si="587"/>
        <v/>
      </c>
      <c r="RJ156" s="21" t="str">
        <f t="shared" si="588"/>
        <v/>
      </c>
      <c r="RK156" s="21" t="str">
        <f t="shared" si="589"/>
        <v/>
      </c>
      <c r="RL156" s="21" t="str">
        <f t="shared" si="590"/>
        <v/>
      </c>
      <c r="RM156" s="21" t="str">
        <f t="shared" si="591"/>
        <v/>
      </c>
      <c r="RN156" s="21" t="str">
        <f t="shared" si="592"/>
        <v/>
      </c>
      <c r="RO156" s="21" t="str">
        <f t="shared" si="593"/>
        <v/>
      </c>
      <c r="RP156" s="21" t="str">
        <f t="shared" si="594"/>
        <v/>
      </c>
      <c r="RQ156" s="21" t="str">
        <f t="shared" si="595"/>
        <v/>
      </c>
      <c r="RR156" s="21" t="str">
        <f t="shared" si="596"/>
        <v/>
      </c>
      <c r="RS156" s="21" t="str">
        <f t="shared" si="597"/>
        <v/>
      </c>
      <c r="RT156" s="21" t="str">
        <f t="shared" si="598"/>
        <v/>
      </c>
      <c r="RU156" s="21" t="str">
        <f t="shared" si="599"/>
        <v/>
      </c>
      <c r="RV156" s="21">
        <f t="shared" si="600"/>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3"/>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1"/>
        <v>32.926027397260277</v>
      </c>
      <c r="O157" s="22">
        <v>45042</v>
      </c>
      <c r="P157" s="214" t="str">
        <f t="shared" si="675"/>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2"/>
        <v>51.7</v>
      </c>
      <c r="BR157" s="223">
        <f t="shared" si="603"/>
        <v>45008.3</v>
      </c>
      <c r="BS157" s="224">
        <f t="shared" si="604"/>
        <v>4.1428571428571432</v>
      </c>
      <c r="BT157" s="216" t="str">
        <f t="shared" si="605"/>
        <v>I TRIM</v>
      </c>
      <c r="BU157" s="214">
        <f t="shared" ca="1" si="606"/>
        <v>31.285714285714285</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7"/>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8"/>
        <v>45140</v>
      </c>
      <c r="CL157" s="21">
        <v>63.2</v>
      </c>
      <c r="CM157" s="214">
        <f t="shared" si="609"/>
        <v>27.718082540239465</v>
      </c>
      <c r="CN157" s="216">
        <f t="shared" si="610"/>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90"/>
        <v/>
      </c>
      <c r="DA157" s="21">
        <v>90</v>
      </c>
      <c r="DB157" s="21">
        <v>60</v>
      </c>
      <c r="DC157" s="217" t="str">
        <f t="shared" si="611"/>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6"/>
        <v>PLANEAR PLAN DE PARTO</v>
      </c>
      <c r="DV157" s="226" t="str">
        <f t="shared" si="677"/>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2"/>
        <v>#REF!</v>
      </c>
      <c r="DY157" s="212">
        <f>IF(R157="","",IF(R157&gt;0,MAX(Tabla1[[#This Row],[FECHA C2]:[FECHA C13]],Tabla1[[#This Row],[FECHA CONSULTA PRIMERA VEZ PROGRAMA CPN ]])))</f>
        <v>45140</v>
      </c>
      <c r="DZ157" s="216">
        <f t="shared" si="613"/>
        <v>18</v>
      </c>
      <c r="EA157" s="222">
        <f>IF(R157&gt;0,SUM(COUNTA(DF157:DQ157)+COUNTA(Tabla1[[#This Row],[FECHA CONSULTA PRIMERA VEZ PROGRAMA CPN ]])),"")</f>
        <v>2</v>
      </c>
      <c r="EB157" s="222" t="str">
        <f t="shared" si="614"/>
        <v>NO</v>
      </c>
      <c r="EC157" s="214">
        <f t="shared" si="615"/>
        <v>10</v>
      </c>
      <c r="ED157" s="227">
        <f t="shared" si="616"/>
        <v>0.2</v>
      </c>
      <c r="EE157" s="22">
        <v>45042</v>
      </c>
      <c r="EF157" s="22">
        <v>45042</v>
      </c>
      <c r="EG157" s="22">
        <v>45042</v>
      </c>
      <c r="EH157" s="22"/>
      <c r="EI157" s="22">
        <v>45042</v>
      </c>
      <c r="EJ157" s="22"/>
      <c r="EK157" s="22"/>
      <c r="EL157" s="21"/>
      <c r="EM157" s="21">
        <v>13.4</v>
      </c>
      <c r="EN157" s="22">
        <v>45051</v>
      </c>
      <c r="EO157" s="222">
        <f t="shared" si="617"/>
        <v>5.4285714285714288</v>
      </c>
      <c r="EP157" s="214" t="str">
        <f t="shared" si="618"/>
        <v>NORMAL- SUMINISTRAR SULFATO FERROSO</v>
      </c>
      <c r="EQ157" s="216" t="str">
        <f t="shared" si="619"/>
        <v>I TRIM</v>
      </c>
      <c r="ER157" s="24"/>
      <c r="ES157" s="22"/>
      <c r="ET157" s="29" t="str">
        <f t="shared" ca="1" si="678"/>
        <v>TOMA DE HEMOGLOBINA TARDÍA</v>
      </c>
      <c r="EU157" s="25" t="str">
        <f t="shared" si="620"/>
        <v/>
      </c>
      <c r="EV157" s="24" t="s">
        <v>1510</v>
      </c>
      <c r="EW157" s="24">
        <v>45051</v>
      </c>
      <c r="EX157" s="22"/>
      <c r="EY157" s="29">
        <f t="shared" si="454"/>
        <v>5.4285714285714288</v>
      </c>
      <c r="EZ157" s="25" t="str">
        <f t="shared" si="455"/>
        <v>SIN RIESGO DE ISOINMUNIZACIÓN</v>
      </c>
      <c r="FA157" s="21"/>
      <c r="FB157" s="22"/>
      <c r="FC157" s="29" t="str">
        <f t="shared" si="621"/>
        <v>TOMAR EXAMEN</v>
      </c>
      <c r="FD157" s="29"/>
      <c r="FE157" s="29"/>
      <c r="FF157" s="29"/>
      <c r="FG157" s="21" t="str">
        <f t="shared" ca="1" si="622"/>
        <v>TOMAR PTOG</v>
      </c>
      <c r="FH157" s="31"/>
      <c r="FI157" s="29" t="str">
        <f t="shared" si="623"/>
        <v>TOMAR EXAMEN</v>
      </c>
      <c r="FJ157" s="22" t="s">
        <v>867</v>
      </c>
      <c r="FK157" s="22">
        <v>45042</v>
      </c>
      <c r="FL157" s="29">
        <f t="shared" ca="1" si="624"/>
        <v>4.1428571428571432</v>
      </c>
      <c r="FM157" s="22"/>
      <c r="FN157" s="32"/>
      <c r="FO157" s="29" t="str">
        <f t="shared" ca="1" si="679"/>
        <v>PIERDE TOMA DE TAMIZAJE</v>
      </c>
      <c r="FP157" s="22"/>
      <c r="FQ157" s="32"/>
      <c r="FR157" s="29" t="str">
        <f t="shared" ca="1" si="680"/>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5"/>
        <v>TOMAR EXAMEN</v>
      </c>
      <c r="FY157" s="22">
        <v>45042</v>
      </c>
      <c r="FZ157" s="22">
        <v>45042</v>
      </c>
      <c r="GA157" s="29">
        <f t="shared" ref="GA157:GA188" ca="1" si="692">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81"/>
        <v>PIERDE TOMA DE TAMIZAJE</v>
      </c>
      <c r="GE157" s="22"/>
      <c r="GF157" s="22"/>
      <c r="GG157" s="29" t="str">
        <f t="shared" ca="1" si="682"/>
        <v>EN RANGO PARA TOMAR EXAMEN</v>
      </c>
      <c r="GH157" s="22"/>
      <c r="GI157" s="29"/>
      <c r="GJ157" s="22"/>
      <c r="GK157" s="22"/>
      <c r="GL157" s="22"/>
      <c r="GM157" s="22"/>
      <c r="GN157" s="28"/>
      <c r="GO157" s="22"/>
      <c r="GP157" s="29" t="str">
        <f t="shared" si="626"/>
        <v>TOMAR EXAMEN</v>
      </c>
      <c r="GQ157" s="28" t="s">
        <v>869</v>
      </c>
      <c r="GR157" s="28" t="s">
        <v>869</v>
      </c>
      <c r="GS157" s="22" t="str">
        <f t="shared" si="627"/>
        <v>CONTROL Igm</v>
      </c>
      <c r="GT157" s="22">
        <v>45042</v>
      </c>
      <c r="GU157" s="29">
        <f t="shared" si="628"/>
        <v>4.1428571428571432</v>
      </c>
      <c r="GV157" s="21" t="str">
        <f t="shared" si="629"/>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30"/>
        <v>#REF!</v>
      </c>
      <c r="HI157" s="22" t="str">
        <f t="shared" si="631"/>
        <v>ALTO RIESGO</v>
      </c>
      <c r="HJ157" s="21" t="str">
        <f t="shared" ca="1" si="632"/>
        <v>*ANTECEDENTE PREECLAMPSIA**************************************</v>
      </c>
      <c r="HK157" s="21" t="str">
        <f t="shared" si="633"/>
        <v>RIESGO ALTO DE COMPLICACIONES HIPERTENSIVAS VER MANEJO GUIA SUMINISTRO ASA Y CALCIO</v>
      </c>
      <c r="HL157" s="24" t="str">
        <f t="shared" si="634"/>
        <v>APARENTEMENTE NORMAL</v>
      </c>
      <c r="HM157" s="21" t="e">
        <f t="shared" ca="1" si="635"/>
        <v>#REF!</v>
      </c>
      <c r="HN157" s="30" t="str">
        <f t="shared" si="683"/>
        <v>ACTIVA INGRESO A CPN</v>
      </c>
      <c r="HO157" s="21"/>
      <c r="HP157" s="21"/>
      <c r="HQ157" s="349">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6"/>
        <v>PENDIENTE CONSULTA</v>
      </c>
      <c r="IA157" s="26"/>
      <c r="IB157" s="26"/>
      <c r="IC157" s="111"/>
      <c r="ID157" s="22"/>
      <c r="IE157" s="22" t="str">
        <f t="shared" ca="1" si="637"/>
        <v>INASISTENTE</v>
      </c>
      <c r="IF157" s="22"/>
      <c r="IG157" s="22">
        <f t="shared" si="638"/>
        <v>45293</v>
      </c>
      <c r="IH157" s="29">
        <f t="shared" ca="1" si="639"/>
        <v>61</v>
      </c>
      <c r="II157" s="22" t="str">
        <f t="shared" ca="1" si="640"/>
        <v>PENDIENTE</v>
      </c>
      <c r="IJ157" s="22"/>
      <c r="IK157" s="21"/>
      <c r="IL157" s="21"/>
      <c r="IM157" s="34"/>
      <c r="IN157" s="22"/>
      <c r="IO157" s="21"/>
      <c r="IP157" s="29" t="str">
        <f t="shared" si="674"/>
        <v/>
      </c>
      <c r="IQ157" s="35"/>
      <c r="IR157" s="21"/>
      <c r="IS157" s="21"/>
      <c r="IT157" s="21"/>
      <c r="IU157" s="21"/>
      <c r="IV157" s="21"/>
      <c r="IW157" s="21"/>
      <c r="IX157" s="21"/>
      <c r="IY157" s="21"/>
      <c r="IZ157" s="21"/>
      <c r="JA157" s="21"/>
      <c r="JB157" s="30"/>
      <c r="JC157" s="21"/>
      <c r="JD157" s="36"/>
      <c r="JE157" s="21" t="str">
        <f t="shared" si="684"/>
        <v/>
      </c>
      <c r="JF157" s="30"/>
      <c r="JG157" s="21"/>
      <c r="JH157" s="21"/>
      <c r="JI157" s="21"/>
      <c r="JJ157" s="30"/>
      <c r="JK157" s="22"/>
      <c r="JL157" s="22"/>
      <c r="JM157" s="21"/>
      <c r="JN157" s="36"/>
      <c r="JO157" s="21" t="str">
        <f t="shared" si="685"/>
        <v/>
      </c>
      <c r="JP157" s="22"/>
      <c r="JQ157" s="21"/>
      <c r="JR157" s="21"/>
      <c r="JS157" s="21"/>
      <c r="JT157" s="30"/>
      <c r="JU157" s="22"/>
      <c r="JV157" s="22"/>
      <c r="JW157" s="33"/>
      <c r="JX157" s="28" t="str">
        <f t="shared" si="686"/>
        <v/>
      </c>
      <c r="JY157" s="33"/>
      <c r="JZ157" s="28" t="str">
        <f t="shared" si="687"/>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41"/>
        <v>0</v>
      </c>
      <c r="MI157" s="43" t="str">
        <f t="shared" si="642"/>
        <v/>
      </c>
      <c r="MJ157" s="43" t="str">
        <f t="shared" si="643"/>
        <v/>
      </c>
      <c r="MK157" s="43">
        <f t="shared" si="644"/>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5"/>
        <v>4.1428571428571432</v>
      </c>
      <c r="MN157" s="43">
        <f t="shared" si="646"/>
        <v>4</v>
      </c>
      <c r="MO157" s="43">
        <f t="shared" si="647"/>
        <v>2023</v>
      </c>
      <c r="MP157" s="43" t="str">
        <f t="shared" si="648"/>
        <v>II TRIMESTRE AÑO</v>
      </c>
      <c r="MQ157" s="43">
        <f t="shared" si="649"/>
        <v>31.917980727113445</v>
      </c>
      <c r="MR157" s="43">
        <f t="shared" si="650"/>
        <v>0</v>
      </c>
      <c r="MS157" s="43" t="str">
        <f t="shared" si="651"/>
        <v xml:space="preserve"> DE 30 A 34 AÑOS</v>
      </c>
      <c r="MT157" s="43">
        <f t="shared" si="652"/>
        <v>0</v>
      </c>
      <c r="MU157" s="43">
        <f t="shared" si="653"/>
        <v>0</v>
      </c>
      <c r="MV157" s="43">
        <f t="shared" si="654"/>
        <v>0</v>
      </c>
      <c r="MW157" s="43">
        <f t="shared" si="655"/>
        <v>0</v>
      </c>
      <c r="MX157" s="43" t="str">
        <f t="shared" si="656"/>
        <v/>
      </c>
      <c r="MY157" s="43" t="str">
        <f t="shared" ca="1" si="688"/>
        <v/>
      </c>
      <c r="MZ157" s="43" t="str">
        <f t="shared" si="657"/>
        <v/>
      </c>
      <c r="NA157" s="43" t="str">
        <f t="shared" si="658"/>
        <v/>
      </c>
      <c r="NB157" s="43" t="str">
        <f t="shared" si="659"/>
        <v/>
      </c>
      <c r="NC157" s="43" t="str">
        <f t="shared" si="660"/>
        <v/>
      </c>
      <c r="ND157" s="43">
        <f t="shared" ca="1" si="661"/>
        <v>1</v>
      </c>
      <c r="NE157" s="43">
        <f>IF(OR(O157&gt;0,R157&gt;0),SUM(COUNTIF(Tabla1[[#This Row],[AÑOS AL INICIO5 CPN]],"&gt;=40"),COUNTIF(AS157,"0"),COUNTIF(AR157,"SI"),COUNTIF(CC157,"SI"),COUNTIF(BQ157,"&gt;119"),COUNTIF(CI157,"&gt;=35")),"")</f>
        <v>0</v>
      </c>
      <c r="NF157" s="43" t="str">
        <f t="shared" si="662"/>
        <v/>
      </c>
      <c r="NG157" s="43">
        <f t="shared" si="663"/>
        <v>0</v>
      </c>
      <c r="NH157" s="43">
        <f t="shared" si="664"/>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5"/>
        <v>X</v>
      </c>
      <c r="NM157" s="43" t="str">
        <f t="shared" si="501"/>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6"/>
        <v>I TRIM</v>
      </c>
      <c r="NQ157" s="21" t="e">
        <f t="shared" si="691"/>
        <v>#REF!</v>
      </c>
      <c r="NR157" s="21">
        <f t="shared" ca="1" si="689"/>
        <v>3</v>
      </c>
      <c r="NS157" s="205">
        <f t="shared" ca="1" si="667"/>
        <v>1</v>
      </c>
      <c r="NT157" s="21">
        <f t="shared" ca="1" si="668"/>
        <v>1</v>
      </c>
      <c r="NU157" s="21" t="str">
        <f t="shared" ca="1" si="669"/>
        <v>INCOMPLETO</v>
      </c>
      <c r="NV157" s="21" t="str">
        <f t="shared" ca="1" si="670"/>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71"/>
        <v>SIN VACUNAR</v>
      </c>
      <c r="NY157" s="43">
        <f>ROW(Tabla1[[#This Row],['# DE TAMIZAJES SIFILIS TOMADOS ]])</f>
        <v>157</v>
      </c>
      <c r="NZ157" s="43" t="str">
        <f t="shared" si="502"/>
        <v>Menor</v>
      </c>
      <c r="OA157" s="43" t="str">
        <f t="shared" si="503"/>
        <v>SOBREPESO</v>
      </c>
      <c r="OB157" s="43" t="str">
        <f t="shared" si="504"/>
        <v/>
      </c>
      <c r="OC157" s="43" t="str">
        <f t="shared" si="505"/>
        <v/>
      </c>
      <c r="OD157" s="43" t="str">
        <f t="shared" si="506"/>
        <v/>
      </c>
      <c r="OE157" s="43" t="str">
        <f t="shared" si="507"/>
        <v/>
      </c>
      <c r="OF157" s="43" t="str">
        <f t="shared" si="508"/>
        <v/>
      </c>
      <c r="OG157" s="43" t="str">
        <f t="shared" si="509"/>
        <v/>
      </c>
      <c r="OH157" s="43" t="str">
        <f t="shared" si="510"/>
        <v/>
      </c>
      <c r="OI157" s="43" t="str">
        <f t="shared" si="511"/>
        <v/>
      </c>
      <c r="OJ157" s="43" t="str">
        <f t="shared" si="512"/>
        <v/>
      </c>
      <c r="OK157" s="43" t="str">
        <f t="shared" si="513"/>
        <v/>
      </c>
      <c r="OL157" s="43" t="str">
        <f t="shared" si="514"/>
        <v/>
      </c>
      <c r="OM157" s="43" t="str">
        <f t="shared" si="515"/>
        <v/>
      </c>
      <c r="ON157" s="43" t="str">
        <f t="shared" si="516"/>
        <v/>
      </c>
      <c r="OO157" s="43" t="str">
        <f t="shared" si="517"/>
        <v/>
      </c>
      <c r="OP157" s="43" t="str">
        <f t="shared" si="518"/>
        <v/>
      </c>
      <c r="OQ157" s="43" t="str">
        <f t="shared" si="519"/>
        <v/>
      </c>
      <c r="OR157" s="43" t="str">
        <f t="shared" si="520"/>
        <v/>
      </c>
      <c r="OS157" s="43" t="str">
        <f t="shared" si="521"/>
        <v/>
      </c>
      <c r="OT157" s="43" t="str">
        <f t="shared" si="522"/>
        <v/>
      </c>
      <c r="OU157" s="43" t="str">
        <f t="shared" si="523"/>
        <v/>
      </c>
      <c r="OV157" s="110" t="str">
        <f t="shared" si="524"/>
        <v/>
      </c>
      <c r="OW157" s="43" t="str">
        <f t="shared" si="525"/>
        <v/>
      </c>
      <c r="OX157" s="43" t="str">
        <f t="shared" si="526"/>
        <v/>
      </c>
      <c r="OY157" s="43" t="str">
        <f t="shared" si="527"/>
        <v/>
      </c>
      <c r="OZ157" s="43" t="str">
        <f t="shared" si="528"/>
        <v/>
      </c>
      <c r="PA157" s="43" t="str">
        <f t="shared" si="529"/>
        <v/>
      </c>
      <c r="PB157" s="43" t="str">
        <f t="shared" si="530"/>
        <v/>
      </c>
      <c r="PC157" s="43" t="str">
        <f t="shared" si="531"/>
        <v/>
      </c>
      <c r="PD157" s="43" t="str">
        <f t="shared" si="532"/>
        <v/>
      </c>
      <c r="PE157" s="43" t="str">
        <f t="shared" si="533"/>
        <v/>
      </c>
      <c r="PF157" s="43" t="str">
        <f t="shared" si="534"/>
        <v/>
      </c>
      <c r="PG157" s="43" t="str">
        <f t="shared" si="535"/>
        <v/>
      </c>
      <c r="PH157" s="43" t="str">
        <f t="shared" si="536"/>
        <v/>
      </c>
      <c r="PI157" s="43">
        <f t="shared" si="537"/>
        <v>18</v>
      </c>
      <c r="PJ157" s="43" t="str">
        <f t="shared" si="538"/>
        <v/>
      </c>
      <c r="PK157" s="43" t="str">
        <f t="shared" si="539"/>
        <v/>
      </c>
      <c r="PL157" s="43" t="str">
        <f t="shared" si="540"/>
        <v/>
      </c>
      <c r="PM157" s="43" t="str">
        <f t="shared" si="541"/>
        <v/>
      </c>
      <c r="PN157" s="43" t="str">
        <f t="shared" si="542"/>
        <v/>
      </c>
      <c r="PO157" s="43" t="str">
        <f t="shared" si="543"/>
        <v/>
      </c>
      <c r="PP157" s="43" t="str">
        <f t="shared" si="544"/>
        <v/>
      </c>
      <c r="PQ157" s="43" t="str">
        <f t="shared" si="545"/>
        <v/>
      </c>
      <c r="PR157" s="43" t="str">
        <f t="shared" si="546"/>
        <v/>
      </c>
      <c r="PS157" s="43" t="str">
        <f t="shared" si="547"/>
        <v>SOBREPESO</v>
      </c>
      <c r="PT157" s="43" t="str">
        <f t="shared" si="548"/>
        <v/>
      </c>
      <c r="PU157" s="43" t="str">
        <f t="shared" si="549"/>
        <v/>
      </c>
      <c r="PV157" s="43" t="str">
        <f t="shared" si="550"/>
        <v/>
      </c>
      <c r="PW157" s="43" t="str">
        <f t="shared" si="551"/>
        <v/>
      </c>
      <c r="PX157" s="43" t="str">
        <f t="shared" si="552"/>
        <v/>
      </c>
      <c r="PY157" s="43" t="str">
        <f t="shared" si="553"/>
        <v/>
      </c>
      <c r="PZ157" s="43" t="str">
        <f t="shared" si="554"/>
        <v/>
      </c>
      <c r="QA157" s="43" t="str">
        <f t="shared" si="555"/>
        <v/>
      </c>
      <c r="QB157" s="43" t="str">
        <f t="shared" si="556"/>
        <v/>
      </c>
      <c r="QC157" s="43" t="str">
        <f t="shared" si="557"/>
        <v/>
      </c>
      <c r="QD157" s="43" t="str">
        <f t="shared" si="558"/>
        <v/>
      </c>
      <c r="QE157" s="43" t="str">
        <f t="shared" si="559"/>
        <v/>
      </c>
      <c r="QF157" s="43" t="str">
        <f t="shared" si="560"/>
        <v/>
      </c>
      <c r="QG157" s="43" t="str">
        <f t="shared" si="561"/>
        <v/>
      </c>
      <c r="QH157" s="43" t="str">
        <f t="shared" si="562"/>
        <v/>
      </c>
      <c r="QI157" s="43" t="str">
        <f t="shared" si="563"/>
        <v/>
      </c>
      <c r="QJ157" s="43" t="str">
        <f t="shared" si="564"/>
        <v/>
      </c>
      <c r="QK157" s="43" t="str">
        <f t="shared" si="565"/>
        <v/>
      </c>
      <c r="QL157" s="43" t="str">
        <f t="shared" si="566"/>
        <v/>
      </c>
      <c r="QM157" s="43" t="str">
        <f t="shared" si="567"/>
        <v/>
      </c>
      <c r="QN157" s="43" t="str">
        <f t="shared" si="568"/>
        <v/>
      </c>
      <c r="QO157" s="43" t="str">
        <f t="shared" si="569"/>
        <v/>
      </c>
      <c r="QP157" s="43" t="str">
        <f t="shared" si="570"/>
        <v/>
      </c>
      <c r="QQ157" s="43" t="str">
        <f t="shared" si="571"/>
        <v/>
      </c>
      <c r="QR157" s="43">
        <f t="shared" si="672"/>
        <v>18</v>
      </c>
      <c r="QS157" s="43"/>
      <c r="QT157" s="21" t="str">
        <f t="shared" si="572"/>
        <v/>
      </c>
      <c r="QU157" s="21" t="str">
        <f t="shared" si="573"/>
        <v/>
      </c>
      <c r="QV157" s="21" t="str">
        <f t="shared" si="574"/>
        <v/>
      </c>
      <c r="QW157" s="21" t="str">
        <f t="shared" si="575"/>
        <v/>
      </c>
      <c r="QX157" s="21" t="str">
        <f t="shared" si="576"/>
        <v/>
      </c>
      <c r="QY157" s="21" t="str">
        <f t="shared" si="577"/>
        <v>ADECUADO PARA EDAD GESTACIONAL</v>
      </c>
      <c r="QZ157" s="21" t="str">
        <f t="shared" si="578"/>
        <v/>
      </c>
      <c r="RA157" s="21" t="str">
        <f t="shared" si="579"/>
        <v/>
      </c>
      <c r="RB157" s="21" t="str">
        <f t="shared" si="580"/>
        <v/>
      </c>
      <c r="RC157" s="21" t="str">
        <f t="shared" si="581"/>
        <v/>
      </c>
      <c r="RD157" s="21" t="str">
        <f t="shared" si="582"/>
        <v/>
      </c>
      <c r="RE157" s="21" t="str">
        <f t="shared" si="583"/>
        <v/>
      </c>
      <c r="RF157" s="21" t="str">
        <f t="shared" si="584"/>
        <v/>
      </c>
      <c r="RG157" s="21" t="str">
        <f t="shared" si="585"/>
        <v/>
      </c>
      <c r="RH157" s="21" t="str">
        <f t="shared" si="586"/>
        <v/>
      </c>
      <c r="RI157" s="21" t="str">
        <f t="shared" si="587"/>
        <v/>
      </c>
      <c r="RJ157" s="21" t="str">
        <f t="shared" si="588"/>
        <v/>
      </c>
      <c r="RK157" s="21" t="str">
        <f t="shared" si="589"/>
        <v/>
      </c>
      <c r="RL157" s="21" t="str">
        <f t="shared" si="590"/>
        <v/>
      </c>
      <c r="RM157" s="21" t="str">
        <f t="shared" si="591"/>
        <v/>
      </c>
      <c r="RN157" s="21" t="str">
        <f t="shared" si="592"/>
        <v/>
      </c>
      <c r="RO157" s="21" t="str">
        <f t="shared" si="593"/>
        <v/>
      </c>
      <c r="RP157" s="21" t="str">
        <f t="shared" si="594"/>
        <v/>
      </c>
      <c r="RQ157" s="21" t="str">
        <f t="shared" si="595"/>
        <v/>
      </c>
      <c r="RR157" s="21" t="str">
        <f t="shared" si="596"/>
        <v/>
      </c>
      <c r="RS157" s="21" t="str">
        <f t="shared" si="597"/>
        <v/>
      </c>
      <c r="RT157" s="21" t="str">
        <f t="shared" si="598"/>
        <v/>
      </c>
      <c r="RU157" s="21" t="str">
        <f t="shared" si="599"/>
        <v/>
      </c>
      <c r="RV157" s="21">
        <f t="shared" si="600"/>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3"/>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1"/>
        <v>23.252054794520546</v>
      </c>
      <c r="O158" s="22">
        <v>45036</v>
      </c>
      <c r="P158" s="214" t="str">
        <f t="shared" si="675"/>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2"/>
        <v>0</v>
      </c>
      <c r="BR158" s="223">
        <f t="shared" si="603"/>
        <v>44855</v>
      </c>
      <c r="BS158" s="224">
        <f t="shared" si="604"/>
        <v>25.285714285714285</v>
      </c>
      <c r="BT158" s="216" t="str">
        <f t="shared" si="605"/>
        <v>II TRIM</v>
      </c>
      <c r="BU158" s="214" t="str">
        <f t="shared" ca="1" si="606"/>
        <v/>
      </c>
      <c r="BV158" s="25"/>
      <c r="BW158" s="22">
        <v>45051</v>
      </c>
      <c r="BX158" s="28">
        <v>28</v>
      </c>
      <c r="BY158" s="28"/>
      <c r="BZ158" s="22"/>
      <c r="CA158" s="21"/>
      <c r="CB158" s="26"/>
      <c r="CC158" s="26"/>
      <c r="CD158" s="26"/>
      <c r="CE158" s="26"/>
      <c r="CF158" s="22" t="s">
        <v>1517</v>
      </c>
      <c r="CG158" s="21">
        <v>1.42</v>
      </c>
      <c r="CH158" s="21">
        <v>50</v>
      </c>
      <c r="CI158" s="214">
        <f t="shared" si="607"/>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8"/>
        <v>45097</v>
      </c>
      <c r="CL158" s="21">
        <v>51.8</v>
      </c>
      <c r="CM158" s="214">
        <f t="shared" si="609"/>
        <v>25.689347351715927</v>
      </c>
      <c r="CN158" s="216">
        <f t="shared" si="610"/>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90"/>
        <v>APARENTEMENTE NORMAL</v>
      </c>
      <c r="DA158" s="21">
        <v>90</v>
      </c>
      <c r="DB158" s="21">
        <v>60</v>
      </c>
      <c r="DC158" s="217" t="str">
        <f t="shared" si="611"/>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6"/>
        <v>SALE SIN PLAN DE PARTO</v>
      </c>
      <c r="DV158" s="226" t="str">
        <f t="shared" si="677"/>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2"/>
        <v/>
      </c>
      <c r="DY158" s="212">
        <f>IF(R158="","",IF(R158&gt;0,MAX(Tabla1[[#This Row],[FECHA C2]:[FECHA C13]],Tabla1[[#This Row],[FECHA CONSULTA PRIMERA VEZ PROGRAMA CPN ]])))</f>
        <v>45097</v>
      </c>
      <c r="DZ158" s="216">
        <f t="shared" si="613"/>
        <v>34</v>
      </c>
      <c r="EA158" s="222">
        <f>IF(R158&gt;0,SUM(COUNTA(DF158:DQ158)+COUNTA(Tabla1[[#This Row],[FECHA CONSULTA PRIMERA VEZ PROGRAMA CPN ]])),"")</f>
        <v>3</v>
      </c>
      <c r="EB158" s="222" t="str">
        <f t="shared" si="614"/>
        <v>NO</v>
      </c>
      <c r="EC158" s="214">
        <f t="shared" si="615"/>
        <v>5</v>
      </c>
      <c r="ED158" s="227">
        <f t="shared" si="616"/>
        <v>0.6</v>
      </c>
      <c r="EE158" s="22">
        <v>45036</v>
      </c>
      <c r="EF158" s="22">
        <v>45038</v>
      </c>
      <c r="EG158" s="22">
        <v>45036</v>
      </c>
      <c r="EH158" s="22"/>
      <c r="EI158" s="22">
        <v>45036</v>
      </c>
      <c r="EJ158" s="22"/>
      <c r="EK158" s="22"/>
      <c r="EL158" s="21"/>
      <c r="EM158" s="21">
        <v>11</v>
      </c>
      <c r="EN158" s="22">
        <v>45044</v>
      </c>
      <c r="EO158" s="222">
        <f t="shared" si="617"/>
        <v>26.428571428571427</v>
      </c>
      <c r="EP158" s="214" t="str">
        <f t="shared" si="618"/>
        <v>NORMAL- SUMINISTRAR SULFATO FERROSO</v>
      </c>
      <c r="EQ158" s="216" t="str">
        <f t="shared" si="619"/>
        <v>II TRIM</v>
      </c>
      <c r="ER158" s="24"/>
      <c r="ES158" s="22"/>
      <c r="ET158" s="29" t="str">
        <f t="shared" ca="1" si="678"/>
        <v>SALE SIN TAMIZAJE HEMOGLOBINA SEM 28</v>
      </c>
      <c r="EU158" s="25" t="str">
        <f t="shared" si="620"/>
        <v/>
      </c>
      <c r="EV158" s="24" t="s">
        <v>866</v>
      </c>
      <c r="EW158" s="24">
        <v>45044</v>
      </c>
      <c r="EX158" s="22"/>
      <c r="EY158" s="29">
        <f t="shared" si="454"/>
        <v>26.428571428571427</v>
      </c>
      <c r="EZ158" s="25" t="str">
        <f t="shared" ca="1" si="455"/>
        <v/>
      </c>
      <c r="FA158" s="21"/>
      <c r="FB158" s="22"/>
      <c r="FC158" s="29" t="str">
        <f t="shared" si="621"/>
        <v>PIERDE TOMA TAMIZAJE- INGRESO TARDIO</v>
      </c>
      <c r="FD158" s="29"/>
      <c r="FE158" s="29"/>
      <c r="FF158" s="29"/>
      <c r="FG158" s="21" t="str">
        <f t="shared" ca="1" si="622"/>
        <v/>
      </c>
      <c r="FH158" s="31"/>
      <c r="FI158" s="29" t="str">
        <f t="shared" si="623"/>
        <v>TOMAR EXAMEN</v>
      </c>
      <c r="FJ158" s="22"/>
      <c r="FK158" s="22"/>
      <c r="FL158" s="29" t="str">
        <f t="shared" ca="1" si="624"/>
        <v>NO APLICA-INGRESO TARDIO</v>
      </c>
      <c r="FM158" s="22" t="s">
        <v>867</v>
      </c>
      <c r="FN158" s="32">
        <v>45044</v>
      </c>
      <c r="FO158" s="29">
        <f t="shared" ca="1" si="679"/>
        <v>26.428571428571427</v>
      </c>
      <c r="FP158" s="22"/>
      <c r="FQ158" s="32"/>
      <c r="FR158" s="29" t="str">
        <f t="shared" ca="1" si="680"/>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5"/>
        <v>TOMAR EXAMEN</v>
      </c>
      <c r="FY158" s="22">
        <v>45036</v>
      </c>
      <c r="FZ158" s="22">
        <v>45036</v>
      </c>
      <c r="GA158" s="29" t="str">
        <f t="shared" si="692"/>
        <v>REGISTRAR EN II TRIMESTRE</v>
      </c>
      <c r="GB158" s="22" t="s">
        <v>868</v>
      </c>
      <c r="GC158" s="22">
        <v>45044</v>
      </c>
      <c r="GD158" s="29">
        <f t="shared" ca="1" si="681"/>
        <v>26.428571428571427</v>
      </c>
      <c r="GE158" s="22"/>
      <c r="GF158" s="22"/>
      <c r="GG158" s="29" t="str">
        <f t="shared" ca="1" si="682"/>
        <v>PIERDE TOMA DE TAMIZAJE</v>
      </c>
      <c r="GH158" s="22"/>
      <c r="GI158" s="29"/>
      <c r="GJ158" s="22"/>
      <c r="GK158" s="22"/>
      <c r="GL158" s="22"/>
      <c r="GM158" s="22"/>
      <c r="GN158" s="28"/>
      <c r="GO158" s="22"/>
      <c r="GP158" s="29" t="str">
        <f t="shared" si="626"/>
        <v>TOMAR EXAMEN</v>
      </c>
      <c r="GQ158" s="28" t="s">
        <v>869</v>
      </c>
      <c r="GR158" s="28" t="s">
        <v>869</v>
      </c>
      <c r="GS158" s="22" t="str">
        <f t="shared" si="627"/>
        <v>CONTROL Igm</v>
      </c>
      <c r="GT158" s="22">
        <v>45044</v>
      </c>
      <c r="GU158" s="29">
        <f t="shared" si="628"/>
        <v>26.428571428571427</v>
      </c>
      <c r="GV158" s="21" t="str">
        <f t="shared" si="629"/>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30"/>
        <v>#REF!</v>
      </c>
      <c r="HI158" s="22" t="e">
        <f t="shared" ca="1" si="631"/>
        <v>#REF!</v>
      </c>
      <c r="HJ158" s="21" t="e">
        <f t="shared" ca="1" si="632"/>
        <v>#REF!</v>
      </c>
      <c r="HK158" s="21" t="str">
        <f t="shared" si="633"/>
        <v>SIN ANTECEDENTES DE RIESGO</v>
      </c>
      <c r="HL158" s="24" t="str">
        <f t="shared" si="634"/>
        <v>APARENTEMENTE NORMAL</v>
      </c>
      <c r="HM158" s="21" t="str">
        <f t="shared" ca="1" si="635"/>
        <v/>
      </c>
      <c r="HN158" s="30" t="str">
        <f t="shared" si="683"/>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6"/>
        <v>PENDIENTE CONSULTA</v>
      </c>
      <c r="IA158" s="26"/>
      <c r="IB158" s="26"/>
      <c r="IC158" s="111"/>
      <c r="ID158" s="22"/>
      <c r="IE158" s="22" t="str">
        <f t="shared" ca="1" si="637"/>
        <v>SALE SIN VACUNA</v>
      </c>
      <c r="IF158" s="22"/>
      <c r="IG158" s="22">
        <f t="shared" si="638"/>
        <v>45139</v>
      </c>
      <c r="IH158" s="29">
        <f t="shared" ca="1" si="639"/>
        <v>-93</v>
      </c>
      <c r="II158" s="22" t="str">
        <f t="shared" ca="1" si="640"/>
        <v>POSIBLEMENTE NACIO</v>
      </c>
      <c r="IJ158" s="22"/>
      <c r="IK158" s="21" t="s">
        <v>898</v>
      </c>
      <c r="IL158" s="21" t="s">
        <v>1639</v>
      </c>
      <c r="IM158" s="34"/>
      <c r="IN158" s="349">
        <v>45133</v>
      </c>
      <c r="IO158" s="21" t="s">
        <v>1186</v>
      </c>
      <c r="IP158" s="29">
        <f t="shared" si="674"/>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4"/>
        <v>PESO ADECUADO EDAD GESTACIONAL</v>
      </c>
      <c r="JF158" s="30"/>
      <c r="JG158" s="21"/>
      <c r="JH158" s="21"/>
      <c r="JI158" s="309" t="s">
        <v>854</v>
      </c>
      <c r="JJ158" s="329" t="s">
        <v>866</v>
      </c>
      <c r="JK158" s="22"/>
      <c r="JL158" s="22"/>
      <c r="JM158" s="21"/>
      <c r="JN158" s="36"/>
      <c r="JO158" s="21" t="str">
        <f t="shared" si="685"/>
        <v/>
      </c>
      <c r="JP158" s="22"/>
      <c r="JQ158" s="21"/>
      <c r="JR158" s="21"/>
      <c r="JS158" s="21"/>
      <c r="JT158" s="30"/>
      <c r="JU158" s="22"/>
      <c r="JV158" s="22"/>
      <c r="JW158" s="33"/>
      <c r="JX158" s="28" t="str">
        <f t="shared" si="686"/>
        <v>INASISTENTE</v>
      </c>
      <c r="JY158" s="33"/>
      <c r="JZ158" s="28" t="str">
        <f t="shared" si="687"/>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41"/>
        <v>0</v>
      </c>
      <c r="MI158" s="43" t="str">
        <f t="shared" si="642"/>
        <v/>
      </c>
      <c r="MJ158" s="43" t="str">
        <f t="shared" si="643"/>
        <v/>
      </c>
      <c r="MK158" s="43">
        <f t="shared" si="644"/>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5"/>
        <v>25.285714285714285</v>
      </c>
      <c r="MN158" s="43">
        <f t="shared" si="646"/>
        <v>4</v>
      </c>
      <c r="MO158" s="43">
        <f t="shared" si="647"/>
        <v>2023</v>
      </c>
      <c r="MP158" s="43" t="str">
        <f t="shared" si="648"/>
        <v>II TRIMESTRE AÑO</v>
      </c>
      <c r="MQ158" s="43">
        <f t="shared" si="649"/>
        <v>22.374616732369688</v>
      </c>
      <c r="MR158" s="43">
        <f t="shared" si="650"/>
        <v>0</v>
      </c>
      <c r="MS158" s="43" t="str">
        <f t="shared" si="651"/>
        <v xml:space="preserve"> DE 20 A 24 AÑOS</v>
      </c>
      <c r="MT158" s="43">
        <f t="shared" si="652"/>
        <v>0</v>
      </c>
      <c r="MU158" s="43">
        <f t="shared" si="653"/>
        <v>1</v>
      </c>
      <c r="MV158" s="43" t="e">
        <f t="shared" si="654"/>
        <v>#REF!</v>
      </c>
      <c r="MW158" s="43">
        <f t="shared" si="655"/>
        <v>0</v>
      </c>
      <c r="MX158" s="43" t="str">
        <f t="shared" si="656"/>
        <v/>
      </c>
      <c r="MY158" s="43" t="str">
        <f t="shared" ca="1" si="688"/>
        <v/>
      </c>
      <c r="MZ158" s="43" t="str">
        <f t="shared" si="657"/>
        <v/>
      </c>
      <c r="NA158" s="43" t="str">
        <f t="shared" si="658"/>
        <v/>
      </c>
      <c r="NB158" s="43" t="str">
        <f t="shared" si="659"/>
        <v/>
      </c>
      <c r="NC158" s="43" t="str">
        <f t="shared" si="660"/>
        <v/>
      </c>
      <c r="ND158" s="43" t="e">
        <f t="shared" ca="1" si="661"/>
        <v>#REF!</v>
      </c>
      <c r="NE158" s="43">
        <f>IF(OR(O158&gt;0,R158&gt;0),SUM(COUNTIF(Tabla1[[#This Row],[AÑOS AL INICIO5 CPN]],"&gt;=40"),COUNTIF(AS158,"0"),COUNTIF(AR158,"SI"),COUNTIF(CC158,"SI"),COUNTIF(BQ158,"&gt;119"),COUNTIF(CI158,"&gt;=35")),"")</f>
        <v>1</v>
      </c>
      <c r="NF158" s="43" t="str">
        <f t="shared" si="662"/>
        <v/>
      </c>
      <c r="NG158" s="43">
        <f t="shared" si="663"/>
        <v>0</v>
      </c>
      <c r="NH158" s="43">
        <f t="shared" si="664"/>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5"/>
        <v>X</v>
      </c>
      <c r="NM158" s="43" t="str">
        <f t="shared" si="501"/>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6"/>
        <v>II TRIM</v>
      </c>
      <c r="NQ158" s="21" t="str">
        <f t="shared" si="691"/>
        <v/>
      </c>
      <c r="NR158" s="21">
        <f t="shared" si="689"/>
        <v>2</v>
      </c>
      <c r="NS158" s="205">
        <f t="shared" ca="1" si="667"/>
        <v>1</v>
      </c>
      <c r="NT158" s="21">
        <f t="shared" ca="1" si="668"/>
        <v>1</v>
      </c>
      <c r="NU158" s="21" t="str">
        <f t="shared" ca="1" si="669"/>
        <v>INCOMPLETO</v>
      </c>
      <c r="NV158" s="21" t="str">
        <f t="shared" ca="1" si="670"/>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71"/>
        <v>SIN VACUNAR</v>
      </c>
      <c r="NY158" s="43">
        <f>ROW(Tabla1[[#This Row],['# DE TAMIZAJES SIFILIS TOMADOS ]])</f>
        <v>158</v>
      </c>
      <c r="NZ158" s="43">
        <f t="shared" si="502"/>
        <v>25</v>
      </c>
      <c r="OA158" s="43" t="str">
        <f t="shared" si="503"/>
        <v/>
      </c>
      <c r="OB158" s="43" t="str">
        <f t="shared" si="504"/>
        <v/>
      </c>
      <c r="OC158" s="43" t="str">
        <f t="shared" si="505"/>
        <v/>
      </c>
      <c r="OD158" s="43" t="str">
        <f t="shared" si="506"/>
        <v/>
      </c>
      <c r="OE158" s="43" t="str">
        <f t="shared" si="507"/>
        <v/>
      </c>
      <c r="OF158" s="43" t="str">
        <f t="shared" si="508"/>
        <v/>
      </c>
      <c r="OG158" s="43" t="str">
        <f t="shared" si="509"/>
        <v/>
      </c>
      <c r="OH158" s="43" t="str">
        <f t="shared" si="510"/>
        <v/>
      </c>
      <c r="OI158" s="43" t="str">
        <f t="shared" si="511"/>
        <v/>
      </c>
      <c r="OJ158" s="43" t="str">
        <f t="shared" si="512"/>
        <v/>
      </c>
      <c r="OK158" s="43" t="str">
        <f t="shared" si="513"/>
        <v/>
      </c>
      <c r="OL158" s="43" t="str">
        <f t="shared" si="514"/>
        <v/>
      </c>
      <c r="OM158" s="43" t="str">
        <f t="shared" si="515"/>
        <v/>
      </c>
      <c r="ON158" s="43" t="str">
        <f t="shared" si="516"/>
        <v/>
      </c>
      <c r="OO158" s="43" t="str">
        <f t="shared" si="517"/>
        <v/>
      </c>
      <c r="OP158" s="43" t="str">
        <f t="shared" si="518"/>
        <v/>
      </c>
      <c r="OQ158" s="43" t="str">
        <f t="shared" si="519"/>
        <v>NORMAL</v>
      </c>
      <c r="OR158" s="43" t="str">
        <f t="shared" si="520"/>
        <v/>
      </c>
      <c r="OS158" s="43" t="str">
        <f t="shared" si="521"/>
        <v/>
      </c>
      <c r="OT158" s="43" t="str">
        <f t="shared" si="522"/>
        <v/>
      </c>
      <c r="OU158" s="43" t="str">
        <f t="shared" si="523"/>
        <v/>
      </c>
      <c r="OV158" s="110" t="str">
        <f t="shared" si="524"/>
        <v/>
      </c>
      <c r="OW158" s="43" t="str">
        <f t="shared" si="525"/>
        <v/>
      </c>
      <c r="OX158" s="43" t="str">
        <f t="shared" si="526"/>
        <v/>
      </c>
      <c r="OY158" s="43" t="str">
        <f t="shared" si="527"/>
        <v/>
      </c>
      <c r="OZ158" s="43" t="str">
        <f t="shared" si="528"/>
        <v/>
      </c>
      <c r="PA158" s="43" t="str">
        <f t="shared" si="529"/>
        <v/>
      </c>
      <c r="PB158" s="43" t="str">
        <f t="shared" si="530"/>
        <v/>
      </c>
      <c r="PC158" s="43" t="str">
        <f t="shared" si="531"/>
        <v/>
      </c>
      <c r="PD158" s="43" t="str">
        <f t="shared" si="532"/>
        <v/>
      </c>
      <c r="PE158" s="43" t="str">
        <f t="shared" si="533"/>
        <v/>
      </c>
      <c r="PF158" s="43" t="str">
        <f t="shared" si="534"/>
        <v/>
      </c>
      <c r="PG158" s="43" t="str">
        <f t="shared" si="535"/>
        <v/>
      </c>
      <c r="PH158" s="43" t="str">
        <f t="shared" si="536"/>
        <v/>
      </c>
      <c r="PI158" s="43">
        <f t="shared" si="537"/>
        <v>34</v>
      </c>
      <c r="PJ158" s="43" t="str">
        <f t="shared" si="538"/>
        <v/>
      </c>
      <c r="PK158" s="43" t="str">
        <f t="shared" si="539"/>
        <v/>
      </c>
      <c r="PL158" s="43" t="str">
        <f t="shared" si="540"/>
        <v/>
      </c>
      <c r="PM158" s="43" t="str">
        <f t="shared" si="541"/>
        <v/>
      </c>
      <c r="PN158" s="43" t="str">
        <f t="shared" si="542"/>
        <v/>
      </c>
      <c r="PO158" s="43" t="str">
        <f t="shared" si="543"/>
        <v/>
      </c>
      <c r="PP158" s="43" t="str">
        <f t="shared" si="544"/>
        <v/>
      </c>
      <c r="PQ158" s="43" t="str">
        <f t="shared" si="545"/>
        <v/>
      </c>
      <c r="PR158" s="43" t="str">
        <f t="shared" si="546"/>
        <v/>
      </c>
      <c r="PS158" s="43" t="str">
        <f t="shared" si="547"/>
        <v/>
      </c>
      <c r="PT158" s="43" t="str">
        <f t="shared" si="548"/>
        <v/>
      </c>
      <c r="PU158" s="43" t="str">
        <f t="shared" si="549"/>
        <v/>
      </c>
      <c r="PV158" s="43" t="str">
        <f t="shared" si="550"/>
        <v/>
      </c>
      <c r="PW158" s="43" t="str">
        <f t="shared" si="551"/>
        <v/>
      </c>
      <c r="PX158" s="43" t="str">
        <f t="shared" si="552"/>
        <v/>
      </c>
      <c r="PY158" s="43" t="str">
        <f t="shared" si="553"/>
        <v/>
      </c>
      <c r="PZ158" s="43" t="str">
        <f t="shared" si="554"/>
        <v/>
      </c>
      <c r="QA158" s="43" t="str">
        <f t="shared" si="555"/>
        <v/>
      </c>
      <c r="QB158" s="43" t="str">
        <f t="shared" si="556"/>
        <v/>
      </c>
      <c r="QC158" s="43" t="str">
        <f t="shared" si="557"/>
        <v/>
      </c>
      <c r="QD158" s="43" t="str">
        <f t="shared" si="558"/>
        <v/>
      </c>
      <c r="QE158" s="43" t="str">
        <f t="shared" si="559"/>
        <v/>
      </c>
      <c r="QF158" s="43" t="str">
        <f t="shared" si="560"/>
        <v/>
      </c>
      <c r="QG158" s="43" t="str">
        <f t="shared" si="561"/>
        <v/>
      </c>
      <c r="QH158" s="43" t="str">
        <f t="shared" si="562"/>
        <v/>
      </c>
      <c r="QI158" s="43" t="str">
        <f t="shared" si="563"/>
        <v>NORMAL</v>
      </c>
      <c r="QJ158" s="43" t="str">
        <f t="shared" si="564"/>
        <v/>
      </c>
      <c r="QK158" s="43" t="str">
        <f t="shared" si="565"/>
        <v/>
      </c>
      <c r="QL158" s="43" t="str">
        <f t="shared" si="566"/>
        <v/>
      </c>
      <c r="QM158" s="43" t="str">
        <f t="shared" si="567"/>
        <v/>
      </c>
      <c r="QN158" s="43" t="str">
        <f t="shared" si="568"/>
        <v/>
      </c>
      <c r="QO158" s="43" t="str">
        <f t="shared" si="569"/>
        <v/>
      </c>
      <c r="QP158" s="43" t="str">
        <f t="shared" si="570"/>
        <v/>
      </c>
      <c r="QQ158" s="43" t="str">
        <f t="shared" si="571"/>
        <v/>
      </c>
      <c r="QR158" s="43">
        <f t="shared" si="672"/>
        <v>34</v>
      </c>
      <c r="QS158" s="43"/>
      <c r="QT158" s="21" t="str">
        <f t="shared" si="572"/>
        <v/>
      </c>
      <c r="QU158" s="21" t="str">
        <f t="shared" si="573"/>
        <v/>
      </c>
      <c r="QV158" s="21" t="str">
        <f t="shared" si="574"/>
        <v/>
      </c>
      <c r="QW158" s="21" t="str">
        <f t="shared" si="575"/>
        <v/>
      </c>
      <c r="QX158" s="21" t="str">
        <f t="shared" si="576"/>
        <v/>
      </c>
      <c r="QY158" s="21" t="str">
        <f t="shared" si="577"/>
        <v/>
      </c>
      <c r="QZ158" s="21" t="str">
        <f t="shared" si="578"/>
        <v/>
      </c>
      <c r="RA158" s="21" t="str">
        <f t="shared" si="579"/>
        <v/>
      </c>
      <c r="RB158" s="21" t="str">
        <f t="shared" si="580"/>
        <v/>
      </c>
      <c r="RC158" s="21" t="str">
        <f t="shared" si="581"/>
        <v/>
      </c>
      <c r="RD158" s="21" t="str">
        <f t="shared" si="582"/>
        <v/>
      </c>
      <c r="RE158" s="21" t="str">
        <f t="shared" si="583"/>
        <v/>
      </c>
      <c r="RF158" s="21" t="str">
        <f t="shared" si="584"/>
        <v/>
      </c>
      <c r="RG158" s="21" t="str">
        <f t="shared" si="585"/>
        <v/>
      </c>
      <c r="RH158" s="21" t="str">
        <f t="shared" si="586"/>
        <v/>
      </c>
      <c r="RI158" s="21" t="str">
        <f t="shared" si="587"/>
        <v/>
      </c>
      <c r="RJ158" s="21" t="str">
        <f t="shared" si="588"/>
        <v/>
      </c>
      <c r="RK158" s="21" t="str">
        <f t="shared" si="589"/>
        <v/>
      </c>
      <c r="RL158" s="21" t="str">
        <f t="shared" si="590"/>
        <v/>
      </c>
      <c r="RM158" s="21" t="str">
        <f t="shared" si="591"/>
        <v/>
      </c>
      <c r="RN158" s="21" t="str">
        <f t="shared" si="592"/>
        <v/>
      </c>
      <c r="RO158" s="21" t="str">
        <f t="shared" si="593"/>
        <v>ALTO PARA EDAD GESTACIONAL</v>
      </c>
      <c r="RP158" s="21" t="str">
        <f t="shared" si="594"/>
        <v/>
      </c>
      <c r="RQ158" s="21" t="str">
        <f t="shared" si="595"/>
        <v/>
      </c>
      <c r="RR158" s="21" t="str">
        <f t="shared" si="596"/>
        <v/>
      </c>
      <c r="RS158" s="21" t="str">
        <f t="shared" si="597"/>
        <v/>
      </c>
      <c r="RT158" s="21" t="str">
        <f t="shared" si="598"/>
        <v/>
      </c>
      <c r="RU158" s="21" t="str">
        <f t="shared" si="599"/>
        <v/>
      </c>
      <c r="RV158" s="21">
        <f t="shared" si="600"/>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3"/>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1"/>
        <v>18.282191780821918</v>
      </c>
      <c r="O159" s="22">
        <v>45051</v>
      </c>
      <c r="P159" s="214" t="str">
        <f t="shared" si="675"/>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2"/>
        <v>23.2</v>
      </c>
      <c r="BR159" s="223">
        <f t="shared" si="603"/>
        <v>44943.199999999997</v>
      </c>
      <c r="BS159" s="224">
        <f t="shared" si="604"/>
        <v>15.428571428571429</v>
      </c>
      <c r="BT159" s="216" t="str">
        <f t="shared" si="605"/>
        <v>II TRIM</v>
      </c>
      <c r="BU159" s="214">
        <f t="shared" ca="1" si="606"/>
        <v>41.285714285714285</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7"/>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8"/>
        <v>45145</v>
      </c>
      <c r="CL159" s="21">
        <v>57.1</v>
      </c>
      <c r="CM159" s="214">
        <f t="shared" si="609"/>
        <v>27.158145065398337</v>
      </c>
      <c r="CN159" s="216">
        <f t="shared" si="610"/>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90"/>
        <v/>
      </c>
      <c r="DA159" s="21">
        <v>90</v>
      </c>
      <c r="DB159" s="21">
        <v>60</v>
      </c>
      <c r="DC159" s="217" t="str">
        <f t="shared" si="611"/>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6"/>
        <v>CONCERTAR PLAN DE PARTO INMEDIATO</v>
      </c>
      <c r="DV159" s="226" t="str">
        <f t="shared" si="677"/>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2"/>
        <v>#REF!</v>
      </c>
      <c r="DY159" s="212">
        <f>IF(R159="","",IF(R159&gt;0,MAX(Tabla1[[#This Row],[FECHA C2]:[FECHA C13]],Tabla1[[#This Row],[FECHA CONSULTA PRIMERA VEZ PROGRAMA CPN ]])))</f>
        <v>45145</v>
      </c>
      <c r="DZ159" s="216">
        <f t="shared" si="613"/>
        <v>28</v>
      </c>
      <c r="EA159" s="222">
        <f>IF(R159&gt;0,SUM(COUNTA(DF159:DQ159)+COUNTA(Tabla1[[#This Row],[FECHA CONSULTA PRIMERA VEZ PROGRAMA CPN ]])),"")</f>
        <v>4</v>
      </c>
      <c r="EB159" s="222" t="str">
        <f t="shared" si="614"/>
        <v>SI</v>
      </c>
      <c r="EC159" s="214">
        <f t="shared" si="615"/>
        <v>8</v>
      </c>
      <c r="ED159" s="227">
        <f t="shared" si="616"/>
        <v>0.5</v>
      </c>
      <c r="EE159" s="22">
        <v>44999</v>
      </c>
      <c r="EF159" s="22">
        <v>45149</v>
      </c>
      <c r="EG159" s="22">
        <v>44999</v>
      </c>
      <c r="EH159" s="22"/>
      <c r="EI159" s="22">
        <v>44999</v>
      </c>
      <c r="EJ159" s="22"/>
      <c r="EK159" s="22"/>
      <c r="EL159" s="21"/>
      <c r="EM159" s="21">
        <v>13.1</v>
      </c>
      <c r="EN159" s="22">
        <v>45051</v>
      </c>
      <c r="EO159" s="222">
        <f t="shared" si="617"/>
        <v>15.428571428571429</v>
      </c>
      <c r="EP159" s="214" t="str">
        <f t="shared" si="618"/>
        <v>NORMAL- SUMINISTRAR SULFATO FERROSO</v>
      </c>
      <c r="EQ159" s="216" t="str">
        <f t="shared" si="619"/>
        <v>II TRIM</v>
      </c>
      <c r="ER159" s="24"/>
      <c r="ES159" s="22"/>
      <c r="ET159" s="29" t="str">
        <f t="shared" ca="1" si="678"/>
        <v>TOMA DE HEMOGLOBINA TARDÍA</v>
      </c>
      <c r="EU159" s="25" t="str">
        <f t="shared" si="620"/>
        <v/>
      </c>
      <c r="EV159" s="24" t="s">
        <v>1510</v>
      </c>
      <c r="EW159" s="24">
        <v>45051</v>
      </c>
      <c r="EX159" s="22"/>
      <c r="EY159" s="29">
        <f t="shared" si="454"/>
        <v>15.428571428571429</v>
      </c>
      <c r="EZ159" s="25" t="str">
        <f t="shared" si="455"/>
        <v>SIN RIESGO DE ISOINMUNIZACIÓN</v>
      </c>
      <c r="FA159" s="21">
        <v>80</v>
      </c>
      <c r="FB159" s="22">
        <v>45051</v>
      </c>
      <c r="FC159" s="29">
        <f t="shared" si="621"/>
        <v>15.428571428571429</v>
      </c>
      <c r="FD159" s="29"/>
      <c r="FE159" s="29"/>
      <c r="FF159" s="29"/>
      <c r="FG159" s="21" t="str">
        <f t="shared" ca="1" si="622"/>
        <v>TOMAR PTOG</v>
      </c>
      <c r="FH159" s="31"/>
      <c r="FI159" s="29" t="str">
        <f t="shared" si="623"/>
        <v>TOMAR EXAMEN</v>
      </c>
      <c r="FJ159" s="22"/>
      <c r="FK159" s="22"/>
      <c r="FL159" s="29" t="str">
        <f t="shared" ca="1" si="624"/>
        <v>NO APLICA-INGRESO TARDIO</v>
      </c>
      <c r="FM159" s="22" t="s">
        <v>867</v>
      </c>
      <c r="FN159" s="32">
        <v>45051</v>
      </c>
      <c r="FO159" s="29">
        <f t="shared" ca="1" si="679"/>
        <v>15.428571428571429</v>
      </c>
      <c r="FP159" s="22"/>
      <c r="FQ159" s="32"/>
      <c r="FR159" s="29" t="str">
        <f t="shared" ca="1" si="680"/>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5"/>
        <v>TOMAR EXAMEN</v>
      </c>
      <c r="FY159" s="22">
        <v>44999</v>
      </c>
      <c r="FZ159" s="22">
        <v>44999</v>
      </c>
      <c r="GA159" s="29">
        <f t="shared" ca="1" si="692"/>
        <v>8</v>
      </c>
      <c r="GB159" s="22" t="s">
        <v>879</v>
      </c>
      <c r="GC159" s="22">
        <v>45051</v>
      </c>
      <c r="GD159" s="29">
        <f t="shared" ca="1" si="681"/>
        <v>15.428571428571429</v>
      </c>
      <c r="GE159" s="22"/>
      <c r="GF159" s="22"/>
      <c r="GG159" s="29" t="str">
        <f t="shared" ca="1" si="682"/>
        <v>TOMA INMEDIATA DE TAMIZAJE</v>
      </c>
      <c r="GH159" s="22"/>
      <c r="GI159" s="29"/>
      <c r="GJ159" s="22"/>
      <c r="GK159" s="22"/>
      <c r="GL159" s="22"/>
      <c r="GM159" s="22"/>
      <c r="GN159" s="28" t="s">
        <v>869</v>
      </c>
      <c r="GO159" s="22">
        <v>45051</v>
      </c>
      <c r="GP159" s="29">
        <f t="shared" si="626"/>
        <v>15.428571428571429</v>
      </c>
      <c r="GQ159" s="28" t="s">
        <v>869</v>
      </c>
      <c r="GR159" s="28" t="s">
        <v>869</v>
      </c>
      <c r="GS159" s="22" t="str">
        <f t="shared" si="627"/>
        <v>CONTROL Igm</v>
      </c>
      <c r="GT159" s="22">
        <v>45051</v>
      </c>
      <c r="GU159" s="29">
        <f t="shared" si="628"/>
        <v>15.428571428571429</v>
      </c>
      <c r="GV159" s="21" t="str">
        <f t="shared" si="629"/>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30"/>
        <v>#REF!</v>
      </c>
      <c r="HI159" s="22" t="e">
        <f t="shared" ca="1" si="631"/>
        <v>#REF!</v>
      </c>
      <c r="HJ159" s="21" t="str">
        <f t="shared" ca="1" si="632"/>
        <v>***************************EMBARAZO PROLONGADO************</v>
      </c>
      <c r="HK159" s="21" t="str">
        <f t="shared" si="633"/>
        <v>SIN ANTECEDENTES DE RIESGO</v>
      </c>
      <c r="HL159" s="24" t="str">
        <f t="shared" si="634"/>
        <v>APARENTEMENTE NORMAL</v>
      </c>
      <c r="HM159" s="21" t="e">
        <f t="shared" ca="1" si="635"/>
        <v>#REF!</v>
      </c>
      <c r="HN159" s="30" t="str">
        <f t="shared" si="683"/>
        <v>ACTIVA INGRESO A CPN</v>
      </c>
      <c r="HO159" s="21"/>
      <c r="HP159" s="21"/>
      <c r="HQ159" s="349">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6"/>
        <v>8</v>
      </c>
      <c r="IA159" s="26"/>
      <c r="IB159" s="26"/>
      <c r="IC159" s="111"/>
      <c r="ID159" s="22"/>
      <c r="IE159" s="22" t="str">
        <f t="shared" ca="1" si="637"/>
        <v>INASISTENTE</v>
      </c>
      <c r="IF159" s="22"/>
      <c r="IG159" s="22">
        <f t="shared" si="638"/>
        <v>45223</v>
      </c>
      <c r="IH159" s="29">
        <f t="shared" ca="1" si="639"/>
        <v>-9</v>
      </c>
      <c r="II159" s="22" t="str">
        <f t="shared" ca="1" si="640"/>
        <v>POSIBLEMENTE NACIO</v>
      </c>
      <c r="IJ159" s="22"/>
      <c r="IK159" s="21"/>
      <c r="IL159" s="21"/>
      <c r="IM159" s="34"/>
      <c r="IN159" s="22"/>
      <c r="IO159" s="21"/>
      <c r="IP159" s="29" t="str">
        <f t="shared" si="674"/>
        <v/>
      </c>
      <c r="IQ159" s="35"/>
      <c r="IR159" s="21"/>
      <c r="IS159" s="21"/>
      <c r="IT159" s="21"/>
      <c r="IU159" s="21"/>
      <c r="IV159" s="21"/>
      <c r="IW159" s="21"/>
      <c r="IX159" s="21"/>
      <c r="IY159" s="21"/>
      <c r="IZ159" s="21"/>
      <c r="JA159" s="21"/>
      <c r="JB159" s="30"/>
      <c r="JC159" s="21"/>
      <c r="JD159" s="36"/>
      <c r="JE159" s="21" t="str">
        <f t="shared" si="684"/>
        <v/>
      </c>
      <c r="JF159" s="30"/>
      <c r="JG159" s="21"/>
      <c r="JH159" s="21"/>
      <c r="JI159" s="21"/>
      <c r="JJ159" s="30"/>
      <c r="JK159" s="22"/>
      <c r="JL159" s="22"/>
      <c r="JM159" s="21"/>
      <c r="JN159" s="36"/>
      <c r="JO159" s="21" t="str">
        <f t="shared" si="685"/>
        <v/>
      </c>
      <c r="JP159" s="22"/>
      <c r="JQ159" s="21"/>
      <c r="JR159" s="21"/>
      <c r="JS159" s="21"/>
      <c r="JT159" s="30"/>
      <c r="JU159" s="22"/>
      <c r="JV159" s="22"/>
      <c r="JW159" s="33"/>
      <c r="JX159" s="28" t="str">
        <f t="shared" si="686"/>
        <v/>
      </c>
      <c r="JY159" s="33"/>
      <c r="JZ159" s="28" t="str">
        <f t="shared" si="687"/>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41"/>
        <v>0</v>
      </c>
      <c r="MI159" s="43" t="str">
        <f t="shared" si="642"/>
        <v/>
      </c>
      <c r="MJ159" s="43" t="str">
        <f t="shared" si="643"/>
        <v/>
      </c>
      <c r="MK159" s="43">
        <f t="shared" si="644"/>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5"/>
        <v>15.428571428571429</v>
      </c>
      <c r="MN159" s="43">
        <f t="shared" si="646"/>
        <v>5</v>
      </c>
      <c r="MO159" s="43">
        <f t="shared" si="647"/>
        <v>2023</v>
      </c>
      <c r="MP159" s="43" t="str">
        <f t="shared" si="648"/>
        <v>II TRIMESTRE AÑO</v>
      </c>
      <c r="MQ159" s="43">
        <f t="shared" si="649"/>
        <v>17.51806833114323</v>
      </c>
      <c r="MR159" s="43">
        <f t="shared" si="650"/>
        <v>0</v>
      </c>
      <c r="MS159" s="43" t="str">
        <f t="shared" si="651"/>
        <v>DE 14 A 19AÑOS</v>
      </c>
      <c r="MT159" s="43">
        <f t="shared" si="652"/>
        <v>0</v>
      </c>
      <c r="MU159" s="43">
        <f t="shared" si="653"/>
        <v>0</v>
      </c>
      <c r="MV159" s="43">
        <f t="shared" si="654"/>
        <v>0</v>
      </c>
      <c r="MW159" s="43">
        <f t="shared" si="655"/>
        <v>0</v>
      </c>
      <c r="MX159" s="43" t="str">
        <f t="shared" si="656"/>
        <v/>
      </c>
      <c r="MY159" s="43">
        <f t="shared" ca="1" si="688"/>
        <v>1</v>
      </c>
      <c r="MZ159" s="43" t="str">
        <f t="shared" si="657"/>
        <v/>
      </c>
      <c r="NA159" s="43" t="str">
        <f t="shared" si="658"/>
        <v/>
      </c>
      <c r="NB159" s="43" t="str">
        <f t="shared" si="659"/>
        <v/>
      </c>
      <c r="NC159" s="43" t="str">
        <f t="shared" si="660"/>
        <v/>
      </c>
      <c r="ND159" s="43">
        <f t="shared" ca="1" si="661"/>
        <v>1</v>
      </c>
      <c r="NE159" s="43">
        <f>IF(OR(O159&gt;0,R159&gt;0),SUM(COUNTIF(Tabla1[[#This Row],[AÑOS AL INICIO5 CPN]],"&gt;=40"),COUNTIF(AS159,"0"),COUNTIF(AR159,"SI"),COUNTIF(CC159,"SI"),COUNTIF(BQ159,"&gt;119"),COUNTIF(CI159,"&gt;=35")),"")</f>
        <v>0</v>
      </c>
      <c r="NF159" s="43" t="str">
        <f t="shared" si="662"/>
        <v/>
      </c>
      <c r="NG159" s="43">
        <f t="shared" si="663"/>
        <v>0</v>
      </c>
      <c r="NH159" s="43">
        <f t="shared" si="664"/>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5"/>
        <v>X</v>
      </c>
      <c r="NM159" s="43" t="str">
        <f t="shared" si="501"/>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6"/>
        <v>II TRIM</v>
      </c>
      <c r="NQ159" s="21" t="str">
        <f t="shared" si="691"/>
        <v/>
      </c>
      <c r="NR159" s="21">
        <f t="shared" ca="1" si="689"/>
        <v>2</v>
      </c>
      <c r="NS159" s="205">
        <f t="shared" ca="1" si="667"/>
        <v>1</v>
      </c>
      <c r="NT159" s="21">
        <f t="shared" ca="1" si="668"/>
        <v>2</v>
      </c>
      <c r="NU159" s="21" t="str">
        <f t="shared" ca="1" si="669"/>
        <v>INCOMPLETO</v>
      </c>
      <c r="NV159" s="21" t="str">
        <f t="shared" ca="1" si="670"/>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71"/>
        <v>SIN VACUNAR</v>
      </c>
      <c r="NY159" s="43">
        <f>ROW(Tabla1[[#This Row],['# DE TAMIZAJES SIFILIS TOMADOS ]])</f>
        <v>159</v>
      </c>
      <c r="NZ159" s="43">
        <f t="shared" si="502"/>
        <v>15</v>
      </c>
      <c r="OA159" s="43" t="str">
        <f t="shared" si="503"/>
        <v/>
      </c>
      <c r="OB159" s="43" t="str">
        <f t="shared" si="504"/>
        <v/>
      </c>
      <c r="OC159" s="43" t="str">
        <f t="shared" si="505"/>
        <v/>
      </c>
      <c r="OD159" s="43" t="str">
        <f t="shared" si="506"/>
        <v/>
      </c>
      <c r="OE159" s="43" t="str">
        <f t="shared" si="507"/>
        <v/>
      </c>
      <c r="OF159" s="43" t="str">
        <f t="shared" si="508"/>
        <v/>
      </c>
      <c r="OG159" s="43" t="str">
        <f t="shared" si="509"/>
        <v>NORMAL</v>
      </c>
      <c r="OH159" s="43" t="str">
        <f t="shared" si="510"/>
        <v/>
      </c>
      <c r="OI159" s="43" t="str">
        <f t="shared" si="511"/>
        <v/>
      </c>
      <c r="OJ159" s="43" t="str">
        <f t="shared" si="512"/>
        <v/>
      </c>
      <c r="OK159" s="43" t="str">
        <f t="shared" si="513"/>
        <v/>
      </c>
      <c r="OL159" s="43" t="str">
        <f t="shared" si="514"/>
        <v/>
      </c>
      <c r="OM159" s="43" t="str">
        <f t="shared" si="515"/>
        <v/>
      </c>
      <c r="ON159" s="43" t="str">
        <f t="shared" si="516"/>
        <v/>
      </c>
      <c r="OO159" s="43" t="str">
        <f t="shared" si="517"/>
        <v/>
      </c>
      <c r="OP159" s="43" t="str">
        <f t="shared" si="518"/>
        <v/>
      </c>
      <c r="OQ159" s="43" t="str">
        <f t="shared" si="519"/>
        <v/>
      </c>
      <c r="OR159" s="43" t="str">
        <f t="shared" si="520"/>
        <v/>
      </c>
      <c r="OS159" s="43" t="str">
        <f t="shared" si="521"/>
        <v/>
      </c>
      <c r="OT159" s="43" t="str">
        <f t="shared" si="522"/>
        <v/>
      </c>
      <c r="OU159" s="43" t="str">
        <f t="shared" si="523"/>
        <v/>
      </c>
      <c r="OV159" s="110" t="str">
        <f t="shared" si="524"/>
        <v/>
      </c>
      <c r="OW159" s="43" t="str">
        <f t="shared" si="525"/>
        <v/>
      </c>
      <c r="OX159" s="43" t="str">
        <f t="shared" si="526"/>
        <v/>
      </c>
      <c r="OY159" s="43" t="str">
        <f t="shared" si="527"/>
        <v/>
      </c>
      <c r="OZ159" s="43" t="str">
        <f t="shared" si="528"/>
        <v/>
      </c>
      <c r="PA159" s="43" t="str">
        <f t="shared" si="529"/>
        <v/>
      </c>
      <c r="PB159" s="43" t="str">
        <f t="shared" si="530"/>
        <v/>
      </c>
      <c r="PC159" s="43" t="str">
        <f t="shared" si="531"/>
        <v/>
      </c>
      <c r="PD159" s="43" t="str">
        <f t="shared" si="532"/>
        <v/>
      </c>
      <c r="PE159" s="43" t="str">
        <f t="shared" si="533"/>
        <v/>
      </c>
      <c r="PF159" s="43" t="str">
        <f t="shared" si="534"/>
        <v/>
      </c>
      <c r="PG159" s="43" t="str">
        <f t="shared" si="535"/>
        <v/>
      </c>
      <c r="PH159" s="43" t="str">
        <f t="shared" si="536"/>
        <v/>
      </c>
      <c r="PI159" s="43">
        <f t="shared" si="537"/>
        <v>28</v>
      </c>
      <c r="PJ159" s="43" t="str">
        <f t="shared" si="538"/>
        <v/>
      </c>
      <c r="PK159" s="43" t="str">
        <f t="shared" si="539"/>
        <v/>
      </c>
      <c r="PL159" s="43" t="str">
        <f t="shared" si="540"/>
        <v/>
      </c>
      <c r="PM159" s="43" t="str">
        <f t="shared" si="541"/>
        <v/>
      </c>
      <c r="PN159" s="43" t="str">
        <f t="shared" si="542"/>
        <v/>
      </c>
      <c r="PO159" s="43" t="str">
        <f t="shared" si="543"/>
        <v/>
      </c>
      <c r="PP159" s="43" t="str">
        <f t="shared" si="544"/>
        <v/>
      </c>
      <c r="PQ159" s="43" t="str">
        <f t="shared" si="545"/>
        <v/>
      </c>
      <c r="PR159" s="43" t="str">
        <f t="shared" si="546"/>
        <v/>
      </c>
      <c r="PS159" s="43" t="str">
        <f t="shared" si="547"/>
        <v/>
      </c>
      <c r="PT159" s="43" t="str">
        <f t="shared" si="548"/>
        <v/>
      </c>
      <c r="PU159" s="43" t="str">
        <f t="shared" si="549"/>
        <v/>
      </c>
      <c r="PV159" s="43" t="str">
        <f t="shared" si="550"/>
        <v/>
      </c>
      <c r="PW159" s="43" t="str">
        <f t="shared" si="551"/>
        <v/>
      </c>
      <c r="PX159" s="43" t="str">
        <f t="shared" si="552"/>
        <v/>
      </c>
      <c r="PY159" s="43" t="str">
        <f t="shared" si="553"/>
        <v/>
      </c>
      <c r="PZ159" s="43" t="str">
        <f t="shared" si="554"/>
        <v/>
      </c>
      <c r="QA159" s="43" t="str">
        <f t="shared" si="555"/>
        <v/>
      </c>
      <c r="QB159" s="43" t="str">
        <f t="shared" si="556"/>
        <v/>
      </c>
      <c r="QC159" s="43" t="str">
        <f t="shared" si="557"/>
        <v>NORMAL</v>
      </c>
      <c r="QD159" s="43" t="str">
        <f t="shared" si="558"/>
        <v/>
      </c>
      <c r="QE159" s="43" t="str">
        <f t="shared" si="559"/>
        <v/>
      </c>
      <c r="QF159" s="43" t="str">
        <f t="shared" si="560"/>
        <v/>
      </c>
      <c r="QG159" s="43" t="str">
        <f t="shared" si="561"/>
        <v/>
      </c>
      <c r="QH159" s="43" t="str">
        <f t="shared" si="562"/>
        <v/>
      </c>
      <c r="QI159" s="43" t="str">
        <f t="shared" si="563"/>
        <v/>
      </c>
      <c r="QJ159" s="43" t="str">
        <f t="shared" si="564"/>
        <v/>
      </c>
      <c r="QK159" s="43" t="str">
        <f t="shared" si="565"/>
        <v/>
      </c>
      <c r="QL159" s="43" t="str">
        <f t="shared" si="566"/>
        <v/>
      </c>
      <c r="QM159" s="43" t="str">
        <f t="shared" si="567"/>
        <v/>
      </c>
      <c r="QN159" s="43" t="str">
        <f t="shared" si="568"/>
        <v/>
      </c>
      <c r="QO159" s="43" t="str">
        <f t="shared" si="569"/>
        <v/>
      </c>
      <c r="QP159" s="43" t="str">
        <f t="shared" si="570"/>
        <v/>
      </c>
      <c r="QQ159" s="43" t="str">
        <f t="shared" si="571"/>
        <v/>
      </c>
      <c r="QR159" s="43">
        <f t="shared" si="672"/>
        <v>28</v>
      </c>
      <c r="QS159" s="43"/>
      <c r="QT159" s="21" t="str">
        <f t="shared" si="572"/>
        <v/>
      </c>
      <c r="QU159" s="21" t="str">
        <f t="shared" si="573"/>
        <v/>
      </c>
      <c r="QV159" s="21" t="str">
        <f t="shared" si="574"/>
        <v/>
      </c>
      <c r="QW159" s="21" t="str">
        <f t="shared" si="575"/>
        <v/>
      </c>
      <c r="QX159" s="21" t="str">
        <f t="shared" si="576"/>
        <v/>
      </c>
      <c r="QY159" s="21" t="str">
        <f t="shared" si="577"/>
        <v/>
      </c>
      <c r="QZ159" s="21" t="str">
        <f t="shared" si="578"/>
        <v/>
      </c>
      <c r="RA159" s="21" t="str">
        <f t="shared" si="579"/>
        <v/>
      </c>
      <c r="RB159" s="21" t="str">
        <f t="shared" si="580"/>
        <v/>
      </c>
      <c r="RC159" s="21" t="str">
        <f t="shared" si="581"/>
        <v/>
      </c>
      <c r="RD159" s="21" t="str">
        <f t="shared" si="582"/>
        <v/>
      </c>
      <c r="RE159" s="21" t="str">
        <f t="shared" si="583"/>
        <v/>
      </c>
      <c r="RF159" s="21" t="str">
        <f t="shared" si="584"/>
        <v/>
      </c>
      <c r="RG159" s="21" t="str">
        <f t="shared" si="585"/>
        <v/>
      </c>
      <c r="RH159" s="21" t="str">
        <f t="shared" si="586"/>
        <v/>
      </c>
      <c r="RI159" s="21" t="str">
        <f t="shared" si="587"/>
        <v>ALTO PARA EDAD GESTACIONAL</v>
      </c>
      <c r="RJ159" s="21" t="str">
        <f t="shared" si="588"/>
        <v/>
      </c>
      <c r="RK159" s="21" t="str">
        <f t="shared" si="589"/>
        <v/>
      </c>
      <c r="RL159" s="21" t="str">
        <f t="shared" si="590"/>
        <v/>
      </c>
      <c r="RM159" s="21" t="str">
        <f t="shared" si="591"/>
        <v/>
      </c>
      <c r="RN159" s="21" t="str">
        <f t="shared" si="592"/>
        <v/>
      </c>
      <c r="RO159" s="21" t="str">
        <f t="shared" si="593"/>
        <v/>
      </c>
      <c r="RP159" s="21" t="str">
        <f t="shared" si="594"/>
        <v/>
      </c>
      <c r="RQ159" s="21" t="str">
        <f t="shared" si="595"/>
        <v/>
      </c>
      <c r="RR159" s="21" t="str">
        <f t="shared" si="596"/>
        <v/>
      </c>
      <c r="RS159" s="21" t="str">
        <f t="shared" si="597"/>
        <v/>
      </c>
      <c r="RT159" s="21" t="str">
        <f t="shared" si="598"/>
        <v/>
      </c>
      <c r="RU159" s="21" t="str">
        <f t="shared" si="599"/>
        <v/>
      </c>
      <c r="RV159" s="21">
        <f t="shared" si="600"/>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3"/>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1"/>
        <v>45.12054794520548</v>
      </c>
      <c r="O160" s="22">
        <v>45036</v>
      </c>
      <c r="P160" s="214" t="str">
        <f t="shared" si="675"/>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2"/>
        <v>104.63333333333334</v>
      </c>
      <c r="BR160" s="223" t="str">
        <f t="shared" si="603"/>
        <v/>
      </c>
      <c r="BS160" s="224">
        <f t="shared" si="604"/>
        <v>10.428571428571429</v>
      </c>
      <c r="BT160" s="216" t="str">
        <f t="shared" si="605"/>
        <v>II TRIM</v>
      </c>
      <c r="BU160" s="214">
        <f t="shared" ca="1" si="606"/>
        <v>38.428571428571431</v>
      </c>
      <c r="BV160" s="25"/>
      <c r="BW160" s="22"/>
      <c r="BX160" s="28"/>
      <c r="BY160" s="28"/>
      <c r="BZ160" s="22"/>
      <c r="CA160" s="21"/>
      <c r="CB160" s="26"/>
      <c r="CC160" s="26"/>
      <c r="CD160" s="26"/>
      <c r="CE160" s="26"/>
      <c r="CF160" s="22" t="s">
        <v>1517</v>
      </c>
      <c r="CG160" s="21">
        <v>1.62</v>
      </c>
      <c r="CH160" s="21">
        <v>78</v>
      </c>
      <c r="CI160" s="214">
        <f t="shared" si="607"/>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8"/>
        <v>45164</v>
      </c>
      <c r="CL160" s="21">
        <v>83</v>
      </c>
      <c r="CM160" s="214">
        <f t="shared" si="609"/>
        <v>31.626276482243554</v>
      </c>
      <c r="CN160" s="216">
        <f t="shared" si="610"/>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90"/>
        <v/>
      </c>
      <c r="DA160" s="21">
        <v>100</v>
      </c>
      <c r="DB160" s="21">
        <v>60</v>
      </c>
      <c r="DC160" s="217" t="str">
        <f t="shared" si="611"/>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6"/>
        <v>CONCERTAR PLAN DE PARTO INMEDIATO</v>
      </c>
      <c r="DV160" s="226" t="str">
        <f t="shared" si="677"/>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2"/>
        <v>#REF!</v>
      </c>
      <c r="DY160" s="212">
        <f>IF(R160="","",IF(R160&gt;0,MAX(Tabla1[[#This Row],[FECHA C2]:[FECHA C13]],Tabla1[[#This Row],[FECHA CONSULTA PRIMERA VEZ PROGRAMA CPN ]])))</f>
        <v>45164</v>
      </c>
      <c r="DZ160" s="216">
        <f t="shared" si="613"/>
        <v>28</v>
      </c>
      <c r="EA160" s="222">
        <f>IF(R160&gt;0,SUM(COUNTA(DF160:DQ160)+COUNTA(Tabla1[[#This Row],[FECHA CONSULTA PRIMERA VEZ PROGRAMA CPN ]])),"")</f>
        <v>5</v>
      </c>
      <c r="EB160" s="222" t="str">
        <f t="shared" si="614"/>
        <v>SI</v>
      </c>
      <c r="EC160" s="214">
        <f t="shared" si="615"/>
        <v>9</v>
      </c>
      <c r="ED160" s="227">
        <f t="shared" si="616"/>
        <v>0.55555555555555558</v>
      </c>
      <c r="EE160" s="22">
        <v>45036</v>
      </c>
      <c r="EF160" s="22"/>
      <c r="EG160" s="22">
        <v>45036</v>
      </c>
      <c r="EH160" s="22">
        <v>45072</v>
      </c>
      <c r="EI160" s="22">
        <v>45036</v>
      </c>
      <c r="EJ160" s="22">
        <v>45083</v>
      </c>
      <c r="EK160" s="22"/>
      <c r="EL160" s="21"/>
      <c r="EM160" s="21">
        <v>13.5</v>
      </c>
      <c r="EN160" s="22">
        <v>45037</v>
      </c>
      <c r="EO160" s="222">
        <f t="shared" si="617"/>
        <v>10.571428571428571</v>
      </c>
      <c r="EP160" s="214" t="str">
        <f t="shared" si="618"/>
        <v>NORMAL- SUMINISTRAR SULFATO FERROSO</v>
      </c>
      <c r="EQ160" s="216" t="str">
        <f t="shared" si="619"/>
        <v>I TRIM</v>
      </c>
      <c r="ER160" s="24"/>
      <c r="ES160" s="22"/>
      <c r="ET160" s="29" t="str">
        <f t="shared" ca="1" si="678"/>
        <v>TOMA DE HEMOGLOBINA TARDÍA</v>
      </c>
      <c r="EU160" s="25" t="str">
        <f t="shared" si="620"/>
        <v/>
      </c>
      <c r="EV160" s="24" t="s">
        <v>1510</v>
      </c>
      <c r="EW160" s="32">
        <v>45037</v>
      </c>
      <c r="EX160" s="22"/>
      <c r="EY160" s="29">
        <f t="shared" ref="EY160:EY219" si="693">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4">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1"/>
        <v>10.571428571428571</v>
      </c>
      <c r="FD160" s="29">
        <v>78</v>
      </c>
      <c r="FE160" s="29">
        <v>105</v>
      </c>
      <c r="FF160" s="29">
        <v>145</v>
      </c>
      <c r="FG160" s="21" t="str">
        <f t="shared" ca="1" si="622"/>
        <v>NORMAL</v>
      </c>
      <c r="FH160" s="31">
        <v>45136</v>
      </c>
      <c r="FI160" s="29">
        <f t="shared" si="623"/>
        <v>24.714285714285715</v>
      </c>
      <c r="FJ160" s="22" t="s">
        <v>867</v>
      </c>
      <c r="FK160" s="22">
        <v>45037</v>
      </c>
      <c r="FL160" s="29">
        <f t="shared" ca="1" si="624"/>
        <v>10.571428571428571</v>
      </c>
      <c r="FM160" s="22"/>
      <c r="FN160" s="32"/>
      <c r="FO160" s="29" t="str">
        <f t="shared" ca="1" si="679"/>
        <v>PIERDE TOMA DE TAMIZAJE</v>
      </c>
      <c r="FP160" s="22"/>
      <c r="FQ160" s="32"/>
      <c r="FR160" s="29" t="str">
        <f t="shared" ca="1" si="680"/>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5"/>
        <v>TOMAR EXAMEN</v>
      </c>
      <c r="FY160" s="22" t="s">
        <v>868</v>
      </c>
      <c r="FZ160" s="22">
        <v>45036</v>
      </c>
      <c r="GA160" s="29">
        <f t="shared" ca="1" si="692"/>
        <v>10.428571428571429</v>
      </c>
      <c r="GB160" s="22"/>
      <c r="GC160" s="22"/>
      <c r="GD160" s="29" t="str">
        <f t="shared" ca="1" si="681"/>
        <v>PIERDE TOMA DE TAMIZAJE</v>
      </c>
      <c r="GE160" s="22"/>
      <c r="GF160" s="22"/>
      <c r="GG160" s="29" t="str">
        <f t="shared" ca="1" si="682"/>
        <v>TOMA INMEDIATA DE TAMIZAJE</v>
      </c>
      <c r="GH160" s="22"/>
      <c r="GI160" s="29"/>
      <c r="GJ160" s="22"/>
      <c r="GK160" s="22"/>
      <c r="GL160" s="22"/>
      <c r="GM160" s="22"/>
      <c r="GN160" s="28" t="s">
        <v>869</v>
      </c>
      <c r="GO160" s="22">
        <v>45037</v>
      </c>
      <c r="GP160" s="29">
        <f t="shared" si="626"/>
        <v>10.571428571428571</v>
      </c>
      <c r="GQ160" s="28" t="s">
        <v>869</v>
      </c>
      <c r="GR160" s="28" t="s">
        <v>880</v>
      </c>
      <c r="GS160" s="22" t="str">
        <f t="shared" si="627"/>
        <v>CONTROL Igm</v>
      </c>
      <c r="GT160" s="22">
        <v>45037</v>
      </c>
      <c r="GU160" s="29">
        <f t="shared" si="628"/>
        <v>10.571428571428571</v>
      </c>
      <c r="GV160" s="21" t="str">
        <f t="shared" si="629"/>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30"/>
        <v>#REF!</v>
      </c>
      <c r="HI160" s="22" t="e">
        <f t="shared" ca="1" si="631"/>
        <v>#REF!</v>
      </c>
      <c r="HJ160" s="21" t="str">
        <f t="shared" ca="1" si="632"/>
        <v>************************RIESGO POR EDAD*CESAREAS PREVIAS**************</v>
      </c>
      <c r="HK160" s="21" t="str">
        <f t="shared" si="633"/>
        <v>SIN ANTECEDENTES DE RIESGO</v>
      </c>
      <c r="HL160" s="24" t="str">
        <f t="shared" si="634"/>
        <v>APARENTEMENTE NORMAL</v>
      </c>
      <c r="HM160" s="21" t="e">
        <f t="shared" ca="1" si="635"/>
        <v>#REF!</v>
      </c>
      <c r="HN160" s="30" t="str">
        <f t="shared" si="683"/>
        <v>ACTIVA INGRESO A CPN</v>
      </c>
      <c r="HO160" s="21"/>
      <c r="HP160" s="21" t="s">
        <v>854</v>
      </c>
      <c r="HQ160" s="349">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6"/>
        <v>10.428571428571429</v>
      </c>
      <c r="IA160" s="26"/>
      <c r="IB160" s="26"/>
      <c r="IC160" s="111"/>
      <c r="ID160" s="22"/>
      <c r="IE160" s="22" t="str">
        <f t="shared" ca="1" si="637"/>
        <v>INASISTENTE</v>
      </c>
      <c r="IF160" s="22"/>
      <c r="IG160" s="22">
        <f t="shared" si="638"/>
        <v>45243</v>
      </c>
      <c r="IH160" s="29">
        <f t="shared" ca="1" si="639"/>
        <v>11</v>
      </c>
      <c r="II160" s="22" t="str">
        <f t="shared" ca="1" si="640"/>
        <v>MENOS DE 4 SEMANAS</v>
      </c>
      <c r="IJ160" s="22"/>
      <c r="IK160" s="21"/>
      <c r="IL160" s="21"/>
      <c r="IM160" s="34"/>
      <c r="IN160" s="22"/>
      <c r="IO160" s="21"/>
      <c r="IP160" s="29" t="str">
        <f t="shared" si="674"/>
        <v/>
      </c>
      <c r="IQ160" s="35"/>
      <c r="IR160" s="21"/>
      <c r="IS160" s="21"/>
      <c r="IT160" s="21"/>
      <c r="IU160" s="21"/>
      <c r="IV160" s="21"/>
      <c r="IW160" s="21"/>
      <c r="IX160" s="21"/>
      <c r="IY160" s="21"/>
      <c r="IZ160" s="21"/>
      <c r="JA160" s="21"/>
      <c r="JB160" s="30"/>
      <c r="JC160" s="21"/>
      <c r="JD160" s="36"/>
      <c r="JE160" s="21" t="str">
        <f t="shared" si="684"/>
        <v/>
      </c>
      <c r="JF160" s="30"/>
      <c r="JG160" s="21"/>
      <c r="JH160" s="21"/>
      <c r="JI160" s="21"/>
      <c r="JJ160" s="30"/>
      <c r="JK160" s="22"/>
      <c r="JL160" s="22"/>
      <c r="JM160" s="21"/>
      <c r="JN160" s="36"/>
      <c r="JO160" s="21" t="str">
        <f t="shared" si="685"/>
        <v/>
      </c>
      <c r="JP160" s="22"/>
      <c r="JQ160" s="21"/>
      <c r="JR160" s="21"/>
      <c r="JS160" s="21"/>
      <c r="JT160" s="30"/>
      <c r="JU160" s="22"/>
      <c r="JV160" s="22"/>
      <c r="JW160" s="33"/>
      <c r="JX160" s="28" t="str">
        <f t="shared" si="686"/>
        <v/>
      </c>
      <c r="JY160" s="33"/>
      <c r="JZ160" s="28" t="str">
        <f t="shared" si="687"/>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41"/>
        <v>0</v>
      </c>
      <c r="MI160" s="43" t="str">
        <f t="shared" si="642"/>
        <v/>
      </c>
      <c r="MJ160" s="43" t="str">
        <f t="shared" si="643"/>
        <v/>
      </c>
      <c r="MK160" s="43">
        <f t="shared" si="644"/>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5"/>
        <v>10.428571428571429</v>
      </c>
      <c r="MN160" s="43">
        <f t="shared" si="646"/>
        <v>4</v>
      </c>
      <c r="MO160" s="43">
        <f t="shared" si="647"/>
        <v>2023</v>
      </c>
      <c r="MP160" s="43" t="str">
        <f t="shared" si="648"/>
        <v>II TRIMESTRE AÑO</v>
      </c>
      <c r="MQ160" s="43">
        <f t="shared" si="649"/>
        <v>43.911519929916778</v>
      </c>
      <c r="MR160" s="43">
        <f t="shared" si="650"/>
        <v>2</v>
      </c>
      <c r="MS160" s="43" t="str">
        <f t="shared" si="651"/>
        <v xml:space="preserve"> DE 40 Y MAS</v>
      </c>
      <c r="MT160" s="43">
        <f t="shared" si="652"/>
        <v>0</v>
      </c>
      <c r="MU160" s="43">
        <f t="shared" si="653"/>
        <v>0</v>
      </c>
      <c r="MV160" s="43">
        <f t="shared" si="654"/>
        <v>1</v>
      </c>
      <c r="MW160" s="43">
        <f t="shared" si="655"/>
        <v>0</v>
      </c>
      <c r="MX160" s="43" t="str">
        <f t="shared" si="656"/>
        <v/>
      </c>
      <c r="MY160" s="43" t="str">
        <f t="shared" ca="1" si="688"/>
        <v/>
      </c>
      <c r="MZ160" s="43" t="str">
        <f t="shared" si="657"/>
        <v/>
      </c>
      <c r="NA160" s="43" t="str">
        <f t="shared" si="658"/>
        <v/>
      </c>
      <c r="NB160" s="43" t="str">
        <f t="shared" si="659"/>
        <v/>
      </c>
      <c r="NC160" s="43" t="str">
        <f t="shared" si="660"/>
        <v/>
      </c>
      <c r="ND160" s="43">
        <f t="shared" ca="1" si="661"/>
        <v>3</v>
      </c>
      <c r="NE160" s="43">
        <f>IF(OR(O160&gt;0,R160&gt;0),SUM(COUNTIF(Tabla1[[#This Row],[AÑOS AL INICIO5 CPN]],"&gt;=40"),COUNTIF(AS160,"0"),COUNTIF(AR160,"SI"),COUNTIF(CC160,"SI"),COUNTIF(BQ160,"&gt;119"),COUNTIF(CI160,"&gt;=35")),"")</f>
        <v>1</v>
      </c>
      <c r="NF160" s="43" t="str">
        <f t="shared" si="662"/>
        <v/>
      </c>
      <c r="NG160" s="43">
        <f t="shared" si="663"/>
        <v>0</v>
      </c>
      <c r="NH160" s="43" t="str">
        <f t="shared" si="664"/>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5"/>
        <v>47</v>
      </c>
      <c r="NM160" s="43" t="str">
        <f t="shared" ref="NM160:NM193" si="695">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6"/>
        <v>I TRIM</v>
      </c>
      <c r="NQ160" s="21" t="str">
        <f t="shared" si="691"/>
        <v/>
      </c>
      <c r="NR160" s="21">
        <f t="shared" ca="1" si="689"/>
        <v>3</v>
      </c>
      <c r="NS160" s="205">
        <f t="shared" ca="1" si="667"/>
        <v>1</v>
      </c>
      <c r="NT160" s="21">
        <f t="shared" ca="1" si="668"/>
        <v>1</v>
      </c>
      <c r="NU160" s="21" t="str">
        <f t="shared" ca="1" si="669"/>
        <v>INCOMPLETO</v>
      </c>
      <c r="NV160" s="21" t="str">
        <f t="shared" ca="1" si="670"/>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71"/>
        <v>SIN VACUNAR</v>
      </c>
      <c r="NY160" s="43">
        <f>ROW(Tabla1[[#This Row],['# DE TAMIZAJES SIFILIS TOMADOS ]])</f>
        <v>160</v>
      </c>
      <c r="NZ160" s="43">
        <f t="shared" si="502"/>
        <v>10</v>
      </c>
      <c r="OA160" s="43" t="str">
        <f t="shared" si="503"/>
        <v/>
      </c>
      <c r="OB160" s="43" t="str">
        <f t="shared" si="504"/>
        <v>SOBREPESO</v>
      </c>
      <c r="OC160" s="43" t="str">
        <f t="shared" si="505"/>
        <v/>
      </c>
      <c r="OD160" s="43" t="str">
        <f t="shared" si="506"/>
        <v/>
      </c>
      <c r="OE160" s="43" t="str">
        <f t="shared" si="507"/>
        <v/>
      </c>
      <c r="OF160" s="43" t="str">
        <f t="shared" si="508"/>
        <v/>
      </c>
      <c r="OG160" s="43" t="str">
        <f t="shared" si="509"/>
        <v/>
      </c>
      <c r="OH160" s="43" t="str">
        <f t="shared" si="510"/>
        <v/>
      </c>
      <c r="OI160" s="43" t="str">
        <f t="shared" si="511"/>
        <v/>
      </c>
      <c r="OJ160" s="43" t="str">
        <f t="shared" si="512"/>
        <v/>
      </c>
      <c r="OK160" s="43" t="str">
        <f t="shared" si="513"/>
        <v/>
      </c>
      <c r="OL160" s="43" t="str">
        <f t="shared" si="514"/>
        <v/>
      </c>
      <c r="OM160" s="43" t="str">
        <f t="shared" si="515"/>
        <v/>
      </c>
      <c r="ON160" s="43" t="str">
        <f t="shared" si="516"/>
        <v/>
      </c>
      <c r="OO160" s="43" t="str">
        <f t="shared" si="517"/>
        <v/>
      </c>
      <c r="OP160" s="43" t="str">
        <f t="shared" si="518"/>
        <v/>
      </c>
      <c r="OQ160" s="43" t="str">
        <f t="shared" si="519"/>
        <v/>
      </c>
      <c r="OR160" s="43" t="str">
        <f t="shared" si="520"/>
        <v/>
      </c>
      <c r="OS160" s="43" t="str">
        <f t="shared" si="521"/>
        <v/>
      </c>
      <c r="OT160" s="43" t="str">
        <f t="shared" si="522"/>
        <v/>
      </c>
      <c r="OU160" s="43" t="str">
        <f t="shared" si="523"/>
        <v/>
      </c>
      <c r="OV160" s="110" t="str">
        <f t="shared" si="524"/>
        <v/>
      </c>
      <c r="OW160" s="43" t="str">
        <f t="shared" si="525"/>
        <v/>
      </c>
      <c r="OX160" s="43" t="str">
        <f t="shared" si="526"/>
        <v/>
      </c>
      <c r="OY160" s="43" t="str">
        <f t="shared" si="527"/>
        <v/>
      </c>
      <c r="OZ160" s="43" t="str">
        <f t="shared" si="528"/>
        <v/>
      </c>
      <c r="PA160" s="43" t="str">
        <f t="shared" si="529"/>
        <v/>
      </c>
      <c r="PB160" s="43" t="str">
        <f t="shared" si="530"/>
        <v/>
      </c>
      <c r="PC160" s="43" t="str">
        <f t="shared" si="531"/>
        <v/>
      </c>
      <c r="PD160" s="43" t="str">
        <f t="shared" si="532"/>
        <v/>
      </c>
      <c r="PE160" s="43" t="str">
        <f t="shared" si="533"/>
        <v/>
      </c>
      <c r="PF160" s="43" t="str">
        <f t="shared" si="534"/>
        <v/>
      </c>
      <c r="PG160" s="43" t="str">
        <f t="shared" si="535"/>
        <v/>
      </c>
      <c r="PH160" s="43" t="str">
        <f t="shared" si="536"/>
        <v/>
      </c>
      <c r="PI160" s="43">
        <f t="shared" si="537"/>
        <v>28</v>
      </c>
      <c r="PJ160" s="43" t="str">
        <f t="shared" si="538"/>
        <v/>
      </c>
      <c r="PK160" s="43" t="str">
        <f t="shared" si="539"/>
        <v/>
      </c>
      <c r="PL160" s="43" t="str">
        <f t="shared" si="540"/>
        <v/>
      </c>
      <c r="PM160" s="43" t="str">
        <f t="shared" si="541"/>
        <v/>
      </c>
      <c r="PN160" s="43" t="str">
        <f t="shared" si="542"/>
        <v/>
      </c>
      <c r="PO160" s="43" t="str">
        <f t="shared" si="543"/>
        <v/>
      </c>
      <c r="PP160" s="43" t="str">
        <f t="shared" si="544"/>
        <v/>
      </c>
      <c r="PQ160" s="43" t="str">
        <f t="shared" si="545"/>
        <v/>
      </c>
      <c r="PR160" s="43" t="str">
        <f t="shared" si="546"/>
        <v/>
      </c>
      <c r="PS160" s="43" t="str">
        <f t="shared" si="547"/>
        <v/>
      </c>
      <c r="PT160" s="43" t="str">
        <f t="shared" si="548"/>
        <v/>
      </c>
      <c r="PU160" s="43" t="str">
        <f t="shared" si="549"/>
        <v/>
      </c>
      <c r="PV160" s="43" t="str">
        <f t="shared" si="550"/>
        <v/>
      </c>
      <c r="PW160" s="43" t="str">
        <f t="shared" si="551"/>
        <v/>
      </c>
      <c r="PX160" s="43" t="str">
        <f t="shared" si="552"/>
        <v/>
      </c>
      <c r="PY160" s="43" t="str">
        <f t="shared" si="553"/>
        <v/>
      </c>
      <c r="PZ160" s="43" t="str">
        <f t="shared" si="554"/>
        <v/>
      </c>
      <c r="QA160" s="43" t="str">
        <f t="shared" si="555"/>
        <v/>
      </c>
      <c r="QB160" s="43" t="str">
        <f t="shared" si="556"/>
        <v/>
      </c>
      <c r="QC160" s="43" t="str">
        <f t="shared" si="557"/>
        <v>SOBREPESO</v>
      </c>
      <c r="QD160" s="43" t="str">
        <f t="shared" si="558"/>
        <v/>
      </c>
      <c r="QE160" s="43" t="str">
        <f t="shared" si="559"/>
        <v/>
      </c>
      <c r="QF160" s="43" t="str">
        <f t="shared" si="560"/>
        <v/>
      </c>
      <c r="QG160" s="43" t="str">
        <f t="shared" si="561"/>
        <v/>
      </c>
      <c r="QH160" s="43" t="str">
        <f t="shared" si="562"/>
        <v/>
      </c>
      <c r="QI160" s="43" t="str">
        <f t="shared" si="563"/>
        <v/>
      </c>
      <c r="QJ160" s="43" t="str">
        <f t="shared" si="564"/>
        <v/>
      </c>
      <c r="QK160" s="43" t="str">
        <f t="shared" si="565"/>
        <v/>
      </c>
      <c r="QL160" s="43" t="str">
        <f t="shared" si="566"/>
        <v/>
      </c>
      <c r="QM160" s="43" t="str">
        <f t="shared" si="567"/>
        <v/>
      </c>
      <c r="QN160" s="43" t="str">
        <f t="shared" si="568"/>
        <v/>
      </c>
      <c r="QO160" s="43" t="str">
        <f t="shared" si="569"/>
        <v/>
      </c>
      <c r="QP160" s="43" t="str">
        <f t="shared" si="570"/>
        <v/>
      </c>
      <c r="QQ160" s="43" t="str">
        <f t="shared" si="571"/>
        <v/>
      </c>
      <c r="QR160" s="43">
        <f t="shared" si="672"/>
        <v>28</v>
      </c>
      <c r="QS160" s="43"/>
      <c r="QT160" s="21" t="str">
        <f t="shared" si="572"/>
        <v/>
      </c>
      <c r="QU160" s="21" t="str">
        <f t="shared" si="573"/>
        <v/>
      </c>
      <c r="QV160" s="21" t="str">
        <f t="shared" si="574"/>
        <v/>
      </c>
      <c r="QW160" s="21" t="str">
        <f t="shared" si="575"/>
        <v/>
      </c>
      <c r="QX160" s="21" t="str">
        <f t="shared" si="576"/>
        <v/>
      </c>
      <c r="QY160" s="21" t="str">
        <f t="shared" si="577"/>
        <v/>
      </c>
      <c r="QZ160" s="21" t="str">
        <f t="shared" si="578"/>
        <v/>
      </c>
      <c r="RA160" s="21" t="str">
        <f t="shared" si="579"/>
        <v/>
      </c>
      <c r="RB160" s="21" t="str">
        <f t="shared" si="580"/>
        <v/>
      </c>
      <c r="RC160" s="21" t="str">
        <f t="shared" si="581"/>
        <v/>
      </c>
      <c r="RD160" s="21" t="str">
        <f t="shared" si="582"/>
        <v/>
      </c>
      <c r="RE160" s="21" t="str">
        <f t="shared" si="583"/>
        <v/>
      </c>
      <c r="RF160" s="21" t="str">
        <f t="shared" si="584"/>
        <v/>
      </c>
      <c r="RG160" s="21" t="str">
        <f t="shared" si="585"/>
        <v/>
      </c>
      <c r="RH160" s="21" t="str">
        <f t="shared" si="586"/>
        <v/>
      </c>
      <c r="RI160" s="21" t="str">
        <f t="shared" si="587"/>
        <v>ALTO PARA EDAD GESTACIONAL</v>
      </c>
      <c r="RJ160" s="21" t="str">
        <f t="shared" si="588"/>
        <v/>
      </c>
      <c r="RK160" s="21" t="str">
        <f t="shared" si="589"/>
        <v/>
      </c>
      <c r="RL160" s="21" t="str">
        <f t="shared" si="590"/>
        <v/>
      </c>
      <c r="RM160" s="21" t="str">
        <f t="shared" si="591"/>
        <v/>
      </c>
      <c r="RN160" s="21" t="str">
        <f t="shared" si="592"/>
        <v/>
      </c>
      <c r="RO160" s="21" t="str">
        <f t="shared" si="593"/>
        <v/>
      </c>
      <c r="RP160" s="21" t="str">
        <f t="shared" si="594"/>
        <v/>
      </c>
      <c r="RQ160" s="21" t="str">
        <f t="shared" si="595"/>
        <v/>
      </c>
      <c r="RR160" s="21" t="str">
        <f t="shared" si="596"/>
        <v/>
      </c>
      <c r="RS160" s="21" t="str">
        <f t="shared" si="597"/>
        <v/>
      </c>
      <c r="RT160" s="21" t="str">
        <f t="shared" si="598"/>
        <v/>
      </c>
      <c r="RU160" s="21" t="str">
        <f t="shared" si="599"/>
        <v/>
      </c>
      <c r="RV160" s="21">
        <f t="shared" si="600"/>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3"/>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1"/>
        <v>15.126027397260273</v>
      </c>
      <c r="O161" s="22">
        <v>45038</v>
      </c>
      <c r="P161" s="214" t="str">
        <f t="shared" si="675"/>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2"/>
        <v>0</v>
      </c>
      <c r="BR161" s="223" t="str">
        <f t="shared" si="603"/>
        <v/>
      </c>
      <c r="BS161" s="224">
        <f t="shared" si="604"/>
        <v>8.1428571428571423</v>
      </c>
      <c r="BT161" s="216" t="str">
        <f t="shared" si="605"/>
        <v>I TRIM</v>
      </c>
      <c r="BU161" s="214">
        <f t="shared" ca="1" si="606"/>
        <v>35.857142857142854</v>
      </c>
      <c r="BV161" s="25"/>
      <c r="BW161" s="22"/>
      <c r="BX161" s="28"/>
      <c r="BY161" s="28"/>
      <c r="BZ161" s="22"/>
      <c r="CA161" s="21"/>
      <c r="CB161" s="26"/>
      <c r="CC161" s="26"/>
      <c r="CD161" s="26"/>
      <c r="CE161" s="26"/>
      <c r="CF161" s="22" t="s">
        <v>1517</v>
      </c>
      <c r="CG161" s="21">
        <v>1.54</v>
      </c>
      <c r="CH161" s="21">
        <v>57.5</v>
      </c>
      <c r="CI161" s="214">
        <f t="shared" si="607"/>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8"/>
        <v>45069</v>
      </c>
      <c r="CL161" s="21">
        <v>57.8</v>
      </c>
      <c r="CM161" s="214">
        <f t="shared" si="609"/>
        <v>24.371732163939956</v>
      </c>
      <c r="CN161" s="216">
        <f t="shared" si="610"/>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90"/>
        <v/>
      </c>
      <c r="DA161" s="21">
        <v>90</v>
      </c>
      <c r="DB161" s="21">
        <v>70</v>
      </c>
      <c r="DC161" s="217" t="str">
        <f t="shared" si="611"/>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6"/>
        <v>CONCERTAR PLAN DE PARTO INMEDIATO</v>
      </c>
      <c r="DV161" s="226" t="str">
        <f t="shared" si="677"/>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2"/>
        <v>#REF!</v>
      </c>
      <c r="DY161" s="212">
        <f>IF(R161="","",IF(R161&gt;0,MAX(Tabla1[[#This Row],[FECHA C2]:[FECHA C13]],Tabla1[[#This Row],[FECHA CONSULTA PRIMERA VEZ PROGRAMA CPN ]])))</f>
        <v>45069</v>
      </c>
      <c r="DZ161" s="216">
        <f t="shared" si="613"/>
        <v>12</v>
      </c>
      <c r="EA161" s="222">
        <f>IF(R161&gt;0,SUM(COUNTA(DF161:DQ161)+COUNTA(Tabla1[[#This Row],[FECHA CONSULTA PRIMERA VEZ PROGRAMA CPN ]])),"")</f>
        <v>2</v>
      </c>
      <c r="EB161" s="222" t="str">
        <f t="shared" si="614"/>
        <v>NO</v>
      </c>
      <c r="EC161" s="214">
        <f t="shared" si="615"/>
        <v>9</v>
      </c>
      <c r="ED161" s="227">
        <f t="shared" si="616"/>
        <v>0.22222222222222221</v>
      </c>
      <c r="EE161" s="22">
        <v>45038</v>
      </c>
      <c r="EF161" s="22">
        <v>45038</v>
      </c>
      <c r="EG161" s="22">
        <v>45038</v>
      </c>
      <c r="EH161" s="22"/>
      <c r="EI161" s="22">
        <v>45038</v>
      </c>
      <c r="EJ161" s="22"/>
      <c r="EK161" s="22"/>
      <c r="EL161" s="21"/>
      <c r="EM161" s="21">
        <v>13.8</v>
      </c>
      <c r="EN161" s="22">
        <v>45038</v>
      </c>
      <c r="EO161" s="222">
        <f t="shared" si="617"/>
        <v>8.1428571428571423</v>
      </c>
      <c r="EP161" s="214" t="str">
        <f t="shared" si="618"/>
        <v>NORMAL- SUMINISTRAR SULFATO FERROSO</v>
      </c>
      <c r="EQ161" s="216" t="str">
        <f t="shared" si="619"/>
        <v>I TRIM</v>
      </c>
      <c r="ER161" s="24"/>
      <c r="ES161" s="22"/>
      <c r="ET161" s="29" t="str">
        <f t="shared" ca="1" si="678"/>
        <v>TOMA DE HEMOGLOBINA TARDÍA</v>
      </c>
      <c r="EU161" s="25" t="str">
        <f t="shared" si="620"/>
        <v/>
      </c>
      <c r="EV161" s="24" t="s">
        <v>866</v>
      </c>
      <c r="EW161" s="24">
        <v>45038</v>
      </c>
      <c r="EX161" s="22"/>
      <c r="EY161" s="29">
        <f t="shared" si="693"/>
        <v>8.1428571428571423</v>
      </c>
      <c r="EZ161" s="25" t="str">
        <f t="shared" ca="1" si="694"/>
        <v/>
      </c>
      <c r="FA161" s="21">
        <v>94</v>
      </c>
      <c r="FB161" s="22">
        <v>45038</v>
      </c>
      <c r="FC161" s="29">
        <f t="shared" si="621"/>
        <v>8.1428571428571423</v>
      </c>
      <c r="FD161" s="29"/>
      <c r="FE161" s="29"/>
      <c r="FF161" s="29"/>
      <c r="FG161" s="21" t="str">
        <f t="shared" ca="1" si="622"/>
        <v>TOMAR PTOG</v>
      </c>
      <c r="FH161" s="31"/>
      <c r="FI161" s="29" t="str">
        <f t="shared" si="623"/>
        <v>TOMAR EXAMEN</v>
      </c>
      <c r="FJ161" s="22" t="s">
        <v>867</v>
      </c>
      <c r="FK161" s="22">
        <v>45038</v>
      </c>
      <c r="FL161" s="29">
        <f t="shared" ca="1" si="624"/>
        <v>8.1428571428571423</v>
      </c>
      <c r="FM161" s="22"/>
      <c r="FN161" s="32"/>
      <c r="FO161" s="29" t="str">
        <f t="shared" ca="1" si="679"/>
        <v>PIERDE TOMA DE TAMIZAJE</v>
      </c>
      <c r="FP161" s="22"/>
      <c r="FQ161" s="32"/>
      <c r="FR161" s="29" t="str">
        <f t="shared" ca="1" si="680"/>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5"/>
        <v>TOMAR EXAMEN</v>
      </c>
      <c r="FY161" s="22">
        <v>45038</v>
      </c>
      <c r="FZ161" s="22">
        <v>45038</v>
      </c>
      <c r="GA161" s="29">
        <f t="shared" ca="1" si="692"/>
        <v>8.1428571428571423</v>
      </c>
      <c r="GB161" s="22"/>
      <c r="GC161" s="22"/>
      <c r="GD161" s="29" t="str">
        <f t="shared" ca="1" si="681"/>
        <v>PIERDE TOMA DE TAMIZAJE</v>
      </c>
      <c r="GE161" s="22"/>
      <c r="GF161" s="22"/>
      <c r="GG161" s="29" t="str">
        <f t="shared" ca="1" si="682"/>
        <v>TOMA INMEDIATA DE TAMIZAJE</v>
      </c>
      <c r="GH161" s="22"/>
      <c r="GI161" s="29"/>
      <c r="GJ161" s="22"/>
      <c r="GK161" s="22"/>
      <c r="GL161" s="22"/>
      <c r="GM161" s="22"/>
      <c r="GN161" s="28" t="s">
        <v>869</v>
      </c>
      <c r="GO161" s="22">
        <v>45038</v>
      </c>
      <c r="GP161" s="29">
        <f t="shared" si="626"/>
        <v>8.1428571428571423</v>
      </c>
      <c r="GQ161" s="28" t="s">
        <v>869</v>
      </c>
      <c r="GR161" s="28" t="s">
        <v>869</v>
      </c>
      <c r="GS161" s="22" t="str">
        <f t="shared" si="627"/>
        <v>CONTROL Igm</v>
      </c>
      <c r="GT161" s="22">
        <v>45038</v>
      </c>
      <c r="GU161" s="29">
        <f t="shared" si="628"/>
        <v>8.1428571428571423</v>
      </c>
      <c r="GV161" s="21" t="str">
        <f t="shared" si="629"/>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30"/>
        <v>#REF!</v>
      </c>
      <c r="HI161" s="22" t="e">
        <f t="shared" ca="1" si="631"/>
        <v>#REF!</v>
      </c>
      <c r="HJ161" s="21" t="str">
        <f t="shared" ca="1" si="632"/>
        <v>**********************MULTIPARIDAD**RIESGO POR EDAD***************</v>
      </c>
      <c r="HK161" s="21" t="str">
        <f t="shared" si="633"/>
        <v>SIN ANTECEDENTES DE RIESGO</v>
      </c>
      <c r="HL161" s="24" t="str">
        <f t="shared" si="634"/>
        <v>APARENTEMENTE NORMAL</v>
      </c>
      <c r="HM161" s="21" t="e">
        <f t="shared" ca="1" si="635"/>
        <v>#REF!</v>
      </c>
      <c r="HN161" s="30" t="str">
        <f t="shared" si="683"/>
        <v>ACTIVA INGRESO A CPN</v>
      </c>
      <c r="HO161" s="21"/>
      <c r="HP161" s="21"/>
      <c r="HQ161" s="349">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6"/>
        <v>8.1428571428571423</v>
      </c>
      <c r="IA161" s="26"/>
      <c r="IB161" s="26"/>
      <c r="IC161" s="111"/>
      <c r="ID161" s="22"/>
      <c r="IE161" s="22" t="str">
        <f t="shared" ca="1" si="637"/>
        <v>INASISTENTE</v>
      </c>
      <c r="IF161" s="22"/>
      <c r="IG161" s="22">
        <f t="shared" si="638"/>
        <v>45261</v>
      </c>
      <c r="IH161" s="29">
        <f t="shared" ca="1" si="639"/>
        <v>29</v>
      </c>
      <c r="II161" s="22" t="str">
        <f t="shared" ca="1" si="640"/>
        <v>PENDIENTE</v>
      </c>
      <c r="IJ161" s="22"/>
      <c r="IK161" s="21"/>
      <c r="IL161" s="21"/>
      <c r="IM161" s="34"/>
      <c r="IN161" s="22"/>
      <c r="IO161" s="21"/>
      <c r="IP161" s="29" t="str">
        <f t="shared" si="674"/>
        <v/>
      </c>
      <c r="IQ161" s="35"/>
      <c r="IR161" s="21"/>
      <c r="IS161" s="21"/>
      <c r="IT161" s="21"/>
      <c r="IU161" s="21"/>
      <c r="IV161" s="21"/>
      <c r="IW161" s="21"/>
      <c r="IX161" s="21"/>
      <c r="IY161" s="21"/>
      <c r="IZ161" s="21"/>
      <c r="JA161" s="21"/>
      <c r="JB161" s="30"/>
      <c r="JC161" s="21"/>
      <c r="JD161" s="36"/>
      <c r="JE161" s="21" t="str">
        <f t="shared" si="684"/>
        <v/>
      </c>
      <c r="JF161" s="30"/>
      <c r="JG161" s="21"/>
      <c r="JH161" s="21"/>
      <c r="JI161" s="21"/>
      <c r="JJ161" s="30"/>
      <c r="JK161" s="22"/>
      <c r="JL161" s="22"/>
      <c r="JM161" s="21"/>
      <c r="JN161" s="36"/>
      <c r="JO161" s="21" t="str">
        <f t="shared" si="685"/>
        <v/>
      </c>
      <c r="JP161" s="22"/>
      <c r="JQ161" s="21"/>
      <c r="JR161" s="21"/>
      <c r="JS161" s="21"/>
      <c r="JT161" s="30"/>
      <c r="JU161" s="22"/>
      <c r="JV161" s="22"/>
      <c r="JW161" s="33"/>
      <c r="JX161" s="28" t="str">
        <f t="shared" si="686"/>
        <v/>
      </c>
      <c r="JY161" s="33"/>
      <c r="JZ161" s="28" t="str">
        <f t="shared" si="687"/>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41"/>
        <v>0</v>
      </c>
      <c r="MI161" s="43" t="str">
        <f t="shared" si="642"/>
        <v/>
      </c>
      <c r="MJ161" s="43" t="str">
        <f t="shared" si="643"/>
        <v/>
      </c>
      <c r="MK161" s="43">
        <f t="shared" si="644"/>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5"/>
        <v>8.1428571428571423</v>
      </c>
      <c r="MN161" s="43">
        <f t="shared" si="646"/>
        <v>4</v>
      </c>
      <c r="MO161" s="43">
        <f t="shared" si="647"/>
        <v>2023</v>
      </c>
      <c r="MP161" s="43" t="str">
        <f t="shared" si="648"/>
        <v>II TRIMESTRE AÑO</v>
      </c>
      <c r="MQ161" s="43">
        <f t="shared" si="649"/>
        <v>14.378011388523872</v>
      </c>
      <c r="MR161" s="43">
        <f t="shared" si="650"/>
        <v>1</v>
      </c>
      <c r="MS161" s="43" t="str">
        <f t="shared" si="651"/>
        <v>DE 14 A 19AÑOS</v>
      </c>
      <c r="MT161" s="43">
        <f t="shared" si="652"/>
        <v>0</v>
      </c>
      <c r="MU161" s="43">
        <f t="shared" si="653"/>
        <v>1</v>
      </c>
      <c r="MV161" s="43">
        <f t="shared" si="654"/>
        <v>0</v>
      </c>
      <c r="MW161" s="43">
        <f t="shared" si="655"/>
        <v>0</v>
      </c>
      <c r="MX161" s="43" t="str">
        <f t="shared" si="656"/>
        <v/>
      </c>
      <c r="MY161" s="43" t="str">
        <f t="shared" ca="1" si="688"/>
        <v/>
      </c>
      <c r="MZ161" s="43" t="str">
        <f t="shared" si="657"/>
        <v/>
      </c>
      <c r="NA161" s="43" t="str">
        <f t="shared" si="658"/>
        <v/>
      </c>
      <c r="NB161" s="43" t="str">
        <f t="shared" si="659"/>
        <v/>
      </c>
      <c r="NC161" s="43" t="str">
        <f t="shared" si="660"/>
        <v/>
      </c>
      <c r="ND161" s="43">
        <f t="shared" ca="1" si="661"/>
        <v>2</v>
      </c>
      <c r="NE161" s="43">
        <f>IF(OR(O161&gt;0,R161&gt;0),SUM(COUNTIF(Tabla1[[#This Row],[AÑOS AL INICIO5 CPN]],"&gt;=40"),COUNTIF(AS161,"0"),COUNTIF(AR161,"SI"),COUNTIF(CC161,"SI"),COUNTIF(BQ161,"&gt;119"),COUNTIF(CI161,"&gt;=35")),"")</f>
        <v>1</v>
      </c>
      <c r="NF161" s="43" t="str">
        <f t="shared" si="662"/>
        <v/>
      </c>
      <c r="NG161" s="43">
        <f t="shared" si="663"/>
        <v>0</v>
      </c>
      <c r="NH161" s="43" t="str">
        <f t="shared" si="664"/>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5"/>
        <v>X</v>
      </c>
      <c r="NM161" s="43" t="str">
        <f t="shared" si="695"/>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6"/>
        <v>I TRIM</v>
      </c>
      <c r="NQ161" s="21" t="str">
        <f t="shared" si="691"/>
        <v/>
      </c>
      <c r="NR161" s="21">
        <f t="shared" ca="1" si="689"/>
        <v>3</v>
      </c>
      <c r="NS161" s="205">
        <f t="shared" ca="1" si="667"/>
        <v>1</v>
      </c>
      <c r="NT161" s="21">
        <f t="shared" ca="1" si="668"/>
        <v>1</v>
      </c>
      <c r="NU161" s="21" t="str">
        <f t="shared" ca="1" si="669"/>
        <v>INCOMPLETO</v>
      </c>
      <c r="NV161" s="21" t="str">
        <f t="shared" ca="1" si="670"/>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71"/>
        <v>SIN VACUNAR</v>
      </c>
      <c r="NY161" s="43">
        <f>ROW(Tabla1[[#This Row],['# DE TAMIZAJES SIFILIS TOMADOS ]])</f>
        <v>161</v>
      </c>
      <c r="NZ161" s="43" t="str">
        <f t="shared" si="502"/>
        <v>Menor</v>
      </c>
      <c r="OA161" s="43" t="str">
        <f t="shared" si="503"/>
        <v>NORMAL</v>
      </c>
      <c r="OB161" s="43" t="str">
        <f t="shared" si="504"/>
        <v/>
      </c>
      <c r="OC161" s="43" t="str">
        <f t="shared" si="505"/>
        <v/>
      </c>
      <c r="OD161" s="43" t="str">
        <f t="shared" si="506"/>
        <v/>
      </c>
      <c r="OE161" s="43" t="str">
        <f t="shared" si="507"/>
        <v/>
      </c>
      <c r="OF161" s="43" t="str">
        <f t="shared" si="508"/>
        <v/>
      </c>
      <c r="OG161" s="43" t="str">
        <f t="shared" si="509"/>
        <v/>
      </c>
      <c r="OH161" s="43" t="str">
        <f t="shared" si="510"/>
        <v/>
      </c>
      <c r="OI161" s="43" t="str">
        <f t="shared" si="511"/>
        <v/>
      </c>
      <c r="OJ161" s="43" t="str">
        <f t="shared" si="512"/>
        <v/>
      </c>
      <c r="OK161" s="43" t="str">
        <f t="shared" si="513"/>
        <v/>
      </c>
      <c r="OL161" s="43" t="str">
        <f t="shared" si="514"/>
        <v/>
      </c>
      <c r="OM161" s="43" t="str">
        <f t="shared" si="515"/>
        <v/>
      </c>
      <c r="ON161" s="43" t="str">
        <f t="shared" si="516"/>
        <v/>
      </c>
      <c r="OO161" s="43" t="str">
        <f t="shared" si="517"/>
        <v/>
      </c>
      <c r="OP161" s="43" t="str">
        <f t="shared" si="518"/>
        <v/>
      </c>
      <c r="OQ161" s="43" t="str">
        <f t="shared" si="519"/>
        <v/>
      </c>
      <c r="OR161" s="43" t="str">
        <f t="shared" si="520"/>
        <v/>
      </c>
      <c r="OS161" s="43" t="str">
        <f t="shared" si="521"/>
        <v/>
      </c>
      <c r="OT161" s="43" t="str">
        <f t="shared" si="522"/>
        <v/>
      </c>
      <c r="OU161" s="43" t="str">
        <f t="shared" si="523"/>
        <v/>
      </c>
      <c r="OV161" s="110" t="str">
        <f t="shared" si="524"/>
        <v/>
      </c>
      <c r="OW161" s="43" t="str">
        <f t="shared" si="525"/>
        <v/>
      </c>
      <c r="OX161" s="43" t="str">
        <f t="shared" si="526"/>
        <v/>
      </c>
      <c r="OY161" s="43" t="str">
        <f t="shared" si="527"/>
        <v/>
      </c>
      <c r="OZ161" s="43" t="str">
        <f t="shared" si="528"/>
        <v/>
      </c>
      <c r="PA161" s="43" t="str">
        <f t="shared" si="529"/>
        <v/>
      </c>
      <c r="PB161" s="43" t="str">
        <f t="shared" si="530"/>
        <v/>
      </c>
      <c r="PC161" s="43" t="str">
        <f t="shared" si="531"/>
        <v/>
      </c>
      <c r="PD161" s="43" t="str">
        <f t="shared" si="532"/>
        <v/>
      </c>
      <c r="PE161" s="43" t="str">
        <f t="shared" si="533"/>
        <v/>
      </c>
      <c r="PF161" s="43" t="str">
        <f t="shared" si="534"/>
        <v/>
      </c>
      <c r="PG161" s="43" t="str">
        <f t="shared" si="535"/>
        <v/>
      </c>
      <c r="PH161" s="43" t="str">
        <f t="shared" si="536"/>
        <v/>
      </c>
      <c r="PI161" s="43">
        <f t="shared" si="537"/>
        <v>12</v>
      </c>
      <c r="PJ161" s="43" t="str">
        <f t="shared" si="538"/>
        <v/>
      </c>
      <c r="PK161" s="43" t="str">
        <f t="shared" si="539"/>
        <v/>
      </c>
      <c r="PL161" s="43" t="str">
        <f t="shared" si="540"/>
        <v/>
      </c>
      <c r="PM161" s="43" t="str">
        <f t="shared" si="541"/>
        <v>NORMAL</v>
      </c>
      <c r="PN161" s="43" t="str">
        <f t="shared" si="542"/>
        <v/>
      </c>
      <c r="PO161" s="43" t="str">
        <f t="shared" si="543"/>
        <v/>
      </c>
      <c r="PP161" s="43" t="str">
        <f t="shared" si="544"/>
        <v/>
      </c>
      <c r="PQ161" s="43" t="str">
        <f t="shared" si="545"/>
        <v/>
      </c>
      <c r="PR161" s="43" t="str">
        <f t="shared" si="546"/>
        <v/>
      </c>
      <c r="PS161" s="43" t="str">
        <f t="shared" si="547"/>
        <v/>
      </c>
      <c r="PT161" s="43" t="str">
        <f t="shared" si="548"/>
        <v/>
      </c>
      <c r="PU161" s="43" t="str">
        <f t="shared" si="549"/>
        <v/>
      </c>
      <c r="PV161" s="43" t="str">
        <f t="shared" si="550"/>
        <v/>
      </c>
      <c r="PW161" s="43" t="str">
        <f t="shared" si="551"/>
        <v/>
      </c>
      <c r="PX161" s="43" t="str">
        <f t="shared" si="552"/>
        <v/>
      </c>
      <c r="PY161" s="43" t="str">
        <f t="shared" si="553"/>
        <v/>
      </c>
      <c r="PZ161" s="43" t="str">
        <f t="shared" si="554"/>
        <v/>
      </c>
      <c r="QA161" s="43" t="str">
        <f t="shared" si="555"/>
        <v/>
      </c>
      <c r="QB161" s="43" t="str">
        <f t="shared" si="556"/>
        <v/>
      </c>
      <c r="QC161" s="43" t="str">
        <f t="shared" si="557"/>
        <v/>
      </c>
      <c r="QD161" s="43" t="str">
        <f t="shared" si="558"/>
        <v/>
      </c>
      <c r="QE161" s="43" t="str">
        <f t="shared" si="559"/>
        <v/>
      </c>
      <c r="QF161" s="43" t="str">
        <f t="shared" si="560"/>
        <v/>
      </c>
      <c r="QG161" s="43" t="str">
        <f t="shared" si="561"/>
        <v/>
      </c>
      <c r="QH161" s="43" t="str">
        <f t="shared" si="562"/>
        <v/>
      </c>
      <c r="QI161" s="43" t="str">
        <f t="shared" si="563"/>
        <v/>
      </c>
      <c r="QJ161" s="43" t="str">
        <f t="shared" si="564"/>
        <v/>
      </c>
      <c r="QK161" s="43" t="str">
        <f t="shared" si="565"/>
        <v/>
      </c>
      <c r="QL161" s="43" t="str">
        <f t="shared" si="566"/>
        <v/>
      </c>
      <c r="QM161" s="43" t="str">
        <f t="shared" si="567"/>
        <v/>
      </c>
      <c r="QN161" s="43" t="str">
        <f t="shared" si="568"/>
        <v/>
      </c>
      <c r="QO161" s="43" t="str">
        <f t="shared" si="569"/>
        <v/>
      </c>
      <c r="QP161" s="43" t="str">
        <f t="shared" si="570"/>
        <v/>
      </c>
      <c r="QQ161" s="43" t="str">
        <f t="shared" si="571"/>
        <v/>
      </c>
      <c r="QR161" s="43" t="str">
        <f t="shared" si="672"/>
        <v>Menor</v>
      </c>
      <c r="QS161" s="43"/>
      <c r="QT161" s="21" t="str">
        <f t="shared" si="572"/>
        <v/>
      </c>
      <c r="QU161" s="21" t="str">
        <f t="shared" si="573"/>
        <v/>
      </c>
      <c r="QV161" s="21" t="str">
        <f t="shared" si="574"/>
        <v/>
      </c>
      <c r="QW161" s="21" t="str">
        <f t="shared" si="575"/>
        <v/>
      </c>
      <c r="QX161" s="21" t="str">
        <f t="shared" si="576"/>
        <v/>
      </c>
      <c r="QY161" s="21" t="str">
        <f t="shared" si="577"/>
        <v/>
      </c>
      <c r="QZ161" s="21" t="str">
        <f t="shared" si="578"/>
        <v/>
      </c>
      <c r="RA161" s="21" t="str">
        <f t="shared" si="579"/>
        <v/>
      </c>
      <c r="RB161" s="21" t="str">
        <f t="shared" si="580"/>
        <v/>
      </c>
      <c r="RC161" s="21" t="str">
        <f t="shared" si="581"/>
        <v/>
      </c>
      <c r="RD161" s="21" t="str">
        <f t="shared" si="582"/>
        <v/>
      </c>
      <c r="RE161" s="21" t="str">
        <f t="shared" si="583"/>
        <v/>
      </c>
      <c r="RF161" s="21" t="str">
        <f t="shared" si="584"/>
        <v/>
      </c>
      <c r="RG161" s="21" t="str">
        <f t="shared" si="585"/>
        <v/>
      </c>
      <c r="RH161" s="21" t="str">
        <f t="shared" si="586"/>
        <v/>
      </c>
      <c r="RI161" s="21" t="str">
        <f t="shared" si="587"/>
        <v/>
      </c>
      <c r="RJ161" s="21" t="str">
        <f t="shared" si="588"/>
        <v/>
      </c>
      <c r="RK161" s="21" t="str">
        <f t="shared" si="589"/>
        <v/>
      </c>
      <c r="RL161" s="21" t="str">
        <f t="shared" si="590"/>
        <v/>
      </c>
      <c r="RM161" s="21" t="str">
        <f t="shared" si="591"/>
        <v/>
      </c>
      <c r="RN161" s="21" t="str">
        <f t="shared" si="592"/>
        <v/>
      </c>
      <c r="RO161" s="21" t="str">
        <f t="shared" si="593"/>
        <v/>
      </c>
      <c r="RP161" s="21" t="str">
        <f t="shared" si="594"/>
        <v/>
      </c>
      <c r="RQ161" s="21" t="str">
        <f t="shared" si="595"/>
        <v/>
      </c>
      <c r="RR161" s="21" t="str">
        <f t="shared" si="596"/>
        <v/>
      </c>
      <c r="RS161" s="21" t="str">
        <f t="shared" si="597"/>
        <v/>
      </c>
      <c r="RT161" s="21" t="str">
        <f t="shared" si="598"/>
        <v/>
      </c>
      <c r="RU161" s="21" t="str">
        <f t="shared" si="599"/>
        <v/>
      </c>
      <c r="RV161" s="21">
        <f t="shared" si="600"/>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3"/>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1"/>
        <v>17.334246575342465</v>
      </c>
      <c r="O162" s="22">
        <v>45042</v>
      </c>
      <c r="P162" s="214" t="str">
        <f t="shared" si="675"/>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2"/>
        <v>0</v>
      </c>
      <c r="BR162" s="223">
        <f t="shared" si="603"/>
        <v>44948.800000000003</v>
      </c>
      <c r="BS162" s="224">
        <f t="shared" si="604"/>
        <v>10.571428571428571</v>
      </c>
      <c r="BT162" s="216" t="str">
        <f t="shared" si="605"/>
        <v>DEFINIR CON ECO</v>
      </c>
      <c r="BU162" s="214">
        <f t="shared" ca="1" si="606"/>
        <v>37.714285714285715</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7"/>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8"/>
        <v>45139</v>
      </c>
      <c r="CL162" s="21">
        <v>62</v>
      </c>
      <c r="CM162" s="214">
        <f t="shared" si="609"/>
        <v>27.555555555555557</v>
      </c>
      <c r="CN162" s="216">
        <f t="shared" si="610"/>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90"/>
        <v/>
      </c>
      <c r="DA162" s="21">
        <v>100</v>
      </c>
      <c r="DB162" s="21">
        <v>60</v>
      </c>
      <c r="DC162" s="217" t="str">
        <f t="shared" si="611"/>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6"/>
        <v>CONCERTAR PLAN DE PARTO INMEDIATO</v>
      </c>
      <c r="DV162" s="226" t="str">
        <f t="shared" si="677"/>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2"/>
        <v>#REF!</v>
      </c>
      <c r="DY162" s="212">
        <f>IF(R162="","",IF(R162&gt;0,MAX(Tabla1[[#This Row],[FECHA C2]:[FECHA C13]],Tabla1[[#This Row],[FECHA CONSULTA PRIMERA VEZ PROGRAMA CPN ]])))</f>
        <v>45139</v>
      </c>
      <c r="DZ162" s="216">
        <f t="shared" si="613"/>
        <v>24</v>
      </c>
      <c r="EA162" s="222">
        <f>IF(R162&gt;0,SUM(COUNTA(DF162:DQ162)+COUNTA(Tabla1[[#This Row],[FECHA CONSULTA PRIMERA VEZ PROGRAMA CPN ]])),"")</f>
        <v>2</v>
      </c>
      <c r="EB162" s="222" t="str">
        <f t="shared" si="614"/>
        <v>NO</v>
      </c>
      <c r="EC162" s="214">
        <f t="shared" si="615"/>
        <v>9</v>
      </c>
      <c r="ED162" s="227">
        <f t="shared" si="616"/>
        <v>0.22222222222222221</v>
      </c>
      <c r="EE162" s="22">
        <v>45042</v>
      </c>
      <c r="EF162" s="22">
        <v>45042</v>
      </c>
      <c r="EG162" s="22">
        <v>45042</v>
      </c>
      <c r="EH162" s="22">
        <v>45090</v>
      </c>
      <c r="EI162" s="22">
        <v>45042</v>
      </c>
      <c r="EJ162" s="22">
        <v>45112</v>
      </c>
      <c r="EK162" s="22"/>
      <c r="EL162" s="21"/>
      <c r="EM162" s="21">
        <v>13.7</v>
      </c>
      <c r="EN162" s="22">
        <v>45042</v>
      </c>
      <c r="EO162" s="222">
        <f t="shared" si="617"/>
        <v>10.571428571428571</v>
      </c>
      <c r="EP162" s="214" t="str">
        <f t="shared" si="618"/>
        <v>NORMAL- SUMINISTRAR SULFATO FERROSO</v>
      </c>
      <c r="EQ162" s="216" t="str">
        <f t="shared" si="619"/>
        <v>I TRIM</v>
      </c>
      <c r="ER162" s="24">
        <v>11.2</v>
      </c>
      <c r="ES162" s="22">
        <v>45162</v>
      </c>
      <c r="ET162" s="29">
        <f t="shared" ca="1" si="678"/>
        <v>27.714285714285715</v>
      </c>
      <c r="EU162" s="25" t="str">
        <f t="shared" si="620"/>
        <v>NORMAL- SUMINISTRAR SULFATO FERROSO</v>
      </c>
      <c r="EV162" s="24" t="s">
        <v>1510</v>
      </c>
      <c r="EW162" s="32">
        <v>45042</v>
      </c>
      <c r="EX162" s="22"/>
      <c r="EY162" s="29">
        <f t="shared" si="693"/>
        <v>10.571428571428571</v>
      </c>
      <c r="EZ162" s="25" t="str">
        <f t="shared" si="694"/>
        <v>SIN RIESGO DE ISOINMUNIZACIÓN</v>
      </c>
      <c r="FA162" s="21">
        <v>76</v>
      </c>
      <c r="FB162" s="22">
        <v>45042</v>
      </c>
      <c r="FC162" s="29">
        <f t="shared" si="621"/>
        <v>10.571428571428571</v>
      </c>
      <c r="FD162" s="29"/>
      <c r="FE162" s="29"/>
      <c r="FF162" s="29"/>
      <c r="FG162" s="21" t="str">
        <f t="shared" ca="1" si="622"/>
        <v>TOMAR PTOG</v>
      </c>
      <c r="FH162" s="31"/>
      <c r="FI162" s="29" t="str">
        <f t="shared" si="623"/>
        <v>TOMAR EXAMEN</v>
      </c>
      <c r="FJ162" s="22" t="s">
        <v>867</v>
      </c>
      <c r="FK162" s="22">
        <v>45042</v>
      </c>
      <c r="FL162" s="29">
        <f t="shared" ca="1" si="624"/>
        <v>10.571428571428571</v>
      </c>
      <c r="FM162" s="22"/>
      <c r="FN162" s="32"/>
      <c r="FO162" s="29" t="str">
        <f t="shared" ca="1" si="679"/>
        <v>PIERDE TOMA DE TAMIZAJE</v>
      </c>
      <c r="FP162" s="22"/>
      <c r="FQ162" s="32"/>
      <c r="FR162" s="29" t="str">
        <f t="shared" ca="1" si="680"/>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5"/>
        <v>TOMAR EXAMEN</v>
      </c>
      <c r="FY162" s="22">
        <v>45042</v>
      </c>
      <c r="FZ162" s="22">
        <v>46138</v>
      </c>
      <c r="GA162" s="29">
        <f t="shared" ca="1" si="692"/>
        <v>167.14285714285714</v>
      </c>
      <c r="GB162" s="22"/>
      <c r="GC162" s="22"/>
      <c r="GD162" s="29" t="str">
        <f t="shared" ca="1" si="681"/>
        <v>PIERDE TOMA DE TAMIZAJE</v>
      </c>
      <c r="GE162" s="22"/>
      <c r="GF162" s="22"/>
      <c r="GG162" s="29" t="str">
        <f t="shared" ca="1" si="682"/>
        <v>TOMA INMEDIATA DE TAMIZAJE</v>
      </c>
      <c r="GH162" s="22"/>
      <c r="GI162" s="29"/>
      <c r="GJ162" s="22"/>
      <c r="GK162" s="22"/>
      <c r="GL162" s="22"/>
      <c r="GM162" s="22"/>
      <c r="GN162" s="28" t="s">
        <v>869</v>
      </c>
      <c r="GO162" s="22">
        <v>45042</v>
      </c>
      <c r="GP162" s="29">
        <f t="shared" si="626"/>
        <v>10.571428571428571</v>
      </c>
      <c r="GQ162" s="28" t="s">
        <v>869</v>
      </c>
      <c r="GR162" s="28" t="s">
        <v>869</v>
      </c>
      <c r="GS162" s="22" t="str">
        <f t="shared" si="627"/>
        <v>CONTROL Igm</v>
      </c>
      <c r="GT162" s="22">
        <v>45042</v>
      </c>
      <c r="GU162" s="29">
        <f t="shared" si="628"/>
        <v>10.571428571428571</v>
      </c>
      <c r="GV162" s="21" t="str">
        <f t="shared" si="629"/>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30"/>
        <v>#REF!</v>
      </c>
      <c r="HI162" s="22" t="e">
        <f t="shared" ca="1" si="631"/>
        <v>#REF!</v>
      </c>
      <c r="HJ162" s="21" t="str">
        <f t="shared" ca="1" si="632"/>
        <v>**********************MULTIPARIDAD*****************</v>
      </c>
      <c r="HK162" s="21" t="str">
        <f t="shared" si="633"/>
        <v>SIN ANTECEDENTES DE RIESGO</v>
      </c>
      <c r="HL162" s="24" t="str">
        <f t="shared" si="634"/>
        <v>APARENTEMENTE NORMAL</v>
      </c>
      <c r="HM162" s="21" t="e">
        <f t="shared" ca="1" si="635"/>
        <v>#REF!</v>
      </c>
      <c r="HN162" s="30" t="str">
        <f t="shared" si="683"/>
        <v>ACTIVA INGRESO A CPN</v>
      </c>
      <c r="HO162" s="21"/>
      <c r="HP162" s="21"/>
      <c r="HQ162" s="349"/>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6"/>
        <v>10.571428571428571</v>
      </c>
      <c r="IA162" s="26"/>
      <c r="IB162" s="26"/>
      <c r="IC162" s="111"/>
      <c r="ID162" s="22"/>
      <c r="IE162" s="22" t="str">
        <f t="shared" ca="1" si="637"/>
        <v>INASISTENTE</v>
      </c>
      <c r="IF162" s="22"/>
      <c r="IG162" s="22">
        <f t="shared" si="638"/>
        <v>45248</v>
      </c>
      <c r="IH162" s="29">
        <f t="shared" ca="1" si="639"/>
        <v>16</v>
      </c>
      <c r="II162" s="22" t="str">
        <f t="shared" ca="1" si="640"/>
        <v>MENOS DE 4 SEMANAS</v>
      </c>
      <c r="IJ162" s="22"/>
      <c r="IK162" s="21"/>
      <c r="IL162" s="21"/>
      <c r="IM162" s="34"/>
      <c r="IN162" s="22"/>
      <c r="IO162" s="21"/>
      <c r="IP162" s="29" t="str">
        <f t="shared" si="674"/>
        <v/>
      </c>
      <c r="IQ162" s="35"/>
      <c r="IR162" s="21"/>
      <c r="IS162" s="21"/>
      <c r="IT162" s="21"/>
      <c r="IU162" s="21"/>
      <c r="IV162" s="21"/>
      <c r="IW162" s="21"/>
      <c r="IX162" s="21"/>
      <c r="IY162" s="21"/>
      <c r="IZ162" s="21"/>
      <c r="JA162" s="21"/>
      <c r="JB162" s="30"/>
      <c r="JC162" s="21"/>
      <c r="JD162" s="36"/>
      <c r="JE162" s="21" t="str">
        <f t="shared" si="684"/>
        <v/>
      </c>
      <c r="JF162" s="30"/>
      <c r="JG162" s="21"/>
      <c r="JH162" s="21"/>
      <c r="JI162" s="21"/>
      <c r="JJ162" s="30"/>
      <c r="JK162" s="22"/>
      <c r="JL162" s="22"/>
      <c r="JM162" s="21"/>
      <c r="JN162" s="36"/>
      <c r="JO162" s="21" t="str">
        <f t="shared" si="685"/>
        <v/>
      </c>
      <c r="JP162" s="22"/>
      <c r="JQ162" s="21"/>
      <c r="JR162" s="21"/>
      <c r="JS162" s="21"/>
      <c r="JT162" s="30"/>
      <c r="JU162" s="22"/>
      <c r="JV162" s="22"/>
      <c r="JW162" s="33"/>
      <c r="JX162" s="28" t="str">
        <f t="shared" si="686"/>
        <v/>
      </c>
      <c r="JY162" s="33"/>
      <c r="JZ162" s="28" t="str">
        <f t="shared" si="687"/>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41"/>
        <v>0</v>
      </c>
      <c r="MI162" s="43" t="str">
        <f t="shared" si="642"/>
        <v/>
      </c>
      <c r="MJ162" s="43" t="str">
        <f t="shared" si="643"/>
        <v/>
      </c>
      <c r="MK162" s="43">
        <f t="shared" si="644"/>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5"/>
        <v>10.571428571428571</v>
      </c>
      <c r="MN162" s="43">
        <f t="shared" si="646"/>
        <v>4</v>
      </c>
      <c r="MO162" s="43">
        <f t="shared" si="647"/>
        <v>2023</v>
      </c>
      <c r="MP162" s="43" t="str">
        <f t="shared" si="648"/>
        <v>II TRIMESTRE AÑO</v>
      </c>
      <c r="MQ162" s="43">
        <f t="shared" si="649"/>
        <v>16.559899255365746</v>
      </c>
      <c r="MR162" s="43">
        <f t="shared" si="650"/>
        <v>0</v>
      </c>
      <c r="MS162" s="43" t="str">
        <f t="shared" si="651"/>
        <v>DE 14 A 19AÑOS</v>
      </c>
      <c r="MT162" s="43">
        <f t="shared" si="652"/>
        <v>0</v>
      </c>
      <c r="MU162" s="43">
        <f t="shared" si="653"/>
        <v>1</v>
      </c>
      <c r="MV162" s="43">
        <f t="shared" si="654"/>
        <v>0</v>
      </c>
      <c r="MW162" s="43">
        <f t="shared" si="655"/>
        <v>0</v>
      </c>
      <c r="MX162" s="43" t="str">
        <f t="shared" si="656"/>
        <v/>
      </c>
      <c r="MY162" s="43" t="str">
        <f t="shared" ca="1" si="688"/>
        <v/>
      </c>
      <c r="MZ162" s="43" t="str">
        <f t="shared" si="657"/>
        <v/>
      </c>
      <c r="NA162" s="43" t="str">
        <f t="shared" si="658"/>
        <v/>
      </c>
      <c r="NB162" s="43" t="str">
        <f t="shared" si="659"/>
        <v/>
      </c>
      <c r="NC162" s="43" t="str">
        <f t="shared" si="660"/>
        <v/>
      </c>
      <c r="ND162" s="43">
        <f t="shared" ca="1" si="661"/>
        <v>1</v>
      </c>
      <c r="NE162" s="43">
        <f>IF(OR(O162&gt;0,R162&gt;0),SUM(COUNTIF(Tabla1[[#This Row],[AÑOS AL INICIO5 CPN]],"&gt;=40"),COUNTIF(AS162,"0"),COUNTIF(AR162,"SI"),COUNTIF(CC162,"SI"),COUNTIF(BQ162,"&gt;119"),COUNTIF(CI162,"&gt;=35")),"")</f>
        <v>1</v>
      </c>
      <c r="NF162" s="43" t="str">
        <f t="shared" si="662"/>
        <v/>
      </c>
      <c r="NG162" s="43">
        <f t="shared" si="663"/>
        <v>0</v>
      </c>
      <c r="NH162" s="43">
        <f t="shared" si="664"/>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5"/>
        <v>70</v>
      </c>
      <c r="NM162" s="43" t="str">
        <f t="shared" si="695"/>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6"/>
        <v>DEFINIR CON ECO</v>
      </c>
      <c r="NQ162" s="21" t="str">
        <f t="shared" si="691"/>
        <v/>
      </c>
      <c r="NR162" s="21">
        <f t="shared" ca="1" si="689"/>
        <v>3</v>
      </c>
      <c r="NS162" s="205">
        <f t="shared" ca="1" si="667"/>
        <v>1</v>
      </c>
      <c r="NT162" s="21">
        <f t="shared" ca="1" si="668"/>
        <v>1</v>
      </c>
      <c r="NU162" s="21" t="str">
        <f t="shared" ca="1" si="669"/>
        <v>INCOMPLETO</v>
      </c>
      <c r="NV162" s="21" t="str">
        <f t="shared" ca="1" si="670"/>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71"/>
        <v>SIN VACUNAR</v>
      </c>
      <c r="NY162" s="43">
        <f>ROW(Tabla1[[#This Row],['# DE TAMIZAJES SIFILIS TOMADOS ]])</f>
        <v>162</v>
      </c>
      <c r="NZ162" s="43">
        <f t="shared" si="502"/>
        <v>10</v>
      </c>
      <c r="OA162" s="43" t="str">
        <f t="shared" si="503"/>
        <v/>
      </c>
      <c r="OB162" s="43" t="str">
        <f t="shared" si="504"/>
        <v>SOBREPESO</v>
      </c>
      <c r="OC162" s="43" t="str">
        <f t="shared" si="505"/>
        <v/>
      </c>
      <c r="OD162" s="43" t="str">
        <f t="shared" si="506"/>
        <v/>
      </c>
      <c r="OE162" s="43" t="str">
        <f t="shared" si="507"/>
        <v/>
      </c>
      <c r="OF162" s="43" t="str">
        <f t="shared" si="508"/>
        <v/>
      </c>
      <c r="OG162" s="43" t="str">
        <f t="shared" si="509"/>
        <v/>
      </c>
      <c r="OH162" s="43" t="str">
        <f t="shared" si="510"/>
        <v/>
      </c>
      <c r="OI162" s="43" t="str">
        <f t="shared" si="511"/>
        <v/>
      </c>
      <c r="OJ162" s="43" t="str">
        <f t="shared" si="512"/>
        <v/>
      </c>
      <c r="OK162" s="43" t="str">
        <f t="shared" si="513"/>
        <v/>
      </c>
      <c r="OL162" s="43" t="str">
        <f t="shared" si="514"/>
        <v/>
      </c>
      <c r="OM162" s="43" t="str">
        <f t="shared" si="515"/>
        <v/>
      </c>
      <c r="ON162" s="43" t="str">
        <f t="shared" si="516"/>
        <v/>
      </c>
      <c r="OO162" s="43" t="str">
        <f t="shared" si="517"/>
        <v/>
      </c>
      <c r="OP162" s="43" t="str">
        <f t="shared" si="518"/>
        <v/>
      </c>
      <c r="OQ162" s="43" t="str">
        <f t="shared" si="519"/>
        <v/>
      </c>
      <c r="OR162" s="43" t="str">
        <f t="shared" si="520"/>
        <v/>
      </c>
      <c r="OS162" s="43" t="str">
        <f t="shared" si="521"/>
        <v/>
      </c>
      <c r="OT162" s="43" t="str">
        <f t="shared" si="522"/>
        <v/>
      </c>
      <c r="OU162" s="43" t="str">
        <f t="shared" si="523"/>
        <v/>
      </c>
      <c r="OV162" s="110" t="str">
        <f t="shared" si="524"/>
        <v/>
      </c>
      <c r="OW162" s="43" t="str">
        <f t="shared" si="525"/>
        <v/>
      </c>
      <c r="OX162" s="43" t="str">
        <f t="shared" si="526"/>
        <v/>
      </c>
      <c r="OY162" s="43" t="str">
        <f t="shared" si="527"/>
        <v/>
      </c>
      <c r="OZ162" s="43" t="str">
        <f t="shared" si="528"/>
        <v/>
      </c>
      <c r="PA162" s="43" t="str">
        <f t="shared" si="529"/>
        <v/>
      </c>
      <c r="PB162" s="43" t="str">
        <f t="shared" si="530"/>
        <v/>
      </c>
      <c r="PC162" s="43" t="str">
        <f t="shared" si="531"/>
        <v/>
      </c>
      <c r="PD162" s="43" t="str">
        <f t="shared" si="532"/>
        <v/>
      </c>
      <c r="PE162" s="43" t="str">
        <f t="shared" si="533"/>
        <v/>
      </c>
      <c r="PF162" s="43" t="str">
        <f t="shared" si="534"/>
        <v/>
      </c>
      <c r="PG162" s="43" t="str">
        <f t="shared" si="535"/>
        <v/>
      </c>
      <c r="PH162" s="43" t="str">
        <f t="shared" si="536"/>
        <v/>
      </c>
      <c r="PI162" s="43">
        <f t="shared" si="537"/>
        <v>24</v>
      </c>
      <c r="PJ162" s="43" t="str">
        <f t="shared" si="538"/>
        <v/>
      </c>
      <c r="PK162" s="43" t="str">
        <f t="shared" si="539"/>
        <v/>
      </c>
      <c r="PL162" s="43" t="str">
        <f t="shared" si="540"/>
        <v/>
      </c>
      <c r="PM162" s="43" t="str">
        <f t="shared" si="541"/>
        <v/>
      </c>
      <c r="PN162" s="43" t="str">
        <f t="shared" si="542"/>
        <v/>
      </c>
      <c r="PO162" s="43" t="str">
        <f t="shared" si="543"/>
        <v/>
      </c>
      <c r="PP162" s="43" t="str">
        <f t="shared" si="544"/>
        <v/>
      </c>
      <c r="PQ162" s="43" t="str">
        <f t="shared" si="545"/>
        <v/>
      </c>
      <c r="PR162" s="43" t="str">
        <f t="shared" si="546"/>
        <v/>
      </c>
      <c r="PS162" s="43" t="str">
        <f t="shared" si="547"/>
        <v/>
      </c>
      <c r="PT162" s="43" t="str">
        <f t="shared" si="548"/>
        <v/>
      </c>
      <c r="PU162" s="43" t="str">
        <f t="shared" si="549"/>
        <v/>
      </c>
      <c r="PV162" s="43" t="str">
        <f t="shared" si="550"/>
        <v/>
      </c>
      <c r="PW162" s="43" t="str">
        <f t="shared" si="551"/>
        <v/>
      </c>
      <c r="PX162" s="43" t="str">
        <f t="shared" si="552"/>
        <v/>
      </c>
      <c r="PY162" s="43" t="str">
        <f t="shared" si="553"/>
        <v>SOBREPESO</v>
      </c>
      <c r="PZ162" s="43" t="str">
        <f t="shared" si="554"/>
        <v/>
      </c>
      <c r="QA162" s="43" t="str">
        <f t="shared" si="555"/>
        <v/>
      </c>
      <c r="QB162" s="43" t="str">
        <f t="shared" si="556"/>
        <v/>
      </c>
      <c r="QC162" s="43" t="str">
        <f t="shared" si="557"/>
        <v/>
      </c>
      <c r="QD162" s="43" t="str">
        <f t="shared" si="558"/>
        <v/>
      </c>
      <c r="QE162" s="43" t="str">
        <f t="shared" si="559"/>
        <v/>
      </c>
      <c r="QF162" s="43" t="str">
        <f t="shared" si="560"/>
        <v/>
      </c>
      <c r="QG162" s="43" t="str">
        <f t="shared" si="561"/>
        <v/>
      </c>
      <c r="QH162" s="43" t="str">
        <f t="shared" si="562"/>
        <v/>
      </c>
      <c r="QI162" s="43" t="str">
        <f t="shared" si="563"/>
        <v/>
      </c>
      <c r="QJ162" s="43" t="str">
        <f t="shared" si="564"/>
        <v/>
      </c>
      <c r="QK162" s="43" t="str">
        <f t="shared" si="565"/>
        <v/>
      </c>
      <c r="QL162" s="43" t="str">
        <f t="shared" si="566"/>
        <v/>
      </c>
      <c r="QM162" s="43" t="str">
        <f t="shared" si="567"/>
        <v/>
      </c>
      <c r="QN162" s="43" t="str">
        <f t="shared" si="568"/>
        <v/>
      </c>
      <c r="QO162" s="43" t="str">
        <f t="shared" si="569"/>
        <v/>
      </c>
      <c r="QP162" s="43" t="str">
        <f t="shared" si="570"/>
        <v/>
      </c>
      <c r="QQ162" s="43" t="str">
        <f t="shared" si="571"/>
        <v/>
      </c>
      <c r="QR162" s="43">
        <f t="shared" si="672"/>
        <v>24</v>
      </c>
      <c r="QS162" s="43"/>
      <c r="QT162" s="21" t="str">
        <f t="shared" si="572"/>
        <v/>
      </c>
      <c r="QU162" s="21" t="str">
        <f t="shared" si="573"/>
        <v/>
      </c>
      <c r="QV162" s="21" t="str">
        <f t="shared" si="574"/>
        <v/>
      </c>
      <c r="QW162" s="21" t="str">
        <f t="shared" si="575"/>
        <v/>
      </c>
      <c r="QX162" s="21" t="str">
        <f t="shared" si="576"/>
        <v/>
      </c>
      <c r="QY162" s="21" t="str">
        <f t="shared" si="577"/>
        <v/>
      </c>
      <c r="QZ162" s="21" t="str">
        <f t="shared" si="578"/>
        <v/>
      </c>
      <c r="RA162" s="21" t="str">
        <f t="shared" si="579"/>
        <v/>
      </c>
      <c r="RB162" s="21" t="str">
        <f t="shared" si="580"/>
        <v/>
      </c>
      <c r="RC162" s="21" t="str">
        <f t="shared" si="581"/>
        <v/>
      </c>
      <c r="RD162" s="21" t="str">
        <f t="shared" si="582"/>
        <v/>
      </c>
      <c r="RE162" s="21" t="str">
        <f t="shared" si="583"/>
        <v>ALTO PARA EDAD GESTACIONAL</v>
      </c>
      <c r="RF162" s="21" t="str">
        <f t="shared" si="584"/>
        <v/>
      </c>
      <c r="RG162" s="21" t="str">
        <f t="shared" si="585"/>
        <v/>
      </c>
      <c r="RH162" s="21" t="str">
        <f t="shared" si="586"/>
        <v/>
      </c>
      <c r="RI162" s="21" t="str">
        <f t="shared" si="587"/>
        <v/>
      </c>
      <c r="RJ162" s="21" t="str">
        <f t="shared" si="588"/>
        <v/>
      </c>
      <c r="RK162" s="21" t="str">
        <f t="shared" si="589"/>
        <v/>
      </c>
      <c r="RL162" s="21" t="str">
        <f t="shared" si="590"/>
        <v/>
      </c>
      <c r="RM162" s="21" t="str">
        <f t="shared" si="591"/>
        <v/>
      </c>
      <c r="RN162" s="21" t="str">
        <f t="shared" si="592"/>
        <v/>
      </c>
      <c r="RO162" s="21" t="str">
        <f t="shared" si="593"/>
        <v/>
      </c>
      <c r="RP162" s="21" t="str">
        <f t="shared" si="594"/>
        <v/>
      </c>
      <c r="RQ162" s="21" t="str">
        <f t="shared" si="595"/>
        <v/>
      </c>
      <c r="RR162" s="21" t="str">
        <f t="shared" si="596"/>
        <v/>
      </c>
      <c r="RS162" s="21" t="str">
        <f t="shared" si="597"/>
        <v/>
      </c>
      <c r="RT162" s="21" t="str">
        <f t="shared" si="598"/>
        <v/>
      </c>
      <c r="RU162" s="21" t="str">
        <f t="shared" si="599"/>
        <v/>
      </c>
      <c r="RV162" s="21">
        <f t="shared" si="600"/>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3"/>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1"/>
        <v>17.317808219178083</v>
      </c>
      <c r="O163" s="22">
        <v>45042</v>
      </c>
      <c r="P163" s="214" t="str">
        <f t="shared" si="675"/>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2"/>
        <v>0</v>
      </c>
      <c r="BR163" s="223" t="str">
        <f t="shared" si="603"/>
        <v/>
      </c>
      <c r="BS163" s="224">
        <f t="shared" si="604"/>
        <v>11.428571428571429</v>
      </c>
      <c r="BT163" s="216" t="str">
        <f t="shared" si="605"/>
        <v>DEFINIR CON ECO</v>
      </c>
      <c r="BU163" s="214">
        <f t="shared" ca="1" si="606"/>
        <v>38.571428571428569</v>
      </c>
      <c r="BV163" s="25"/>
      <c r="BW163" s="22"/>
      <c r="BX163" s="28"/>
      <c r="BY163" s="28"/>
      <c r="BZ163" s="22"/>
      <c r="CA163" s="21"/>
      <c r="CB163" s="26"/>
      <c r="CC163" s="26"/>
      <c r="CD163" s="26"/>
      <c r="CE163" s="26"/>
      <c r="CF163" s="22" t="s">
        <v>1517</v>
      </c>
      <c r="CG163" s="21">
        <v>1.56</v>
      </c>
      <c r="CH163" s="21">
        <v>55.2</v>
      </c>
      <c r="CI163" s="214">
        <f t="shared" si="607"/>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8"/>
        <v>45136</v>
      </c>
      <c r="CL163" s="21">
        <v>57.8</v>
      </c>
      <c r="CM163" s="214">
        <f t="shared" si="609"/>
        <v>23.7508218277449</v>
      </c>
      <c r="CN163" s="216">
        <f t="shared" si="610"/>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90"/>
        <v/>
      </c>
      <c r="DA163" s="21">
        <v>100</v>
      </c>
      <c r="DB163" s="21">
        <v>60</v>
      </c>
      <c r="DC163" s="217" t="str">
        <f t="shared" si="611"/>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6"/>
        <v>CONCERTAR PLAN DE PARTO INMEDIATO</v>
      </c>
      <c r="DV163" s="226" t="str">
        <f t="shared" si="677"/>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2"/>
        <v>#REF!</v>
      </c>
      <c r="DY163" s="212">
        <f>IF(R163="","",IF(R163&gt;0,MAX(Tabla1[[#This Row],[FECHA C2]:[FECHA C13]],Tabla1[[#This Row],[FECHA CONSULTA PRIMERA VEZ PROGRAMA CPN ]])))</f>
        <v>45136</v>
      </c>
      <c r="DZ163" s="216">
        <f t="shared" si="613"/>
        <v>24</v>
      </c>
      <c r="EA163" s="222">
        <f>IF(R163&gt;0,SUM(COUNTA(DF163:DQ163)+COUNTA(Tabla1[[#This Row],[FECHA CONSULTA PRIMERA VEZ PROGRAMA CPN ]])),"")</f>
        <v>4</v>
      </c>
      <c r="EB163" s="222" t="str">
        <f t="shared" si="614"/>
        <v>SI</v>
      </c>
      <c r="EC163" s="214">
        <f t="shared" si="615"/>
        <v>9</v>
      </c>
      <c r="ED163" s="227">
        <f t="shared" si="616"/>
        <v>0.44444444444444442</v>
      </c>
      <c r="EE163" s="22">
        <v>45042</v>
      </c>
      <c r="EF163" s="22">
        <v>45036</v>
      </c>
      <c r="EG163" s="22">
        <v>45042</v>
      </c>
      <c r="EH163" s="22"/>
      <c r="EI163" s="22">
        <v>45042</v>
      </c>
      <c r="EJ163" s="22"/>
      <c r="EK163" s="22"/>
      <c r="EL163" s="21"/>
      <c r="EM163" s="21">
        <v>13.3</v>
      </c>
      <c r="EN163" s="22">
        <v>45073</v>
      </c>
      <c r="EO163" s="222">
        <f t="shared" si="617"/>
        <v>15.857142857142858</v>
      </c>
      <c r="EP163" s="214" t="str">
        <f t="shared" si="618"/>
        <v>NORMAL- SUMINISTRAR SULFATO FERROSO</v>
      </c>
      <c r="EQ163" s="216" t="str">
        <f t="shared" si="619"/>
        <v>II TRIM</v>
      </c>
      <c r="ER163" s="24"/>
      <c r="ES163" s="22"/>
      <c r="ET163" s="29" t="str">
        <f t="shared" ca="1" si="678"/>
        <v>TOMA DE HEMOGLOBINA TARDÍA</v>
      </c>
      <c r="EU163" s="25" t="str">
        <f t="shared" si="620"/>
        <v/>
      </c>
      <c r="EV163" s="24" t="s">
        <v>1510</v>
      </c>
      <c r="EW163" s="22">
        <v>45073</v>
      </c>
      <c r="EX163" s="22"/>
      <c r="EY163" s="29">
        <f t="shared" si="693"/>
        <v>15.857142857142858</v>
      </c>
      <c r="EZ163" s="25" t="str">
        <f t="shared" si="694"/>
        <v>SIN RIESGO DE ISOINMUNIZACIÓN</v>
      </c>
      <c r="FA163" s="21">
        <v>71</v>
      </c>
      <c r="FB163" s="22">
        <v>45073</v>
      </c>
      <c r="FC163" s="29">
        <f t="shared" si="621"/>
        <v>15.857142857142858</v>
      </c>
      <c r="FD163" s="29"/>
      <c r="FE163" s="29"/>
      <c r="FF163" s="29"/>
      <c r="FG163" s="21" t="str">
        <f t="shared" ca="1" si="622"/>
        <v>TOMAR PTOG</v>
      </c>
      <c r="FH163" s="31"/>
      <c r="FI163" s="29" t="str">
        <f t="shared" si="623"/>
        <v>TOMAR EXAMEN</v>
      </c>
      <c r="FJ163" s="22"/>
      <c r="FK163" s="22"/>
      <c r="FL163" s="29" t="str">
        <f t="shared" ca="1" si="624"/>
        <v>PIERDE TOMA DE TAMIZAJE</v>
      </c>
      <c r="FM163" s="22" t="s">
        <v>867</v>
      </c>
      <c r="FN163" s="32">
        <v>45073</v>
      </c>
      <c r="FO163" s="29">
        <f t="shared" ca="1" si="679"/>
        <v>15.857142857142858</v>
      </c>
      <c r="FP163" s="22"/>
      <c r="FQ163" s="32"/>
      <c r="FR163" s="29" t="str">
        <f t="shared" ca="1" si="680"/>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5"/>
        <v>TOMAR EXAMEN</v>
      </c>
      <c r="FY163" s="22"/>
      <c r="FZ163" s="22"/>
      <c r="GA163" s="29" t="str">
        <f t="shared" ca="1" si="692"/>
        <v>PIERDE TOMA DE TAMIZAJE</v>
      </c>
      <c r="GB163" s="22" t="s">
        <v>868</v>
      </c>
      <c r="GC163" s="22">
        <v>45072</v>
      </c>
      <c r="GD163" s="29">
        <f t="shared" ca="1" si="681"/>
        <v>15.714285714285714</v>
      </c>
      <c r="GE163" s="22"/>
      <c r="GF163" s="22"/>
      <c r="GG163" s="29" t="str">
        <f t="shared" ca="1" si="682"/>
        <v>TOMA INMEDIATA DE TAMIZAJE</v>
      </c>
      <c r="GH163" s="22"/>
      <c r="GI163" s="29"/>
      <c r="GJ163" s="22"/>
      <c r="GK163" s="22"/>
      <c r="GL163" s="22"/>
      <c r="GM163" s="22"/>
      <c r="GN163" s="28" t="s">
        <v>869</v>
      </c>
      <c r="GO163" s="22">
        <v>45072</v>
      </c>
      <c r="GP163" s="29">
        <f t="shared" si="626"/>
        <v>15.714285714285714</v>
      </c>
      <c r="GQ163" s="28" t="s">
        <v>869</v>
      </c>
      <c r="GR163" s="28" t="s">
        <v>869</v>
      </c>
      <c r="GS163" s="22" t="str">
        <f t="shared" ref="GS163:GS164" si="696">IF(GQ163="NEGATIVO","CONTROL Igm",IF(AND(GQ163="POSITIVO",GR163="NEGATIVO"),"SE EXCLUYE INFECCION",IF(AND(GQ163="POSITIVO",GR163="POSITIVO"),"TOXOPLASMOSIS, REMITIR PARA MANEJO","")))</f>
        <v>CONTROL Igm</v>
      </c>
      <c r="GT163" s="22">
        <v>45073</v>
      </c>
      <c r="GU163" s="29">
        <f t="shared" si="628"/>
        <v>15.857142857142858</v>
      </c>
      <c r="GV163" s="21" t="str">
        <f t="shared" si="629"/>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30"/>
        <v>#REF!</v>
      </c>
      <c r="HI163" s="22" t="e">
        <f t="shared" ca="1" si="631"/>
        <v>#REF!</v>
      </c>
      <c r="HJ163" s="21" t="str">
        <f t="shared" ca="1" si="632"/>
        <v>**********************MULTIPARIDAD*****************</v>
      </c>
      <c r="HK163" s="21" t="str">
        <f t="shared" si="633"/>
        <v>SIN ANTECEDENTES DE RIESGO</v>
      </c>
      <c r="HL163" s="24" t="str">
        <f t="shared" si="634"/>
        <v>APARENTEMENTE NORMAL</v>
      </c>
      <c r="HM163" s="21" t="e">
        <f t="shared" ca="1" si="635"/>
        <v>#REF!</v>
      </c>
      <c r="HN163" s="30" t="str">
        <f t="shared" si="683"/>
        <v>ACTIVA INGRESO A CPN</v>
      </c>
      <c r="HO163" s="21"/>
      <c r="HP163" s="21"/>
      <c r="HQ163" s="349">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6"/>
        <v>11.714285714285714</v>
      </c>
      <c r="IA163" s="26"/>
      <c r="IB163" s="26"/>
      <c r="IC163" s="111"/>
      <c r="ID163" s="22"/>
      <c r="IE163" s="22" t="str">
        <f t="shared" ca="1" si="637"/>
        <v>INASISTENTE</v>
      </c>
      <c r="IF163" s="22"/>
      <c r="IG163" s="22">
        <f t="shared" si="638"/>
        <v>45242</v>
      </c>
      <c r="IH163" s="29">
        <f t="shared" ca="1" si="639"/>
        <v>10</v>
      </c>
      <c r="II163" s="22" t="str">
        <f t="shared" ca="1" si="640"/>
        <v>MENOS DE 4 SEMANAS</v>
      </c>
      <c r="IJ163" s="22"/>
      <c r="IK163" s="21"/>
      <c r="IL163" s="21"/>
      <c r="IM163" s="34"/>
      <c r="IN163" s="22"/>
      <c r="IO163" s="21"/>
      <c r="IP163" s="29" t="str">
        <f t="shared" si="674"/>
        <v/>
      </c>
      <c r="IQ163" s="35"/>
      <c r="IR163" s="21"/>
      <c r="IS163" s="21"/>
      <c r="IT163" s="21"/>
      <c r="IU163" s="21"/>
      <c r="IV163" s="21"/>
      <c r="IW163" s="21"/>
      <c r="IX163" s="21"/>
      <c r="IY163" s="21"/>
      <c r="IZ163" s="21"/>
      <c r="JA163" s="21"/>
      <c r="JB163" s="30"/>
      <c r="JC163" s="21"/>
      <c r="JD163" s="36"/>
      <c r="JE163" s="21" t="str">
        <f t="shared" si="684"/>
        <v/>
      </c>
      <c r="JF163" s="30"/>
      <c r="JG163" s="21"/>
      <c r="JH163" s="21"/>
      <c r="JI163" s="21"/>
      <c r="JJ163" s="30"/>
      <c r="JK163" s="22"/>
      <c r="JL163" s="22"/>
      <c r="JM163" s="21"/>
      <c r="JN163" s="36"/>
      <c r="JO163" s="21" t="str">
        <f t="shared" si="685"/>
        <v/>
      </c>
      <c r="JP163" s="22"/>
      <c r="JQ163" s="21"/>
      <c r="JR163" s="21"/>
      <c r="JS163" s="21"/>
      <c r="JT163" s="30"/>
      <c r="JU163" s="22"/>
      <c r="JV163" s="22"/>
      <c r="JW163" s="33"/>
      <c r="JX163" s="28" t="str">
        <f t="shared" si="686"/>
        <v/>
      </c>
      <c r="JY163" s="33"/>
      <c r="JZ163" s="28" t="str">
        <f t="shared" si="687"/>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7">SUM(COUNTIF(KU163,"PARTERO (A)"),COUNTIF(KY163,"PARTERO (A)"),COUNTIF(LC163,"PARTERO (A)"),COUNTIF(LG163,"PARTERO (A)"),COUNTIF(LK163,"PARTERO (A)"),COUNTIF(LO163,"PARTERO (A)"),COUNTIF(ME163,"PARTERO (A)"))</f>
        <v>0</v>
      </c>
      <c r="MI163" s="43" t="str">
        <f t="shared" ref="MI163:MI193" si="698">IF(AND(R163="",O163=""),"",IF(AND(OR(O163&gt;0,R163&gt;0),KT163&gt;0),SUM(KT163-RW163)/7,""))</f>
        <v/>
      </c>
      <c r="MJ163" s="43" t="str">
        <f t="shared" ref="MJ163:MJ193" si="699">IF(AND(MI163="",BT163=""),"",IF(AND(MI163&lt;&gt;"",BT163="SIN DATO"),"SIN DATO",IF(AND(MI163="",BT163&lt;&gt;""),"",IF(AND(MI163&lt;0,BT163&gt;0),"ERROR FUM O INGRESO",IF(MI163&lt;=13,"I TRIM",IF(MI163&lt;28,"II TRIM",IF(AND(MI163&gt;27,MI163&lt;45),"III TRIM","POR DEFINIR")))))))</f>
        <v/>
      </c>
      <c r="MK163" s="43">
        <f t="shared" ref="MK163:MK193" si="700">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701">IF(AND(O163&gt;0,RW163&gt;0),SUM(O163-RW163)/7,"")</f>
        <v>11.428571428571429</v>
      </c>
      <c r="MN163" s="43">
        <f t="shared" ref="MN163:MN193" si="702">IF(R163&gt;0,MONTH(R163),"")</f>
        <v>4</v>
      </c>
      <c r="MO163" s="43">
        <f t="shared" ref="MO163:MO193" si="703">IF(R163&gt;0,YEAR(R163),"")</f>
        <v>2023</v>
      </c>
      <c r="MP163" s="43" t="str">
        <f t="shared" ref="MP163:MP193" si="704">IF(AND(MN163&gt;=1,MN163&lt;=3),"I TRIMESTRE AÑO",IF(AND(MN163&gt;=4,MN163&lt;=6),"II TRIMESTRE AÑO",IF(AND(MN163&gt;=7,MN163&lt;=9),"III TRIMESTRE AÑO",IF(AND(MN163&gt;=10,MN163&lt;=12),"IV TRIMESTRE AÑO",""))))</f>
        <v>II TRIMESTRE AÑO</v>
      </c>
      <c r="MQ163" s="43">
        <f t="shared" ref="MQ163:MQ193" si="705">IF(AND(M163&gt;0,R163&gt;0),DAYS360(M163,R163)/30.44/12,IF(AND(M163&gt;0,O163&gt;0,R163=""),DAYS360(M163,O163)/30.44/12,""))</f>
        <v>16.54347349978099</v>
      </c>
      <c r="MR163" s="43">
        <f t="shared" ref="MR163:MR193" si="706">IF(AND(MQ163&gt;7,MQ163&lt;14),2,IF(MQ163&lt;16,1,IF(MQ163&lt;=35,0,IF(AND(MQ163&gt;35,MQ163&lt;50),2,""))))</f>
        <v>0</v>
      </c>
      <c r="MS163" s="43" t="str">
        <f t="shared" ref="MS163:MS193" si="707">+IF(MQ163="","",IF(MQ163&lt;14,"MENOR 14 AÑOS",IF(MQ163&lt;20,"DE 14 A 19AÑOS",IF(MQ163&lt;25," DE 20 A 24 AÑOS",IF(MQ163&lt;30," DE 25 A 29 AÑOS",IF(MQ163&lt;35," DE 30 A 34 AÑOS",IF(MQ163&lt;40," DE 35 A 39 AÑOS"," DE 40 Y MAS")))))))</f>
        <v>DE 14 A 19AÑOS</v>
      </c>
      <c r="MT163" s="43">
        <f t="shared" ref="MT163:MT193" si="708">IF(OR(AX163="SI",BA163="SI"),1,IF(AND(AX163="NO",BA163="NO"),0,""))</f>
        <v>0</v>
      </c>
      <c r="MU163" s="43">
        <f t="shared" ref="MU163:MU193" si="709">IF(AT163="","",IF(AT163=0,1,IF(AND(AT163&gt;=1,AT163&lt;=4),0,IF(AT163&gt;=5,2,"X"))))</f>
        <v>1</v>
      </c>
      <c r="MV163" s="43">
        <f t="shared" ref="MV163:MV193" si="710">IF(AW163="","",IF(AW163=0,0,IF(AW163=1,1,IF(OR(AW163=2,AW163="3 o MAS"),2,"X"))))</f>
        <v>0</v>
      </c>
      <c r="MW163" s="43">
        <f t="shared" ref="MW163:MW193" si="711">IF(AY163="SI",1,IF(AY163="NO",0,""))</f>
        <v>0</v>
      </c>
      <c r="MX163" s="43" t="str">
        <f t="shared" ref="MX163:MX193" si="712">IF(OR(AND(EM163&gt;0,EM163&lt;11),AND(ER163&gt;0,ER163&lt;10.5)),1,"")</f>
        <v/>
      </c>
      <c r="MY163" s="43" t="str">
        <f t="shared" ca="1" si="688"/>
        <v/>
      </c>
      <c r="MZ163" s="43" t="str">
        <f t="shared" ref="MZ163:MZ193" si="713">IF(AND(GJ163="",GL163="",BB163=""),"",IF(OR(OR(GJ163="P.R REACTIVA",GJ163="ELISA REACTIVA"),OR(BB163="SI",GL163="POSITIVA",GL163="NO CONCLUYENTE")),3,""))</f>
        <v/>
      </c>
      <c r="NA163" s="43" t="str">
        <f t="shared" ref="NA163:NA193" si="714">IF(CD163="","",IF(OR(CD163="CEFÁLICA",CD163="SD"),0,IF(OR(CD163="PODÁLICA",CD163="TRANSVERSA O DE FRENTE",CD163="OBLICUA"),3,"")))</f>
        <v/>
      </c>
      <c r="NB163" s="43" t="str">
        <f t="shared" ref="NB163:NB193" si="715">IF(GZ163="","",IF(GZ163="POSITIVO",2,"0"))</f>
        <v/>
      </c>
      <c r="NC163" s="43" t="str">
        <f t="shared" ref="NC163:NC193" si="716">IF(AND(HB163="",HD163=""),"",IF(OR(HB163="POSITIVO",HD163="POSITIVO"),3,0))</f>
        <v/>
      </c>
      <c r="ND163" s="43">
        <f t="shared" ref="ND163:ND193" ca="1" si="717">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8">IF(AND(R163="",O163=""),"",IF(AND(OR(O163&gt;0,R163&gt;0),RW163=""),"SD",IF(AND(OR(O163&gt;0,R163&gt;0),ID163&gt;0),SUM(ID163-RW163)/7,"")))</f>
        <v/>
      </c>
      <c r="NG163" s="43">
        <f t="shared" ref="NG163:NG193" si="719">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20">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21">IF(AND(O163&gt;0,R163=""),"NO CPN",IF(AND(O163="",R163=""),"",IF(AND(R163&gt;0,EJ163&gt;0,EI163&gt;0),_xlfn.DAYS(EJ163,EI163),IF(AND(R163&gt;0,EJ163&gt;0,EI163=""),"NO CITA","X"))))</f>
        <v>X</v>
      </c>
      <c r="NM163" s="43" t="str">
        <f t="shared" si="695"/>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2">IF(AND(BS163="",IG163=""),"",IF(AND(BS163="",IG163="DEFINIR FPP POR ECO"),"SIN DATO",IF(BS163&lt;0,"ERROR FUM O INGRESO",IF(BP163="NO","DEFINIR CON ECO",IF(BS163&lt;12,"I TRIM",IF(BS163&lt;27,"II TRIM",IF(AND(BS163&gt;26,BS163&lt;45),"III TRIM","ERROR FUM O INGRESO")))))))</f>
        <v>DEFINIR CON ECO</v>
      </c>
      <c r="NQ163" s="21" t="str">
        <f t="shared" si="691"/>
        <v/>
      </c>
      <c r="NR163" s="21">
        <f t="shared" ca="1" si="689"/>
        <v>3</v>
      </c>
      <c r="NS163" s="205">
        <f t="shared" ref="NS163:NS193" ca="1" si="723">COUNT(FL163,FO163,FR163,FT163)</f>
        <v>1</v>
      </c>
      <c r="NT163" s="21">
        <f t="shared" ref="NT163:NT193" ca="1" si="724">COUNT(GA163,GD163,GG163,GI163)</f>
        <v>1</v>
      </c>
      <c r="NU163" s="21" t="str">
        <f t="shared" ref="NU163:NU193" ca="1" si="725">IF(NR163="","",IF(NR163="REVISAR FUM O FECHA SALIDA PROGRAMA","POR DEFINIR",IF(OR(NR163=NS163,NS163&gt;NR163),"COMPLETO",IF(NS163&lt;NR163,"INCOMPLETO",""))))</f>
        <v>INCOMPLETO</v>
      </c>
      <c r="NV163" s="21" t="str">
        <f t="shared" ref="NV163:NV193" ca="1" si="726">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7">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2"/>
        <v>11</v>
      </c>
      <c r="OA163" s="43" t="str">
        <f t="shared" si="503"/>
        <v/>
      </c>
      <c r="OB163" s="43" t="str">
        <f t="shared" si="504"/>
        <v/>
      </c>
      <c r="OC163" s="43" t="str">
        <f t="shared" si="505"/>
        <v>NORMAL</v>
      </c>
      <c r="OD163" s="43" t="str">
        <f t="shared" si="506"/>
        <v/>
      </c>
      <c r="OE163" s="43" t="str">
        <f t="shared" si="507"/>
        <v/>
      </c>
      <c r="OF163" s="43" t="str">
        <f t="shared" si="508"/>
        <v/>
      </c>
      <c r="OG163" s="43" t="str">
        <f t="shared" si="509"/>
        <v/>
      </c>
      <c r="OH163" s="43" t="str">
        <f t="shared" si="510"/>
        <v/>
      </c>
      <c r="OI163" s="43" t="str">
        <f t="shared" si="511"/>
        <v/>
      </c>
      <c r="OJ163" s="43" t="str">
        <f t="shared" si="512"/>
        <v/>
      </c>
      <c r="OK163" s="43" t="str">
        <f t="shared" si="513"/>
        <v/>
      </c>
      <c r="OL163" s="43" t="str">
        <f t="shared" si="514"/>
        <v/>
      </c>
      <c r="OM163" s="43" t="str">
        <f t="shared" si="515"/>
        <v/>
      </c>
      <c r="ON163" s="43" t="str">
        <f t="shared" si="516"/>
        <v/>
      </c>
      <c r="OO163" s="43" t="str">
        <f t="shared" si="517"/>
        <v/>
      </c>
      <c r="OP163" s="43" t="str">
        <f t="shared" si="518"/>
        <v/>
      </c>
      <c r="OQ163" s="43" t="str">
        <f t="shared" si="519"/>
        <v/>
      </c>
      <c r="OR163" s="43" t="str">
        <f t="shared" si="520"/>
        <v/>
      </c>
      <c r="OS163" s="43" t="str">
        <f t="shared" si="521"/>
        <v/>
      </c>
      <c r="OT163" s="43" t="str">
        <f t="shared" si="522"/>
        <v/>
      </c>
      <c r="OU163" s="43" t="str">
        <f t="shared" si="523"/>
        <v/>
      </c>
      <c r="OV163" s="110" t="str">
        <f t="shared" si="524"/>
        <v/>
      </c>
      <c r="OW163" s="43" t="str">
        <f t="shared" si="525"/>
        <v/>
      </c>
      <c r="OX163" s="43" t="str">
        <f t="shared" si="526"/>
        <v/>
      </c>
      <c r="OY163" s="43" t="str">
        <f t="shared" si="527"/>
        <v/>
      </c>
      <c r="OZ163" s="43" t="str">
        <f t="shared" si="528"/>
        <v/>
      </c>
      <c r="PA163" s="43" t="str">
        <f t="shared" si="529"/>
        <v/>
      </c>
      <c r="PB163" s="43" t="str">
        <f t="shared" si="530"/>
        <v/>
      </c>
      <c r="PC163" s="43" t="str">
        <f t="shared" si="531"/>
        <v/>
      </c>
      <c r="PD163" s="43" t="str">
        <f t="shared" si="532"/>
        <v/>
      </c>
      <c r="PE163" s="43" t="str">
        <f t="shared" si="533"/>
        <v/>
      </c>
      <c r="PF163" s="43" t="str">
        <f t="shared" si="534"/>
        <v/>
      </c>
      <c r="PG163" s="43" t="str">
        <f t="shared" si="535"/>
        <v/>
      </c>
      <c r="PH163" s="43" t="str">
        <f t="shared" si="536"/>
        <v/>
      </c>
      <c r="PI163" s="43">
        <f t="shared" si="537"/>
        <v>24</v>
      </c>
      <c r="PJ163" s="43" t="str">
        <f t="shared" si="538"/>
        <v/>
      </c>
      <c r="PK163" s="43" t="str">
        <f t="shared" si="539"/>
        <v/>
      </c>
      <c r="PL163" s="43" t="str">
        <f t="shared" si="540"/>
        <v/>
      </c>
      <c r="PM163" s="43" t="str">
        <f t="shared" si="541"/>
        <v/>
      </c>
      <c r="PN163" s="43" t="str">
        <f t="shared" si="542"/>
        <v/>
      </c>
      <c r="PO163" s="43" t="str">
        <f t="shared" si="543"/>
        <v/>
      </c>
      <c r="PP163" s="43" t="str">
        <f t="shared" si="544"/>
        <v/>
      </c>
      <c r="PQ163" s="43" t="str">
        <f t="shared" si="545"/>
        <v/>
      </c>
      <c r="PR163" s="43" t="str">
        <f t="shared" si="546"/>
        <v/>
      </c>
      <c r="PS163" s="43" t="str">
        <f t="shared" si="547"/>
        <v/>
      </c>
      <c r="PT163" s="43" t="str">
        <f t="shared" si="548"/>
        <v/>
      </c>
      <c r="PU163" s="43" t="str">
        <f t="shared" si="549"/>
        <v/>
      </c>
      <c r="PV163" s="43" t="str">
        <f t="shared" si="550"/>
        <v/>
      </c>
      <c r="PW163" s="43" t="str">
        <f t="shared" si="551"/>
        <v/>
      </c>
      <c r="PX163" s="43" t="str">
        <f t="shared" si="552"/>
        <v/>
      </c>
      <c r="PY163" s="43" t="str">
        <f t="shared" si="553"/>
        <v>NORMAL</v>
      </c>
      <c r="PZ163" s="43" t="str">
        <f t="shared" si="554"/>
        <v/>
      </c>
      <c r="QA163" s="43" t="str">
        <f t="shared" si="555"/>
        <v/>
      </c>
      <c r="QB163" s="43" t="str">
        <f t="shared" si="556"/>
        <v/>
      </c>
      <c r="QC163" s="43" t="str">
        <f t="shared" si="557"/>
        <v/>
      </c>
      <c r="QD163" s="43" t="str">
        <f t="shared" si="558"/>
        <v/>
      </c>
      <c r="QE163" s="43" t="str">
        <f t="shared" si="559"/>
        <v/>
      </c>
      <c r="QF163" s="43" t="str">
        <f t="shared" si="560"/>
        <v/>
      </c>
      <c r="QG163" s="43" t="str">
        <f t="shared" si="561"/>
        <v/>
      </c>
      <c r="QH163" s="43" t="str">
        <f t="shared" si="562"/>
        <v/>
      </c>
      <c r="QI163" s="43" t="str">
        <f t="shared" si="563"/>
        <v/>
      </c>
      <c r="QJ163" s="43" t="str">
        <f t="shared" si="564"/>
        <v/>
      </c>
      <c r="QK163" s="43" t="str">
        <f t="shared" si="565"/>
        <v/>
      </c>
      <c r="QL163" s="43" t="str">
        <f t="shared" si="566"/>
        <v/>
      </c>
      <c r="QM163" s="43" t="str">
        <f t="shared" si="567"/>
        <v/>
      </c>
      <c r="QN163" s="43" t="str">
        <f t="shared" si="568"/>
        <v/>
      </c>
      <c r="QO163" s="43" t="str">
        <f t="shared" si="569"/>
        <v/>
      </c>
      <c r="QP163" s="43" t="str">
        <f t="shared" si="570"/>
        <v/>
      </c>
      <c r="QQ163" s="43" t="str">
        <f t="shared" si="571"/>
        <v/>
      </c>
      <c r="QR163" s="43">
        <f t="shared" si="672"/>
        <v>24</v>
      </c>
      <c r="QS163" s="43"/>
      <c r="QT163" s="21" t="str">
        <f t="shared" si="572"/>
        <v/>
      </c>
      <c r="QU163" s="21" t="str">
        <f t="shared" si="573"/>
        <v/>
      </c>
      <c r="QV163" s="21" t="str">
        <f t="shared" si="574"/>
        <v/>
      </c>
      <c r="QW163" s="21" t="str">
        <f t="shared" si="575"/>
        <v/>
      </c>
      <c r="QX163" s="21" t="str">
        <f t="shared" si="576"/>
        <v/>
      </c>
      <c r="QY163" s="21" t="str">
        <f t="shared" si="577"/>
        <v/>
      </c>
      <c r="QZ163" s="21" t="str">
        <f t="shared" si="578"/>
        <v/>
      </c>
      <c r="RA163" s="21" t="str">
        <f t="shared" si="579"/>
        <v/>
      </c>
      <c r="RB163" s="21" t="str">
        <f t="shared" si="580"/>
        <v/>
      </c>
      <c r="RC163" s="21" t="str">
        <f t="shared" si="581"/>
        <v/>
      </c>
      <c r="RD163" s="21" t="str">
        <f t="shared" si="582"/>
        <v/>
      </c>
      <c r="RE163" s="21" t="str">
        <f t="shared" si="583"/>
        <v>ALTO PARA EDAD GESTACIONAL</v>
      </c>
      <c r="RF163" s="21" t="str">
        <f t="shared" si="584"/>
        <v/>
      </c>
      <c r="RG163" s="21" t="str">
        <f t="shared" si="585"/>
        <v/>
      </c>
      <c r="RH163" s="21" t="str">
        <f t="shared" si="586"/>
        <v/>
      </c>
      <c r="RI163" s="21" t="str">
        <f t="shared" si="587"/>
        <v/>
      </c>
      <c r="RJ163" s="21" t="str">
        <f t="shared" si="588"/>
        <v/>
      </c>
      <c r="RK163" s="21" t="str">
        <f t="shared" si="589"/>
        <v/>
      </c>
      <c r="RL163" s="21" t="str">
        <f t="shared" si="590"/>
        <v/>
      </c>
      <c r="RM163" s="21" t="str">
        <f t="shared" si="591"/>
        <v/>
      </c>
      <c r="RN163" s="21" t="str">
        <f t="shared" si="592"/>
        <v/>
      </c>
      <c r="RO163" s="21" t="str">
        <f t="shared" si="593"/>
        <v/>
      </c>
      <c r="RP163" s="21" t="str">
        <f t="shared" si="594"/>
        <v/>
      </c>
      <c r="RQ163" s="21" t="str">
        <f t="shared" si="595"/>
        <v/>
      </c>
      <c r="RR163" s="21" t="str">
        <f t="shared" si="596"/>
        <v/>
      </c>
      <c r="RS163" s="21" t="str">
        <f t="shared" si="597"/>
        <v/>
      </c>
      <c r="RT163" s="21" t="str">
        <f t="shared" si="598"/>
        <v/>
      </c>
      <c r="RU163" s="21" t="str">
        <f t="shared" si="599"/>
        <v/>
      </c>
      <c r="RV163" s="21">
        <f t="shared" si="600"/>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3"/>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1"/>
        <v>20.161643835616438</v>
      </c>
      <c r="O164" s="22">
        <v>45044</v>
      </c>
      <c r="P164" s="214" t="str">
        <f t="shared" si="675"/>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2"/>
        <v>0</v>
      </c>
      <c r="BR164" s="223">
        <f t="shared" si="603"/>
        <v>45001.8</v>
      </c>
      <c r="BS164" s="224">
        <f t="shared" si="604"/>
        <v>6.0285714285710128</v>
      </c>
      <c r="BT164" s="216" t="str">
        <f t="shared" si="605"/>
        <v>I TRIM</v>
      </c>
      <c r="BU164" s="214">
        <f t="shared" ca="1" si="606"/>
        <v>32.885714285713867</v>
      </c>
      <c r="BV164" s="25" t="s">
        <v>1478</v>
      </c>
      <c r="BW164" s="22">
        <v>45083</v>
      </c>
      <c r="BX164" s="28">
        <v>11.6</v>
      </c>
      <c r="BY164" s="28"/>
      <c r="BZ164" s="22"/>
      <c r="CA164" s="21"/>
      <c r="CB164" s="26"/>
      <c r="CC164" s="26"/>
      <c r="CD164" s="26"/>
      <c r="CE164" s="26"/>
      <c r="CF164" s="22" t="s">
        <v>1517</v>
      </c>
      <c r="CG164" s="21">
        <v>1.48</v>
      </c>
      <c r="CH164" s="21">
        <v>51.7</v>
      </c>
      <c r="CI164" s="214">
        <f t="shared" si="607"/>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8"/>
        <v>45114</v>
      </c>
      <c r="CL164" s="21">
        <v>53</v>
      </c>
      <c r="CM164" s="214">
        <f t="shared" si="609"/>
        <v>24.196493791088386</v>
      </c>
      <c r="CN164" s="216">
        <f t="shared" si="610"/>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90"/>
        <v/>
      </c>
      <c r="DA164" s="21">
        <v>90</v>
      </c>
      <c r="DB164" s="21">
        <v>60</v>
      </c>
      <c r="DC164" s="217" t="str">
        <f t="shared" si="611"/>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6"/>
        <v>PLANEAR PLAN DE PARTO</v>
      </c>
      <c r="DV164" s="226" t="str">
        <f t="shared" si="677"/>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2"/>
        <v>#REF!</v>
      </c>
      <c r="DY164" s="212">
        <f>IF(R164="","",IF(R164&gt;0,MAX(Tabla1[[#This Row],[FECHA C2]:[FECHA C13]],Tabla1[[#This Row],[FECHA CONSULTA PRIMERA VEZ PROGRAMA CPN ]])))</f>
        <v>45114</v>
      </c>
      <c r="DZ164" s="216">
        <f t="shared" si="613"/>
        <v>16</v>
      </c>
      <c r="EA164" s="222">
        <f>IF(R164&gt;0,SUM(COUNTA(DF164:DQ164)+COUNTA(Tabla1[[#This Row],[FECHA CONSULTA PRIMERA VEZ PROGRAMA CPN ]])),"")</f>
        <v>3</v>
      </c>
      <c r="EB164" s="222" t="str">
        <f t="shared" si="614"/>
        <v>NO</v>
      </c>
      <c r="EC164" s="214">
        <f t="shared" si="615"/>
        <v>10</v>
      </c>
      <c r="ED164" s="227">
        <f t="shared" si="616"/>
        <v>0.3</v>
      </c>
      <c r="EE164" s="22">
        <v>45105</v>
      </c>
      <c r="EF164" s="22">
        <v>45044</v>
      </c>
      <c r="EG164" s="22">
        <v>45105</v>
      </c>
      <c r="EH164" s="22" t="s">
        <v>1636</v>
      </c>
      <c r="EI164" s="22" t="s">
        <v>1467</v>
      </c>
      <c r="EJ164" s="22">
        <v>45083</v>
      </c>
      <c r="EK164" s="22"/>
      <c r="EL164" s="21"/>
      <c r="EM164" s="21">
        <v>13</v>
      </c>
      <c r="EN164" s="22">
        <v>45044</v>
      </c>
      <c r="EO164" s="222">
        <f t="shared" si="617"/>
        <v>6.0285714285710128</v>
      </c>
      <c r="EP164" s="214" t="str">
        <f t="shared" si="618"/>
        <v>NORMAL- SUMINISTRAR SULFATO FERROSO</v>
      </c>
      <c r="EQ164" s="216" t="str">
        <f t="shared" si="619"/>
        <v>I TRIM</v>
      </c>
      <c r="ER164" s="24"/>
      <c r="ES164" s="22"/>
      <c r="ET164" s="29" t="str">
        <f t="shared" ca="1" si="678"/>
        <v>TOMA DE HEMOGLOBINA TARDÍA</v>
      </c>
      <c r="EU164" s="25" t="str">
        <f t="shared" si="620"/>
        <v/>
      </c>
      <c r="EV164" s="24" t="s">
        <v>1510</v>
      </c>
      <c r="EW164" s="32">
        <v>45044</v>
      </c>
      <c r="EX164" s="22"/>
      <c r="EY164" s="29">
        <f t="shared" si="693"/>
        <v>6.0285714285710128</v>
      </c>
      <c r="EZ164" s="25" t="str">
        <f t="shared" si="694"/>
        <v>SIN RIESGO DE ISOINMUNIZACIÓN</v>
      </c>
      <c r="FA164" s="21">
        <v>76</v>
      </c>
      <c r="FB164" s="22">
        <v>45044</v>
      </c>
      <c r="FC164" s="29">
        <f t="shared" si="621"/>
        <v>6.0285714285710128</v>
      </c>
      <c r="FD164" s="29"/>
      <c r="FE164" s="29"/>
      <c r="FF164" s="29"/>
      <c r="FG164" s="21" t="str">
        <f t="shared" ca="1" si="622"/>
        <v>TOMAR PTOG</v>
      </c>
      <c r="FH164" s="31"/>
      <c r="FI164" s="29" t="str">
        <f t="shared" si="623"/>
        <v>TOMAR EXAMEN</v>
      </c>
      <c r="FJ164" s="22" t="s">
        <v>867</v>
      </c>
      <c r="FK164" s="22">
        <v>45044</v>
      </c>
      <c r="FL164" s="29">
        <f t="shared" ca="1" si="624"/>
        <v>6.0285714285710128</v>
      </c>
      <c r="FM164" s="22"/>
      <c r="FN164" s="32"/>
      <c r="FO164" s="29" t="str">
        <f t="shared" ca="1" si="679"/>
        <v>PIERDE TOMA DE TAMIZAJE</v>
      </c>
      <c r="FP164" s="22"/>
      <c r="FQ164" s="32"/>
      <c r="FR164" s="29" t="str">
        <f t="shared" ca="1" si="680"/>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5"/>
        <v>TOMAR EXAMEN</v>
      </c>
      <c r="FY164" s="22">
        <v>45044</v>
      </c>
      <c r="FZ164" s="22">
        <v>45044</v>
      </c>
      <c r="GA164" s="29">
        <f t="shared" ca="1" si="692"/>
        <v>6.0285714285710128</v>
      </c>
      <c r="GB164" s="22"/>
      <c r="GC164" s="22"/>
      <c r="GD164" s="29" t="str">
        <f t="shared" ca="1" si="681"/>
        <v>PIERDE TOMA DE TAMIZAJE</v>
      </c>
      <c r="GE164" s="22"/>
      <c r="GF164" s="22"/>
      <c r="GG164" s="29" t="str">
        <f t="shared" ca="1" si="682"/>
        <v>EN RANGO PARA TOMAR EXAMEN</v>
      </c>
      <c r="GH164" s="22"/>
      <c r="GI164" s="29"/>
      <c r="GJ164" s="22"/>
      <c r="GK164" s="22"/>
      <c r="GL164" s="22"/>
      <c r="GM164" s="22"/>
      <c r="GN164" s="28" t="s">
        <v>869</v>
      </c>
      <c r="GO164" s="22">
        <v>45044</v>
      </c>
      <c r="GP164" s="29">
        <f t="shared" si="626"/>
        <v>6.0285714285710128</v>
      </c>
      <c r="GQ164" s="28" t="s">
        <v>869</v>
      </c>
      <c r="GR164" s="28" t="s">
        <v>869</v>
      </c>
      <c r="GS164" s="22" t="str">
        <f t="shared" si="696"/>
        <v>CONTROL Igm</v>
      </c>
      <c r="GT164" s="22">
        <v>45044</v>
      </c>
      <c r="GU164" s="29">
        <f t="shared" si="628"/>
        <v>7</v>
      </c>
      <c r="GV164" s="21" t="str">
        <f t="shared" si="629"/>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30"/>
        <v>#REF!</v>
      </c>
      <c r="HI164" s="22" t="e">
        <f t="shared" ca="1" si="631"/>
        <v>#REF!</v>
      </c>
      <c r="HJ164" s="21" t="str">
        <f t="shared" ca="1" si="632"/>
        <v>**********************MULTIPARIDAD*****************</v>
      </c>
      <c r="HK164" s="21" t="str">
        <f t="shared" si="633"/>
        <v>SIN ANTECEDENTES DE RIESGO</v>
      </c>
      <c r="HL164" s="24" t="str">
        <f t="shared" si="634"/>
        <v>APARENTEMENTE NORMAL</v>
      </c>
      <c r="HM164" s="21" t="e">
        <f t="shared" ca="1" si="635"/>
        <v>#REF!</v>
      </c>
      <c r="HN164" s="30" t="str">
        <f t="shared" si="683"/>
        <v>ACTIVA INGRESO A CPN</v>
      </c>
      <c r="HO164" s="21"/>
      <c r="HP164" s="21"/>
      <c r="HQ164" s="349"/>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6"/>
        <v>6.0285714285710128</v>
      </c>
      <c r="IA164" s="26"/>
      <c r="IB164" s="26"/>
      <c r="IC164" s="111"/>
      <c r="ID164" s="22"/>
      <c r="IE164" s="22" t="str">
        <f t="shared" ca="1" si="637"/>
        <v>INASISTENTE</v>
      </c>
      <c r="IF164" s="22"/>
      <c r="IG164" s="22">
        <f t="shared" si="638"/>
        <v>45281.8</v>
      </c>
      <c r="IH164" s="29">
        <f t="shared" ca="1" si="639"/>
        <v>49.80000000000291</v>
      </c>
      <c r="II164" s="22" t="str">
        <f t="shared" ca="1" si="640"/>
        <v>PENDIENTE</v>
      </c>
      <c r="IJ164" s="22"/>
      <c r="IK164" s="21"/>
      <c r="IL164" s="21"/>
      <c r="IM164" s="34"/>
      <c r="IN164" s="22"/>
      <c r="IO164" s="21"/>
      <c r="IP164" s="29" t="str">
        <f t="shared" si="674"/>
        <v/>
      </c>
      <c r="IQ164" s="35"/>
      <c r="IR164" s="21"/>
      <c r="IS164" s="21"/>
      <c r="IT164" s="21"/>
      <c r="IU164" s="21"/>
      <c r="IV164" s="21"/>
      <c r="IW164" s="21"/>
      <c r="IX164" s="21"/>
      <c r="IY164" s="21"/>
      <c r="IZ164" s="21"/>
      <c r="JA164" s="21"/>
      <c r="JB164" s="30"/>
      <c r="JC164" s="21"/>
      <c r="JD164" s="36"/>
      <c r="JE164" s="21" t="str">
        <f t="shared" si="684"/>
        <v/>
      </c>
      <c r="JF164" s="30"/>
      <c r="JG164" s="21"/>
      <c r="JH164" s="21"/>
      <c r="JI164" s="21"/>
      <c r="JJ164" s="30"/>
      <c r="JK164" s="22"/>
      <c r="JL164" s="22"/>
      <c r="JM164" s="21"/>
      <c r="JN164" s="36"/>
      <c r="JO164" s="21" t="str">
        <f t="shared" si="685"/>
        <v/>
      </c>
      <c r="JP164" s="22"/>
      <c r="JQ164" s="21"/>
      <c r="JR164" s="21"/>
      <c r="JS164" s="21"/>
      <c r="JT164" s="30"/>
      <c r="JU164" s="22"/>
      <c r="JV164" s="22"/>
      <c r="JW164" s="33"/>
      <c r="JX164" s="28" t="str">
        <f t="shared" si="686"/>
        <v/>
      </c>
      <c r="JY164" s="33"/>
      <c r="JZ164" s="28" t="str">
        <f t="shared" si="687"/>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7"/>
        <v>0</v>
      </c>
      <c r="MI164" s="43" t="str">
        <f t="shared" si="698"/>
        <v/>
      </c>
      <c r="MJ164" s="43" t="str">
        <f t="shared" si="699"/>
        <v/>
      </c>
      <c r="MK164" s="43">
        <f t="shared" si="700"/>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701"/>
        <v>6.0285714285710128</v>
      </c>
      <c r="MN164" s="43">
        <f t="shared" si="702"/>
        <v>4</v>
      </c>
      <c r="MO164" s="43">
        <f t="shared" si="703"/>
        <v>2023</v>
      </c>
      <c r="MP164" s="43" t="str">
        <f t="shared" si="704"/>
        <v>II TRIMESTRE AÑO</v>
      </c>
      <c r="MQ164" s="43">
        <f t="shared" si="705"/>
        <v>19.352277704774419</v>
      </c>
      <c r="MR164" s="43">
        <f t="shared" si="706"/>
        <v>0</v>
      </c>
      <c r="MS164" s="43" t="str">
        <f t="shared" si="707"/>
        <v>DE 14 A 19AÑOS</v>
      </c>
      <c r="MT164" s="43">
        <f t="shared" si="708"/>
        <v>0</v>
      </c>
      <c r="MU164" s="43">
        <f t="shared" si="709"/>
        <v>1</v>
      </c>
      <c r="MV164" s="43">
        <f t="shared" si="710"/>
        <v>0</v>
      </c>
      <c r="MW164" s="43">
        <f t="shared" si="711"/>
        <v>0</v>
      </c>
      <c r="MX164" s="43" t="str">
        <f t="shared" si="712"/>
        <v/>
      </c>
      <c r="MY164" s="43" t="str">
        <f t="shared" ca="1" si="688"/>
        <v/>
      </c>
      <c r="MZ164" s="43" t="str">
        <f t="shared" si="713"/>
        <v/>
      </c>
      <c r="NA164" s="43" t="str">
        <f t="shared" si="714"/>
        <v/>
      </c>
      <c r="NB164" s="43" t="str">
        <f t="shared" si="715"/>
        <v/>
      </c>
      <c r="NC164" s="43" t="str">
        <f t="shared" si="716"/>
        <v/>
      </c>
      <c r="ND164" s="43">
        <f t="shared" ca="1" si="717"/>
        <v>1</v>
      </c>
      <c r="NE164" s="43">
        <f>IF(OR(O164&gt;0,R164&gt;0),SUM(COUNTIF(Tabla1[[#This Row],[AÑOS AL INICIO5 CPN]],"&gt;=40"),COUNTIF(AS164,"0"),COUNTIF(AR164,"SI"),COUNTIF(CC164,"SI"),COUNTIF(BQ164,"&gt;119"),COUNTIF(CI164,"&gt;=35")),"")</f>
        <v>0</v>
      </c>
      <c r="NF164" s="43" t="str">
        <f t="shared" si="718"/>
        <v/>
      </c>
      <c r="NG164" s="43">
        <f t="shared" si="719"/>
        <v>0</v>
      </c>
      <c r="NH164" s="43">
        <f t="shared" si="720"/>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21"/>
        <v>#VALUE!</v>
      </c>
      <c r="NM164" s="43" t="str">
        <f t="shared" si="695"/>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2"/>
        <v>I TRIM</v>
      </c>
      <c r="NQ164" s="21" t="str">
        <f t="shared" si="691"/>
        <v/>
      </c>
      <c r="NR164" s="21">
        <f t="shared" ca="1" si="689"/>
        <v>3</v>
      </c>
      <c r="NS164" s="205">
        <f t="shared" ca="1" si="723"/>
        <v>1</v>
      </c>
      <c r="NT164" s="21">
        <f t="shared" ca="1" si="724"/>
        <v>1</v>
      </c>
      <c r="NU164" s="21" t="str">
        <f t="shared" ca="1" si="725"/>
        <v>INCOMPLETO</v>
      </c>
      <c r="NV164" s="21" t="str">
        <f t="shared" ca="1" si="726"/>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7"/>
        <v>SIN VACUNAR</v>
      </c>
      <c r="NY164" s="43">
        <f>ROW(Tabla1[[#This Row],['# DE TAMIZAJES SIFILIS TOMADOS ]])</f>
        <v>164</v>
      </c>
      <c r="NZ164" s="43" t="str">
        <f t="shared" si="502"/>
        <v>Menor</v>
      </c>
      <c r="OA164" s="43" t="str">
        <f t="shared" si="503"/>
        <v>NORMAL</v>
      </c>
      <c r="OB164" s="43" t="str">
        <f t="shared" si="504"/>
        <v/>
      </c>
      <c r="OC164" s="43" t="str">
        <f t="shared" si="505"/>
        <v/>
      </c>
      <c r="OD164" s="43" t="str">
        <f t="shared" si="506"/>
        <v/>
      </c>
      <c r="OE164" s="43" t="str">
        <f t="shared" si="507"/>
        <v/>
      </c>
      <c r="OF164" s="43" t="str">
        <f t="shared" si="508"/>
        <v/>
      </c>
      <c r="OG164" s="43" t="str">
        <f t="shared" si="509"/>
        <v/>
      </c>
      <c r="OH164" s="43" t="str">
        <f t="shared" si="510"/>
        <v/>
      </c>
      <c r="OI164" s="43" t="str">
        <f t="shared" si="511"/>
        <v/>
      </c>
      <c r="OJ164" s="43" t="str">
        <f t="shared" si="512"/>
        <v/>
      </c>
      <c r="OK164" s="43" t="str">
        <f t="shared" si="513"/>
        <v/>
      </c>
      <c r="OL164" s="43" t="str">
        <f t="shared" si="514"/>
        <v/>
      </c>
      <c r="OM164" s="43" t="str">
        <f t="shared" si="515"/>
        <v/>
      </c>
      <c r="ON164" s="43" t="str">
        <f t="shared" si="516"/>
        <v/>
      </c>
      <c r="OO164" s="43" t="str">
        <f t="shared" si="517"/>
        <v/>
      </c>
      <c r="OP164" s="43" t="str">
        <f t="shared" si="518"/>
        <v/>
      </c>
      <c r="OQ164" s="43" t="str">
        <f t="shared" si="519"/>
        <v/>
      </c>
      <c r="OR164" s="43" t="str">
        <f t="shared" si="520"/>
        <v/>
      </c>
      <c r="OS164" s="43" t="str">
        <f t="shared" si="521"/>
        <v/>
      </c>
      <c r="OT164" s="43" t="str">
        <f t="shared" si="522"/>
        <v/>
      </c>
      <c r="OU164" s="43" t="str">
        <f t="shared" si="523"/>
        <v/>
      </c>
      <c r="OV164" s="110" t="str">
        <f t="shared" si="524"/>
        <v/>
      </c>
      <c r="OW164" s="43" t="str">
        <f t="shared" si="525"/>
        <v/>
      </c>
      <c r="OX164" s="43" t="str">
        <f t="shared" si="526"/>
        <v/>
      </c>
      <c r="OY164" s="43" t="str">
        <f t="shared" si="527"/>
        <v/>
      </c>
      <c r="OZ164" s="43" t="str">
        <f t="shared" si="528"/>
        <v/>
      </c>
      <c r="PA164" s="43" t="str">
        <f t="shared" si="529"/>
        <v/>
      </c>
      <c r="PB164" s="43" t="str">
        <f t="shared" si="530"/>
        <v/>
      </c>
      <c r="PC164" s="43" t="str">
        <f t="shared" si="531"/>
        <v/>
      </c>
      <c r="PD164" s="43" t="str">
        <f t="shared" si="532"/>
        <v/>
      </c>
      <c r="PE164" s="43" t="str">
        <f t="shared" si="533"/>
        <v/>
      </c>
      <c r="PF164" s="43" t="str">
        <f t="shared" si="534"/>
        <v/>
      </c>
      <c r="PG164" s="43" t="str">
        <f t="shared" si="535"/>
        <v/>
      </c>
      <c r="PH164" s="43" t="str">
        <f t="shared" si="536"/>
        <v/>
      </c>
      <c r="PI164" s="43">
        <f t="shared" si="537"/>
        <v>16</v>
      </c>
      <c r="PJ164" s="43" t="str">
        <f t="shared" si="538"/>
        <v/>
      </c>
      <c r="PK164" s="43" t="str">
        <f t="shared" si="539"/>
        <v/>
      </c>
      <c r="PL164" s="43" t="str">
        <f t="shared" si="540"/>
        <v/>
      </c>
      <c r="PM164" s="43" t="str">
        <f t="shared" si="541"/>
        <v/>
      </c>
      <c r="PN164" s="43" t="str">
        <f t="shared" si="542"/>
        <v/>
      </c>
      <c r="PO164" s="43" t="str">
        <f t="shared" si="543"/>
        <v/>
      </c>
      <c r="PP164" s="43" t="str">
        <f t="shared" si="544"/>
        <v/>
      </c>
      <c r="PQ164" s="43" t="str">
        <f t="shared" si="545"/>
        <v>NORMAL</v>
      </c>
      <c r="PR164" s="43" t="str">
        <f t="shared" si="546"/>
        <v/>
      </c>
      <c r="PS164" s="43" t="str">
        <f t="shared" si="547"/>
        <v/>
      </c>
      <c r="PT164" s="43" t="str">
        <f t="shared" si="548"/>
        <v/>
      </c>
      <c r="PU164" s="43" t="str">
        <f t="shared" si="549"/>
        <v/>
      </c>
      <c r="PV164" s="43" t="str">
        <f t="shared" si="550"/>
        <v/>
      </c>
      <c r="PW164" s="43" t="str">
        <f t="shared" si="551"/>
        <v/>
      </c>
      <c r="PX164" s="43" t="str">
        <f t="shared" si="552"/>
        <v/>
      </c>
      <c r="PY164" s="43" t="str">
        <f t="shared" si="553"/>
        <v/>
      </c>
      <c r="PZ164" s="43" t="str">
        <f t="shared" si="554"/>
        <v/>
      </c>
      <c r="QA164" s="43" t="str">
        <f t="shared" si="555"/>
        <v/>
      </c>
      <c r="QB164" s="43" t="str">
        <f t="shared" si="556"/>
        <v/>
      </c>
      <c r="QC164" s="43" t="str">
        <f t="shared" si="557"/>
        <v/>
      </c>
      <c r="QD164" s="43" t="str">
        <f t="shared" si="558"/>
        <v/>
      </c>
      <c r="QE164" s="43" t="str">
        <f t="shared" si="559"/>
        <v/>
      </c>
      <c r="QF164" s="43" t="str">
        <f t="shared" si="560"/>
        <v/>
      </c>
      <c r="QG164" s="43" t="str">
        <f t="shared" si="561"/>
        <v/>
      </c>
      <c r="QH164" s="43" t="str">
        <f t="shared" si="562"/>
        <v/>
      </c>
      <c r="QI164" s="43" t="str">
        <f t="shared" si="563"/>
        <v/>
      </c>
      <c r="QJ164" s="43" t="str">
        <f t="shared" si="564"/>
        <v/>
      </c>
      <c r="QK164" s="43" t="str">
        <f t="shared" si="565"/>
        <v/>
      </c>
      <c r="QL164" s="43" t="str">
        <f t="shared" si="566"/>
        <v/>
      </c>
      <c r="QM164" s="43" t="str">
        <f t="shared" si="567"/>
        <v/>
      </c>
      <c r="QN164" s="43" t="str">
        <f t="shared" si="568"/>
        <v/>
      </c>
      <c r="QO164" s="43" t="str">
        <f t="shared" si="569"/>
        <v/>
      </c>
      <c r="QP164" s="43" t="str">
        <f t="shared" si="570"/>
        <v/>
      </c>
      <c r="QQ164" s="43" t="str">
        <f t="shared" si="571"/>
        <v/>
      </c>
      <c r="QR164" s="43">
        <f t="shared" si="672"/>
        <v>16</v>
      </c>
      <c r="QS164" s="43"/>
      <c r="QT164" s="21" t="str">
        <f t="shared" si="572"/>
        <v/>
      </c>
      <c r="QU164" s="21" t="str">
        <f t="shared" si="573"/>
        <v/>
      </c>
      <c r="QV164" s="21" t="str">
        <f t="shared" si="574"/>
        <v/>
      </c>
      <c r="QW164" s="21" t="str">
        <f t="shared" si="575"/>
        <v>ADECUADO PARA EDAD GESTACIONAL</v>
      </c>
      <c r="QX164" s="21" t="str">
        <f t="shared" si="576"/>
        <v/>
      </c>
      <c r="QY164" s="21" t="str">
        <f t="shared" si="577"/>
        <v/>
      </c>
      <c r="QZ164" s="21" t="str">
        <f t="shared" si="578"/>
        <v/>
      </c>
      <c r="RA164" s="21" t="str">
        <f t="shared" si="579"/>
        <v/>
      </c>
      <c r="RB164" s="21" t="str">
        <f t="shared" si="580"/>
        <v/>
      </c>
      <c r="RC164" s="21" t="str">
        <f t="shared" si="581"/>
        <v/>
      </c>
      <c r="RD164" s="21" t="str">
        <f t="shared" si="582"/>
        <v/>
      </c>
      <c r="RE164" s="21" t="str">
        <f t="shared" si="583"/>
        <v/>
      </c>
      <c r="RF164" s="21" t="str">
        <f t="shared" si="584"/>
        <v/>
      </c>
      <c r="RG164" s="21" t="str">
        <f t="shared" si="585"/>
        <v/>
      </c>
      <c r="RH164" s="21" t="str">
        <f t="shared" si="586"/>
        <v/>
      </c>
      <c r="RI164" s="21" t="str">
        <f t="shared" si="587"/>
        <v/>
      </c>
      <c r="RJ164" s="21" t="str">
        <f t="shared" si="588"/>
        <v/>
      </c>
      <c r="RK164" s="21" t="str">
        <f t="shared" si="589"/>
        <v/>
      </c>
      <c r="RL164" s="21" t="str">
        <f t="shared" si="590"/>
        <v/>
      </c>
      <c r="RM164" s="21" t="str">
        <f t="shared" si="591"/>
        <v/>
      </c>
      <c r="RN164" s="21" t="str">
        <f t="shared" si="592"/>
        <v/>
      </c>
      <c r="RO164" s="21" t="str">
        <f t="shared" si="593"/>
        <v/>
      </c>
      <c r="RP164" s="21" t="str">
        <f t="shared" si="594"/>
        <v/>
      </c>
      <c r="RQ164" s="21" t="str">
        <f t="shared" si="595"/>
        <v/>
      </c>
      <c r="RR164" s="21" t="str">
        <f t="shared" si="596"/>
        <v/>
      </c>
      <c r="RS164" s="21" t="str">
        <f t="shared" si="597"/>
        <v/>
      </c>
      <c r="RT164" s="21" t="str">
        <f t="shared" si="598"/>
        <v/>
      </c>
      <c r="RU164" s="21" t="str">
        <f t="shared" si="599"/>
        <v/>
      </c>
      <c r="RV164" s="21">
        <f t="shared" si="600"/>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3"/>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1"/>
        <v>24.342465753424658</v>
      </c>
      <c r="O165" s="22">
        <v>45045</v>
      </c>
      <c r="P165" s="214" t="str">
        <f t="shared" si="675"/>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2"/>
        <v>36.333333333333336</v>
      </c>
      <c r="BR165" s="223">
        <f t="shared" si="603"/>
        <v>44939</v>
      </c>
      <c r="BS165" s="224">
        <f t="shared" si="604"/>
        <v>15.142857142857142</v>
      </c>
      <c r="BT165" s="216" t="str">
        <f t="shared" si="605"/>
        <v>II TRIM</v>
      </c>
      <c r="BU165" s="214">
        <f t="shared" ca="1" si="606"/>
        <v>41.857142857142854</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7"/>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8"/>
        <v>45118</v>
      </c>
      <c r="CL165" s="21">
        <v>54.2</v>
      </c>
      <c r="CM165" s="214">
        <f t="shared" si="609"/>
        <v>25.42690936385814</v>
      </c>
      <c r="CN165" s="216">
        <f t="shared" si="610"/>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90"/>
        <v/>
      </c>
      <c r="DA165" s="21">
        <v>100</v>
      </c>
      <c r="DB165" s="21">
        <v>60</v>
      </c>
      <c r="DC165" s="217" t="str">
        <f t="shared" si="611"/>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6"/>
        <v>CONCERTAR PLAN DE PARTO INMEDIATO</v>
      </c>
      <c r="DV165" s="226" t="str">
        <f t="shared" si="677"/>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2"/>
        <v>#REF!</v>
      </c>
      <c r="DY165" s="212">
        <f>IF(R165="","",IF(R165&gt;0,MAX(Tabla1[[#This Row],[FECHA C2]:[FECHA C13]],Tabla1[[#This Row],[FECHA CONSULTA PRIMERA VEZ PROGRAMA CPN ]])))</f>
        <v>45118</v>
      </c>
      <c r="DZ165" s="216">
        <f t="shared" si="613"/>
        <v>25</v>
      </c>
      <c r="EA165" s="222">
        <f>IF(R165&gt;0,SUM(COUNTA(DF165:DQ165)+COUNTA(Tabla1[[#This Row],[FECHA CONSULTA PRIMERA VEZ PROGRAMA CPN ]])),"")</f>
        <v>2</v>
      </c>
      <c r="EB165" s="222" t="str">
        <f t="shared" si="614"/>
        <v>NO</v>
      </c>
      <c r="EC165" s="214">
        <f t="shared" si="615"/>
        <v>8</v>
      </c>
      <c r="ED165" s="227">
        <f t="shared" si="616"/>
        <v>0.25</v>
      </c>
      <c r="EE165" s="22">
        <v>45045</v>
      </c>
      <c r="EF165" s="22"/>
      <c r="EG165" s="22">
        <v>45045</v>
      </c>
      <c r="EH165" s="22"/>
      <c r="EI165" s="22">
        <v>45045</v>
      </c>
      <c r="EJ165" s="22"/>
      <c r="EK165" s="22"/>
      <c r="EL165" s="21"/>
      <c r="EM165" s="21">
        <v>11.6</v>
      </c>
      <c r="EN165" s="22">
        <v>45121</v>
      </c>
      <c r="EO165" s="222">
        <f t="shared" si="617"/>
        <v>26</v>
      </c>
      <c r="EP165" s="214" t="str">
        <f t="shared" si="618"/>
        <v>NORMAL- SUMINISTRAR SULFATO FERROSO</v>
      </c>
      <c r="EQ165" s="216" t="str">
        <f t="shared" si="619"/>
        <v>II TRIM</v>
      </c>
      <c r="ER165" s="24"/>
      <c r="ES165" s="22"/>
      <c r="ET165" s="29" t="str">
        <f t="shared" ca="1" si="678"/>
        <v>TOMA DE HEMOGLOBINA TARDÍA</v>
      </c>
      <c r="EU165" s="25" t="str">
        <f t="shared" si="620"/>
        <v/>
      </c>
      <c r="EV165" s="24"/>
      <c r="EW165" s="24"/>
      <c r="EX165" s="22"/>
      <c r="EY165" s="29" t="str">
        <f t="shared" si="693"/>
        <v>TOMAR EXAMEN</v>
      </c>
      <c r="EZ165" s="25" t="str">
        <f t="shared" ca="1" si="694"/>
        <v/>
      </c>
      <c r="FA165" s="21"/>
      <c r="FB165" s="22"/>
      <c r="FC165" s="29" t="str">
        <f t="shared" si="621"/>
        <v>TOMAR EXAMEN</v>
      </c>
      <c r="FD165" s="29"/>
      <c r="FE165" s="29"/>
      <c r="FF165" s="29"/>
      <c r="FG165" s="21" t="str">
        <f t="shared" ca="1" si="622"/>
        <v>TOMAR PTOG</v>
      </c>
      <c r="FH165" s="31"/>
      <c r="FI165" s="29" t="str">
        <f t="shared" si="623"/>
        <v>TOMAR EXAMEN</v>
      </c>
      <c r="FJ165" s="22"/>
      <c r="FK165" s="22"/>
      <c r="FL165" s="29" t="str">
        <f t="shared" ca="1" si="624"/>
        <v>NO APLICA-INGRESO TARDIO</v>
      </c>
      <c r="FM165" s="22"/>
      <c r="FN165" s="32"/>
      <c r="FO165" s="29" t="str">
        <f t="shared" ca="1" si="679"/>
        <v>PIERDE TOMA DE TAMIZAJE</v>
      </c>
      <c r="FP165" s="22"/>
      <c r="FQ165" s="32"/>
      <c r="FR165" s="29" t="str">
        <f t="shared" ca="1" si="680"/>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5"/>
        <v>TOMAR EXAMEN</v>
      </c>
      <c r="FY165" s="22"/>
      <c r="FZ165" s="22"/>
      <c r="GA165" s="29" t="str">
        <f t="shared" ca="1" si="692"/>
        <v>NO APLICA-INGRESO TARDIO</v>
      </c>
      <c r="GB165" s="22"/>
      <c r="GC165" s="22"/>
      <c r="GD165" s="29" t="str">
        <f t="shared" ca="1" si="681"/>
        <v>PIERDE TOMA DE TAMIZAJE</v>
      </c>
      <c r="GE165" s="22"/>
      <c r="GF165" s="22"/>
      <c r="GG165" s="29" t="str">
        <f t="shared" ca="1" si="682"/>
        <v>TOMA INMEDIATA DE TAMIZAJE</v>
      </c>
      <c r="GH165" s="22"/>
      <c r="GI165" s="29"/>
      <c r="GJ165" s="22"/>
      <c r="GK165" s="22"/>
      <c r="GL165" s="22"/>
      <c r="GM165" s="22"/>
      <c r="GN165" s="28"/>
      <c r="GO165" s="22"/>
      <c r="GP165" s="29" t="str">
        <f t="shared" si="626"/>
        <v>TOMAR EXAMEN</v>
      </c>
      <c r="GQ165" s="28"/>
      <c r="GR165" s="28"/>
      <c r="GS165" s="22"/>
      <c r="GT165" s="22"/>
      <c r="GU165" s="29" t="str">
        <f t="shared" si="628"/>
        <v>TOMAR EXAMEN</v>
      </c>
      <c r="GV165" s="21" t="str">
        <f t="shared" si="629"/>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30"/>
        <v>#REF!</v>
      </c>
      <c r="HI165" s="22" t="e">
        <f t="shared" ca="1" si="631"/>
        <v>#REF!</v>
      </c>
      <c r="HJ165" s="21" t="str">
        <f t="shared" ca="1" si="632"/>
        <v>***************************EMBARAZO PROLONGADO************</v>
      </c>
      <c r="HK165" s="21" t="str">
        <f t="shared" si="633"/>
        <v>SIN ANTECEDENTES DE RIESGO</v>
      </c>
      <c r="HL165" s="24" t="str">
        <f t="shared" si="634"/>
        <v>APARENTEMENTE NORMAL</v>
      </c>
      <c r="HM165" s="21" t="e">
        <f t="shared" ca="1" si="635"/>
        <v>#REF!</v>
      </c>
      <c r="HN165" s="30" t="str">
        <f t="shared" si="683"/>
        <v>ACTIVA INGRESO A CPN</v>
      </c>
      <c r="HO165" s="21"/>
      <c r="HP165" s="21"/>
      <c r="HQ165" s="349"/>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6"/>
        <v>PENDIENTE CONSULTA</v>
      </c>
      <c r="IA165" s="26"/>
      <c r="IB165" s="26"/>
      <c r="IC165" s="111">
        <v>45118</v>
      </c>
      <c r="ID165" s="111">
        <v>45118</v>
      </c>
      <c r="IE165" s="22" t="str">
        <f t="shared" ca="1" si="637"/>
        <v>VACUNA APLICADA ENTRE SEMANA 20 Y SEMANA 26</v>
      </c>
      <c r="IF165" s="22"/>
      <c r="IG165" s="22">
        <f t="shared" si="638"/>
        <v>45219</v>
      </c>
      <c r="IH165" s="29">
        <f t="shared" ca="1" si="639"/>
        <v>-13</v>
      </c>
      <c r="II165" s="22" t="str">
        <f t="shared" ca="1" si="640"/>
        <v>POSIBLEMENTE NACIO</v>
      </c>
      <c r="IJ165" s="22"/>
      <c r="IK165" s="21"/>
      <c r="IL165" s="21"/>
      <c r="IM165" s="34"/>
      <c r="IN165" s="22"/>
      <c r="IO165" s="21"/>
      <c r="IP165" s="29" t="str">
        <f t="shared" si="674"/>
        <v/>
      </c>
      <c r="IQ165" s="35"/>
      <c r="IR165" s="21"/>
      <c r="IS165" s="21"/>
      <c r="IT165" s="21"/>
      <c r="IU165" s="21"/>
      <c r="IV165" s="21"/>
      <c r="IW165" s="21"/>
      <c r="IX165" s="21"/>
      <c r="IY165" s="21"/>
      <c r="IZ165" s="21"/>
      <c r="JA165" s="21"/>
      <c r="JB165" s="30"/>
      <c r="JC165" s="21"/>
      <c r="JD165" s="36"/>
      <c r="JE165" s="21" t="str">
        <f t="shared" si="684"/>
        <v/>
      </c>
      <c r="JF165" s="30"/>
      <c r="JG165" s="21"/>
      <c r="JH165" s="21"/>
      <c r="JI165" s="21"/>
      <c r="JJ165" s="30"/>
      <c r="JK165" s="22"/>
      <c r="JL165" s="22"/>
      <c r="JM165" s="21"/>
      <c r="JN165" s="36"/>
      <c r="JO165" s="21" t="str">
        <f t="shared" si="685"/>
        <v/>
      </c>
      <c r="JP165" s="22"/>
      <c r="JQ165" s="21"/>
      <c r="JR165" s="21"/>
      <c r="JS165" s="21"/>
      <c r="JT165" s="30"/>
      <c r="JU165" s="22"/>
      <c r="JV165" s="22"/>
      <c r="JW165" s="33"/>
      <c r="JX165" s="28" t="str">
        <f t="shared" si="686"/>
        <v/>
      </c>
      <c r="JY165" s="33"/>
      <c r="JZ165" s="28" t="str">
        <f t="shared" si="687"/>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7"/>
        <v>0</v>
      </c>
      <c r="MI165" s="43" t="str">
        <f t="shared" si="698"/>
        <v/>
      </c>
      <c r="MJ165" s="43" t="str">
        <f t="shared" si="699"/>
        <v/>
      </c>
      <c r="MK165" s="43">
        <f t="shared" si="700"/>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701"/>
        <v>15.142857142857142</v>
      </c>
      <c r="MN165" s="43">
        <f t="shared" si="702"/>
        <v>4</v>
      </c>
      <c r="MO165" s="43">
        <f t="shared" si="703"/>
        <v>2023</v>
      </c>
      <c r="MP165" s="43" t="str">
        <f t="shared" si="704"/>
        <v>II TRIMESTRE AÑO</v>
      </c>
      <c r="MQ165" s="43">
        <f t="shared" si="705"/>
        <v>23.469667104686817</v>
      </c>
      <c r="MR165" s="43">
        <f t="shared" si="706"/>
        <v>0</v>
      </c>
      <c r="MS165" s="43" t="str">
        <f t="shared" si="707"/>
        <v xml:space="preserve"> DE 20 A 24 AÑOS</v>
      </c>
      <c r="MT165" s="43">
        <f t="shared" si="708"/>
        <v>0</v>
      </c>
      <c r="MU165" s="43">
        <f t="shared" si="709"/>
        <v>0</v>
      </c>
      <c r="MV165" s="43">
        <f t="shared" si="710"/>
        <v>0</v>
      </c>
      <c r="MW165" s="43">
        <f t="shared" si="711"/>
        <v>0</v>
      </c>
      <c r="MX165" s="43" t="str">
        <f t="shared" si="712"/>
        <v/>
      </c>
      <c r="MY165" s="43">
        <f t="shared" ca="1" si="688"/>
        <v>1</v>
      </c>
      <c r="MZ165" s="43" t="str">
        <f t="shared" si="713"/>
        <v/>
      </c>
      <c r="NA165" s="43">
        <f t="shared" si="714"/>
        <v>0</v>
      </c>
      <c r="NB165" s="43" t="str">
        <f t="shared" si="715"/>
        <v/>
      </c>
      <c r="NC165" s="43" t="str">
        <f t="shared" si="716"/>
        <v/>
      </c>
      <c r="ND165" s="43">
        <f t="shared" ca="1" si="717"/>
        <v>1</v>
      </c>
      <c r="NE165" s="43">
        <f>IF(OR(O165&gt;0,R165&gt;0),SUM(COUNTIF(Tabla1[[#This Row],[AÑOS AL INICIO5 CPN]],"&gt;=40"),COUNTIF(AS165,"0"),COUNTIF(AR165,"SI"),COUNTIF(CC165,"SI"),COUNTIF(BQ165,"&gt;119"),COUNTIF(CI165,"&gt;=35")),"")</f>
        <v>0</v>
      </c>
      <c r="NF165" s="43">
        <f t="shared" si="718"/>
        <v>25.571428571428573</v>
      </c>
      <c r="NG165" s="43">
        <f t="shared" si="719"/>
        <v>0</v>
      </c>
      <c r="NH165" s="43">
        <f t="shared" si="720"/>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21"/>
        <v>X</v>
      </c>
      <c r="NM165" s="43" t="str">
        <f t="shared" si="695"/>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2"/>
        <v>II TRIM</v>
      </c>
      <c r="NQ165" s="21">
        <f t="shared" si="691"/>
        <v>10</v>
      </c>
      <c r="NR165" s="21">
        <f t="shared" ca="1" si="689"/>
        <v>2</v>
      </c>
      <c r="NS165" s="205">
        <f t="shared" ca="1" si="723"/>
        <v>0</v>
      </c>
      <c r="NT165" s="21">
        <f t="shared" ca="1" si="724"/>
        <v>0</v>
      </c>
      <c r="NU165" s="21" t="str">
        <f t="shared" ca="1" si="725"/>
        <v>INCOMPLETO</v>
      </c>
      <c r="NV165" s="21" t="str">
        <f t="shared" ca="1" si="726"/>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7"/>
        <v>VACUNADA</v>
      </c>
      <c r="NY165" s="43">
        <f>ROW(Tabla1[[#This Row],['# DE TAMIZAJES SIFILIS TOMADOS ]])</f>
        <v>165</v>
      </c>
      <c r="NZ165" s="43">
        <f t="shared" si="502"/>
        <v>15</v>
      </c>
      <c r="OA165" s="43" t="str">
        <f t="shared" si="503"/>
        <v/>
      </c>
      <c r="OB165" s="43" t="str">
        <f t="shared" si="504"/>
        <v/>
      </c>
      <c r="OC165" s="43" t="str">
        <f t="shared" si="505"/>
        <v/>
      </c>
      <c r="OD165" s="43" t="str">
        <f t="shared" si="506"/>
        <v/>
      </c>
      <c r="OE165" s="43" t="str">
        <f t="shared" si="507"/>
        <v/>
      </c>
      <c r="OF165" s="43" t="str">
        <f t="shared" si="508"/>
        <v/>
      </c>
      <c r="OG165" s="43" t="str">
        <f t="shared" si="509"/>
        <v>NORMAL</v>
      </c>
      <c r="OH165" s="43" t="str">
        <f t="shared" si="510"/>
        <v/>
      </c>
      <c r="OI165" s="43" t="str">
        <f t="shared" si="511"/>
        <v/>
      </c>
      <c r="OJ165" s="43" t="str">
        <f t="shared" si="512"/>
        <v/>
      </c>
      <c r="OK165" s="43" t="str">
        <f t="shared" si="513"/>
        <v/>
      </c>
      <c r="OL165" s="43" t="str">
        <f t="shared" si="514"/>
        <v/>
      </c>
      <c r="OM165" s="43" t="str">
        <f t="shared" si="515"/>
        <v/>
      </c>
      <c r="ON165" s="43" t="str">
        <f t="shared" si="516"/>
        <v/>
      </c>
      <c r="OO165" s="43" t="str">
        <f t="shared" si="517"/>
        <v/>
      </c>
      <c r="OP165" s="43" t="str">
        <f t="shared" si="518"/>
        <v/>
      </c>
      <c r="OQ165" s="43" t="str">
        <f t="shared" si="519"/>
        <v/>
      </c>
      <c r="OR165" s="43" t="str">
        <f t="shared" si="520"/>
        <v/>
      </c>
      <c r="OS165" s="43" t="str">
        <f t="shared" si="521"/>
        <v/>
      </c>
      <c r="OT165" s="43" t="str">
        <f t="shared" si="522"/>
        <v/>
      </c>
      <c r="OU165" s="43" t="str">
        <f t="shared" si="523"/>
        <v/>
      </c>
      <c r="OV165" s="110" t="str">
        <f t="shared" si="524"/>
        <v/>
      </c>
      <c r="OW165" s="43" t="str">
        <f t="shared" si="525"/>
        <v/>
      </c>
      <c r="OX165" s="43" t="str">
        <f t="shared" si="526"/>
        <v/>
      </c>
      <c r="OY165" s="43" t="str">
        <f t="shared" si="527"/>
        <v/>
      </c>
      <c r="OZ165" s="43" t="str">
        <f t="shared" si="528"/>
        <v/>
      </c>
      <c r="PA165" s="43" t="str">
        <f t="shared" si="529"/>
        <v/>
      </c>
      <c r="PB165" s="43" t="str">
        <f t="shared" si="530"/>
        <v/>
      </c>
      <c r="PC165" s="43" t="str">
        <f t="shared" si="531"/>
        <v/>
      </c>
      <c r="PD165" s="43" t="str">
        <f t="shared" si="532"/>
        <v/>
      </c>
      <c r="PE165" s="43" t="str">
        <f t="shared" si="533"/>
        <v/>
      </c>
      <c r="PF165" s="43" t="str">
        <f t="shared" si="534"/>
        <v/>
      </c>
      <c r="PG165" s="43" t="str">
        <f t="shared" si="535"/>
        <v/>
      </c>
      <c r="PH165" s="43" t="str">
        <f t="shared" si="536"/>
        <v/>
      </c>
      <c r="PI165" s="43">
        <f t="shared" si="537"/>
        <v>25</v>
      </c>
      <c r="PJ165" s="43" t="str">
        <f t="shared" si="538"/>
        <v/>
      </c>
      <c r="PK165" s="43" t="str">
        <f t="shared" si="539"/>
        <v/>
      </c>
      <c r="PL165" s="43" t="str">
        <f t="shared" si="540"/>
        <v/>
      </c>
      <c r="PM165" s="43" t="str">
        <f t="shared" si="541"/>
        <v/>
      </c>
      <c r="PN165" s="43" t="str">
        <f t="shared" si="542"/>
        <v/>
      </c>
      <c r="PO165" s="43" t="str">
        <f t="shared" si="543"/>
        <v/>
      </c>
      <c r="PP165" s="43" t="str">
        <f t="shared" si="544"/>
        <v/>
      </c>
      <c r="PQ165" s="43" t="str">
        <f t="shared" si="545"/>
        <v/>
      </c>
      <c r="PR165" s="43" t="str">
        <f t="shared" si="546"/>
        <v/>
      </c>
      <c r="PS165" s="43" t="str">
        <f t="shared" si="547"/>
        <v/>
      </c>
      <c r="PT165" s="43" t="str">
        <f t="shared" si="548"/>
        <v/>
      </c>
      <c r="PU165" s="43" t="str">
        <f t="shared" si="549"/>
        <v/>
      </c>
      <c r="PV165" s="43" t="str">
        <f t="shared" si="550"/>
        <v/>
      </c>
      <c r="PW165" s="43" t="str">
        <f t="shared" si="551"/>
        <v/>
      </c>
      <c r="PX165" s="43" t="str">
        <f t="shared" si="552"/>
        <v/>
      </c>
      <c r="PY165" s="43" t="str">
        <f t="shared" si="553"/>
        <v/>
      </c>
      <c r="PZ165" s="43" t="str">
        <f t="shared" si="554"/>
        <v>NORMAL</v>
      </c>
      <c r="QA165" s="43" t="str">
        <f t="shared" si="555"/>
        <v/>
      </c>
      <c r="QB165" s="43" t="str">
        <f t="shared" si="556"/>
        <v/>
      </c>
      <c r="QC165" s="43" t="str">
        <f t="shared" si="557"/>
        <v/>
      </c>
      <c r="QD165" s="43" t="str">
        <f t="shared" si="558"/>
        <v/>
      </c>
      <c r="QE165" s="43" t="str">
        <f t="shared" si="559"/>
        <v/>
      </c>
      <c r="QF165" s="43" t="str">
        <f t="shared" si="560"/>
        <v/>
      </c>
      <c r="QG165" s="43" t="str">
        <f t="shared" si="561"/>
        <v/>
      </c>
      <c r="QH165" s="43" t="str">
        <f t="shared" si="562"/>
        <v/>
      </c>
      <c r="QI165" s="43" t="str">
        <f t="shared" si="563"/>
        <v/>
      </c>
      <c r="QJ165" s="43" t="str">
        <f t="shared" si="564"/>
        <v/>
      </c>
      <c r="QK165" s="43" t="str">
        <f t="shared" si="565"/>
        <v/>
      </c>
      <c r="QL165" s="43" t="str">
        <f t="shared" si="566"/>
        <v/>
      </c>
      <c r="QM165" s="43" t="str">
        <f t="shared" si="567"/>
        <v/>
      </c>
      <c r="QN165" s="43" t="str">
        <f t="shared" si="568"/>
        <v/>
      </c>
      <c r="QO165" s="43" t="str">
        <f t="shared" si="569"/>
        <v/>
      </c>
      <c r="QP165" s="43" t="str">
        <f t="shared" si="570"/>
        <v/>
      </c>
      <c r="QQ165" s="43" t="str">
        <f t="shared" si="571"/>
        <v/>
      </c>
      <c r="QR165" s="43">
        <f t="shared" si="672"/>
        <v>25</v>
      </c>
      <c r="QS165" s="43"/>
      <c r="QT165" s="21" t="str">
        <f t="shared" si="572"/>
        <v/>
      </c>
      <c r="QU165" s="21" t="str">
        <f t="shared" si="573"/>
        <v/>
      </c>
      <c r="QV165" s="21" t="str">
        <f t="shared" si="574"/>
        <v/>
      </c>
      <c r="QW165" s="21" t="str">
        <f t="shared" si="575"/>
        <v/>
      </c>
      <c r="QX165" s="21" t="str">
        <f t="shared" si="576"/>
        <v/>
      </c>
      <c r="QY165" s="21" t="str">
        <f t="shared" si="577"/>
        <v/>
      </c>
      <c r="QZ165" s="21" t="str">
        <f t="shared" si="578"/>
        <v/>
      </c>
      <c r="RA165" s="21" t="str">
        <f t="shared" si="579"/>
        <v/>
      </c>
      <c r="RB165" s="21" t="str">
        <f t="shared" si="580"/>
        <v/>
      </c>
      <c r="RC165" s="21" t="str">
        <f t="shared" si="581"/>
        <v/>
      </c>
      <c r="RD165" s="21" t="str">
        <f t="shared" si="582"/>
        <v/>
      </c>
      <c r="RE165" s="21" t="str">
        <f t="shared" si="583"/>
        <v/>
      </c>
      <c r="RF165" s="21" t="str">
        <f t="shared" si="584"/>
        <v>ALTO PARA EDAD GESTACIONAL</v>
      </c>
      <c r="RG165" s="21" t="str">
        <f t="shared" si="585"/>
        <v/>
      </c>
      <c r="RH165" s="21" t="str">
        <f t="shared" si="586"/>
        <v/>
      </c>
      <c r="RI165" s="21" t="str">
        <f t="shared" si="587"/>
        <v/>
      </c>
      <c r="RJ165" s="21" t="str">
        <f t="shared" si="588"/>
        <v/>
      </c>
      <c r="RK165" s="21" t="str">
        <f t="shared" si="589"/>
        <v/>
      </c>
      <c r="RL165" s="21" t="str">
        <f t="shared" si="590"/>
        <v/>
      </c>
      <c r="RM165" s="21" t="str">
        <f t="shared" si="591"/>
        <v/>
      </c>
      <c r="RN165" s="21" t="str">
        <f t="shared" si="592"/>
        <v/>
      </c>
      <c r="RO165" s="21" t="str">
        <f t="shared" si="593"/>
        <v/>
      </c>
      <c r="RP165" s="21" t="str">
        <f t="shared" si="594"/>
        <v/>
      </c>
      <c r="RQ165" s="21" t="str">
        <f t="shared" si="595"/>
        <v/>
      </c>
      <c r="RR165" s="21" t="str">
        <f t="shared" si="596"/>
        <v/>
      </c>
      <c r="RS165" s="21" t="str">
        <f t="shared" si="597"/>
        <v/>
      </c>
      <c r="RT165" s="21" t="str">
        <f t="shared" si="598"/>
        <v/>
      </c>
      <c r="RU165" s="21" t="str">
        <f t="shared" si="599"/>
        <v/>
      </c>
      <c r="RV165" s="21">
        <f t="shared" si="600"/>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3"/>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1"/>
        <v>31.972602739726028</v>
      </c>
      <c r="O166" s="22">
        <v>45044</v>
      </c>
      <c r="P166" s="214" t="str">
        <f t="shared" si="675"/>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2"/>
        <v>52.1</v>
      </c>
      <c r="BR166" s="223" t="str">
        <f t="shared" si="603"/>
        <v/>
      </c>
      <c r="BS166" s="224">
        <f t="shared" si="604"/>
        <v>25.714285714285715</v>
      </c>
      <c r="BT166" s="216" t="str">
        <f t="shared" si="605"/>
        <v>II TRIM</v>
      </c>
      <c r="BU166" s="214" t="str">
        <f t="shared" ca="1" si="606"/>
        <v/>
      </c>
      <c r="BV166" s="25"/>
      <c r="BW166" s="22"/>
      <c r="BX166" s="28"/>
      <c r="BY166" s="28"/>
      <c r="BZ166" s="22"/>
      <c r="CA166" s="21"/>
      <c r="CB166" s="26"/>
      <c r="CC166" s="26"/>
      <c r="CD166" s="26"/>
      <c r="CE166" s="26"/>
      <c r="CF166" s="22" t="s">
        <v>1517</v>
      </c>
      <c r="CG166" s="21">
        <v>1.46</v>
      </c>
      <c r="CH166" s="21">
        <v>60.1</v>
      </c>
      <c r="CI166" s="214">
        <f t="shared" si="607"/>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8"/>
        <v>45044</v>
      </c>
      <c r="CL166" s="21"/>
      <c r="CM166" s="214">
        <f t="shared" si="609"/>
        <v>0</v>
      </c>
      <c r="CN166" s="216">
        <f t="shared" si="610"/>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90"/>
        <v/>
      </c>
      <c r="DA166" s="21"/>
      <c r="DB166" s="21"/>
      <c r="DC166" s="217" t="str">
        <f t="shared" si="611"/>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6"/>
        <v>SALE SIN PLAN DE PARTO</v>
      </c>
      <c r="DV166" s="226" t="str">
        <f t="shared" si="677"/>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2"/>
        <v/>
      </c>
      <c r="DY166" s="212">
        <f>IF(R166="","",IF(R166&gt;0,MAX(Tabla1[[#This Row],[FECHA C2]:[FECHA C13]],Tabla1[[#This Row],[FECHA CONSULTA PRIMERA VEZ PROGRAMA CPN ]])))</f>
        <v>45044</v>
      </c>
      <c r="DZ166" s="216">
        <f t="shared" si="613"/>
        <v>25</v>
      </c>
      <c r="EA166" s="222">
        <f>IF(R166&gt;0,SUM(COUNTA(DF166:DQ166)+COUNTA(Tabla1[[#This Row],[FECHA CONSULTA PRIMERA VEZ PROGRAMA CPN ]])),"")</f>
        <v>2</v>
      </c>
      <c r="EB166" s="222" t="str">
        <f t="shared" si="614"/>
        <v>NO</v>
      </c>
      <c r="EC166" s="214">
        <f t="shared" si="615"/>
        <v>5</v>
      </c>
      <c r="ED166" s="227">
        <f t="shared" si="616"/>
        <v>0.4</v>
      </c>
      <c r="EE166" s="22">
        <v>44995</v>
      </c>
      <c r="EF166" s="22">
        <v>44995</v>
      </c>
      <c r="EG166" s="22">
        <v>44995</v>
      </c>
      <c r="EH166" s="22"/>
      <c r="EI166" s="22">
        <v>44995</v>
      </c>
      <c r="EJ166" s="22"/>
      <c r="EK166" s="22"/>
      <c r="EL166" s="21"/>
      <c r="EM166" s="21"/>
      <c r="EN166" s="22"/>
      <c r="EO166" s="222" t="str">
        <f t="shared" si="617"/>
        <v>TOMAR EXAMEN</v>
      </c>
      <c r="EP166" s="214" t="str">
        <f t="shared" si="618"/>
        <v/>
      </c>
      <c r="EQ166" s="216" t="str">
        <f t="shared" si="619"/>
        <v>POR DEFINIR</v>
      </c>
      <c r="ER166" s="24"/>
      <c r="ES166" s="22"/>
      <c r="ET166" s="29" t="str">
        <f t="shared" ca="1" si="678"/>
        <v>SALE SIN TAMIZAJE HEMOGLOBINA SEM 28</v>
      </c>
      <c r="EU166" s="25" t="str">
        <f t="shared" si="620"/>
        <v/>
      </c>
      <c r="EV166" s="24"/>
      <c r="EW166" s="24"/>
      <c r="EX166" s="22"/>
      <c r="EY166" s="29" t="str">
        <f t="shared" si="693"/>
        <v>TOMAR EXAMEN</v>
      </c>
      <c r="EZ166" s="25" t="str">
        <f t="shared" ca="1" si="694"/>
        <v/>
      </c>
      <c r="FA166" s="21"/>
      <c r="FB166" s="22"/>
      <c r="FC166" s="29" t="str">
        <f t="shared" si="621"/>
        <v>PIERDE TOMA TAMIZAJE- INGRESO TARDIO</v>
      </c>
      <c r="FD166" s="29"/>
      <c r="FE166" s="29"/>
      <c r="FF166" s="29"/>
      <c r="FG166" s="21" t="str">
        <f t="shared" ca="1" si="622"/>
        <v/>
      </c>
      <c r="FH166" s="31"/>
      <c r="FI166" s="29" t="str">
        <f t="shared" si="623"/>
        <v>TOMAR EXAMEN</v>
      </c>
      <c r="FJ166" s="22"/>
      <c r="FK166" s="22"/>
      <c r="FL166" s="29" t="str">
        <f t="shared" ca="1" si="624"/>
        <v>NO APLICA-INGRESO TARDIO</v>
      </c>
      <c r="FM166" s="22"/>
      <c r="FN166" s="32"/>
      <c r="FO166" s="29" t="str">
        <f t="shared" ca="1" si="679"/>
        <v>PIERDE TOMA DE TAMIZAJE</v>
      </c>
      <c r="FP166" s="22"/>
      <c r="FQ166" s="32"/>
      <c r="FR166" s="29" t="str">
        <f t="shared" ca="1" si="680"/>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5"/>
        <v>TOMAR EXAMEN</v>
      </c>
      <c r="FY166" s="22"/>
      <c r="FZ166" s="22"/>
      <c r="GA166" s="29" t="str">
        <f t="shared" ca="1" si="692"/>
        <v>NO APLICA-INGRESO TARDIO</v>
      </c>
      <c r="GB166" s="22"/>
      <c r="GC166" s="22"/>
      <c r="GD166" s="29" t="str">
        <f t="shared" ca="1" si="681"/>
        <v>PIERDE TOMA DE TAMIZAJE</v>
      </c>
      <c r="GE166" s="22"/>
      <c r="GF166" s="22"/>
      <c r="GG166" s="29" t="str">
        <f t="shared" ca="1" si="682"/>
        <v>PIERDE TOMA DE TAMIZAJE</v>
      </c>
      <c r="GH166" s="22"/>
      <c r="GI166" s="29"/>
      <c r="GJ166" s="22"/>
      <c r="GK166" s="22"/>
      <c r="GL166" s="22"/>
      <c r="GM166" s="22"/>
      <c r="GN166" s="28"/>
      <c r="GO166" s="22"/>
      <c r="GP166" s="29" t="str">
        <f t="shared" si="626"/>
        <v>TOMAR EXAMEN</v>
      </c>
      <c r="GQ166" s="28"/>
      <c r="GR166" s="28"/>
      <c r="GS166" s="22" t="str">
        <f t="shared" ref="GS166:GS224" si="728">IF(GQ166="NEGATIVO","CONTROL Igm",IF(AND(GQ166="POSITIVO",GR166="NEGATIVO"),"SE EXCLUYE INFECCION",IF(AND(GQ166="POSITIVO",GR166="POSITIVO"),"TOXOPLASMOSIS, REMITIR PARA MANEJO","")))</f>
        <v/>
      </c>
      <c r="GT166" s="22"/>
      <c r="GU166" s="29" t="str">
        <f t="shared" si="628"/>
        <v>TOMAR EXAMEN</v>
      </c>
      <c r="GV166" s="21" t="str">
        <f t="shared" si="629"/>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30"/>
        <v>#REF!</v>
      </c>
      <c r="HI166" s="22" t="e">
        <f t="shared" ca="1" si="631"/>
        <v>#REF!</v>
      </c>
      <c r="HJ166" s="21" t="str">
        <f t="shared" ca="1" si="632"/>
        <v>*********************MULTIPARIDAD******************</v>
      </c>
      <c r="HK166" s="21" t="str">
        <f t="shared" si="633"/>
        <v>SIN ANTECEDENTES DE RIESGO</v>
      </c>
      <c r="HL166" s="24" t="str">
        <f t="shared" si="634"/>
        <v>REGISTRE DATO PRESIÓN ARTERIAL MENSUAL</v>
      </c>
      <c r="HM166" s="21" t="str">
        <f t="shared" ca="1" si="635"/>
        <v/>
      </c>
      <c r="HN166" s="30" t="str">
        <f t="shared" si="683"/>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6"/>
        <v>PENDIENTE CONSULTA</v>
      </c>
      <c r="IA166" s="26"/>
      <c r="IB166" s="26"/>
      <c r="IC166" s="111"/>
      <c r="ID166" s="22"/>
      <c r="IE166" s="22" t="str">
        <f t="shared" ca="1" si="637"/>
        <v>SALE SIN VACUNA</v>
      </c>
      <c r="IF166" s="22"/>
      <c r="IG166" s="22">
        <f t="shared" si="638"/>
        <v>45144</v>
      </c>
      <c r="IH166" s="29">
        <f t="shared" ca="1" si="639"/>
        <v>-88</v>
      </c>
      <c r="II166" s="22" t="str">
        <f t="shared" ca="1" si="640"/>
        <v>POSIBLEMENTE NACIO</v>
      </c>
      <c r="IJ166" s="22"/>
      <c r="IK166" s="21" t="s">
        <v>898</v>
      </c>
      <c r="IL166" s="21"/>
      <c r="IM166" s="34"/>
      <c r="IN166" s="349">
        <v>45111</v>
      </c>
      <c r="IO166" s="21" t="s">
        <v>1186</v>
      </c>
      <c r="IP166" s="29">
        <f t="shared" si="674"/>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4"/>
        <v>ERROR VERIFICAR DATO EDAD GESTACIONAL VS PESO</v>
      </c>
      <c r="JF166" s="30"/>
      <c r="JG166" s="21"/>
      <c r="JH166" s="21"/>
      <c r="JI166" s="309" t="s">
        <v>854</v>
      </c>
      <c r="JJ166" s="329" t="s">
        <v>866</v>
      </c>
      <c r="JK166" s="22"/>
      <c r="JL166" s="22"/>
      <c r="JM166" s="21"/>
      <c r="JN166" s="36"/>
      <c r="JO166" s="21" t="str">
        <f t="shared" si="685"/>
        <v/>
      </c>
      <c r="JP166" s="22"/>
      <c r="JQ166" s="21"/>
      <c r="JR166" s="21"/>
      <c r="JS166" s="21"/>
      <c r="JT166" s="30"/>
      <c r="JU166" s="22"/>
      <c r="JV166" s="22"/>
      <c r="JW166" s="33"/>
      <c r="JX166" s="28" t="str">
        <f t="shared" si="686"/>
        <v>INASISTENTE</v>
      </c>
      <c r="JY166" s="33"/>
      <c r="JZ166" s="28" t="str">
        <f t="shared" si="687"/>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7"/>
        <v>0</v>
      </c>
      <c r="MI166" s="43" t="str">
        <f t="shared" si="698"/>
        <v/>
      </c>
      <c r="MJ166" s="43" t="str">
        <f t="shared" si="699"/>
        <v/>
      </c>
      <c r="MK166" s="43">
        <f t="shared" si="700"/>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701"/>
        <v>25.714285714285715</v>
      </c>
      <c r="MN166" s="43">
        <f t="shared" si="702"/>
        <v>4</v>
      </c>
      <c r="MO166" s="43">
        <f t="shared" si="703"/>
        <v>2023</v>
      </c>
      <c r="MP166" s="43" t="str">
        <f t="shared" si="704"/>
        <v>II TRIMESTRE AÑO</v>
      </c>
      <c r="MQ166" s="43">
        <f t="shared" si="705"/>
        <v>30.984450284713095</v>
      </c>
      <c r="MR166" s="43">
        <f t="shared" si="706"/>
        <v>0</v>
      </c>
      <c r="MS166" s="43" t="str">
        <f t="shared" si="707"/>
        <v xml:space="preserve"> DE 30 A 34 AÑOS</v>
      </c>
      <c r="MT166" s="43">
        <f t="shared" si="708"/>
        <v>0</v>
      </c>
      <c r="MU166" s="43">
        <f t="shared" si="709"/>
        <v>2</v>
      </c>
      <c r="MV166" s="43">
        <f t="shared" si="710"/>
        <v>0</v>
      </c>
      <c r="MW166" s="43">
        <f t="shared" si="711"/>
        <v>0</v>
      </c>
      <c r="MX166" s="43" t="str">
        <f t="shared" si="712"/>
        <v/>
      </c>
      <c r="MY166" s="43" t="str">
        <f t="shared" ca="1" si="688"/>
        <v/>
      </c>
      <c r="MZ166" s="43" t="str">
        <f t="shared" si="713"/>
        <v/>
      </c>
      <c r="NA166" s="43" t="str">
        <f t="shared" si="714"/>
        <v/>
      </c>
      <c r="NB166" s="43" t="str">
        <f t="shared" si="715"/>
        <v/>
      </c>
      <c r="NC166" s="43" t="str">
        <f t="shared" si="716"/>
        <v/>
      </c>
      <c r="ND166" s="43">
        <f t="shared" ca="1" si="717"/>
        <v>2</v>
      </c>
      <c r="NE166" s="43">
        <f>IF(OR(O166&gt;0,R166&gt;0),SUM(COUNTIF(Tabla1[[#This Row],[AÑOS AL INICIO5 CPN]],"&gt;=40"),COUNTIF(AS166,"0"),COUNTIF(AR166,"SI"),COUNTIF(CC166,"SI"),COUNTIF(BQ166,"&gt;119"),COUNTIF(CI166,"&gt;=35")),"")</f>
        <v>0</v>
      </c>
      <c r="NF166" s="43" t="str">
        <f t="shared" si="718"/>
        <v/>
      </c>
      <c r="NG166" s="43">
        <f t="shared" si="719"/>
        <v>0</v>
      </c>
      <c r="NH166" s="43" t="str">
        <f t="shared" si="720"/>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21"/>
        <v>X</v>
      </c>
      <c r="NM166" s="43" t="str">
        <f t="shared" si="695"/>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2"/>
        <v>II TRIM</v>
      </c>
      <c r="NQ166" s="21">
        <f t="shared" si="691"/>
        <v>10</v>
      </c>
      <c r="NR166" s="21">
        <f t="shared" si="689"/>
        <v>2</v>
      </c>
      <c r="NS166" s="205">
        <f t="shared" ca="1" si="723"/>
        <v>0</v>
      </c>
      <c r="NT166" s="21">
        <f t="shared" ca="1" si="724"/>
        <v>0</v>
      </c>
      <c r="NU166" s="21" t="str">
        <f t="shared" ca="1" si="725"/>
        <v>INCOMPLETO</v>
      </c>
      <c r="NV166" s="21" t="str">
        <f t="shared" ca="1" si="726"/>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7"/>
        <v>SIN VACUNAR</v>
      </c>
      <c r="NY166" s="43">
        <f>ROW(Tabla1[[#This Row],['# DE TAMIZAJES SIFILIS TOMADOS ]])</f>
        <v>166</v>
      </c>
      <c r="NZ166" s="43">
        <f t="shared" si="502"/>
        <v>25</v>
      </c>
      <c r="OA166" s="43" t="str">
        <f t="shared" si="503"/>
        <v/>
      </c>
      <c r="OB166" s="43" t="str">
        <f t="shared" si="504"/>
        <v/>
      </c>
      <c r="OC166" s="43" t="str">
        <f t="shared" si="505"/>
        <v/>
      </c>
      <c r="OD166" s="43" t="str">
        <f t="shared" si="506"/>
        <v/>
      </c>
      <c r="OE166" s="43" t="str">
        <f t="shared" si="507"/>
        <v/>
      </c>
      <c r="OF166" s="43" t="str">
        <f t="shared" si="508"/>
        <v/>
      </c>
      <c r="OG166" s="43" t="str">
        <f t="shared" si="509"/>
        <v/>
      </c>
      <c r="OH166" s="43" t="str">
        <f t="shared" si="510"/>
        <v/>
      </c>
      <c r="OI166" s="43" t="str">
        <f t="shared" si="511"/>
        <v/>
      </c>
      <c r="OJ166" s="43" t="str">
        <f t="shared" si="512"/>
        <v/>
      </c>
      <c r="OK166" s="43" t="str">
        <f t="shared" si="513"/>
        <v/>
      </c>
      <c r="OL166" s="43" t="str">
        <f t="shared" si="514"/>
        <v/>
      </c>
      <c r="OM166" s="43" t="str">
        <f t="shared" si="515"/>
        <v/>
      </c>
      <c r="ON166" s="43" t="str">
        <f t="shared" si="516"/>
        <v/>
      </c>
      <c r="OO166" s="43" t="str">
        <f t="shared" si="517"/>
        <v/>
      </c>
      <c r="OP166" s="43" t="str">
        <f t="shared" si="518"/>
        <v/>
      </c>
      <c r="OQ166" s="43" t="str">
        <f t="shared" si="519"/>
        <v>SOBREPESO</v>
      </c>
      <c r="OR166" s="43" t="str">
        <f t="shared" si="520"/>
        <v/>
      </c>
      <c r="OS166" s="43" t="str">
        <f t="shared" si="521"/>
        <v/>
      </c>
      <c r="OT166" s="43" t="str">
        <f t="shared" si="522"/>
        <v/>
      </c>
      <c r="OU166" s="43" t="str">
        <f t="shared" si="523"/>
        <v/>
      </c>
      <c r="OV166" s="110" t="str">
        <f t="shared" si="524"/>
        <v/>
      </c>
      <c r="OW166" s="43" t="str">
        <f t="shared" si="525"/>
        <v/>
      </c>
      <c r="OX166" s="43" t="str">
        <f t="shared" si="526"/>
        <v/>
      </c>
      <c r="OY166" s="43" t="str">
        <f t="shared" si="527"/>
        <v/>
      </c>
      <c r="OZ166" s="43" t="str">
        <f t="shared" si="528"/>
        <v/>
      </c>
      <c r="PA166" s="43" t="str">
        <f t="shared" si="529"/>
        <v/>
      </c>
      <c r="PB166" s="43" t="str">
        <f t="shared" si="530"/>
        <v/>
      </c>
      <c r="PC166" s="43" t="str">
        <f t="shared" si="531"/>
        <v/>
      </c>
      <c r="PD166" s="43" t="str">
        <f t="shared" si="532"/>
        <v/>
      </c>
      <c r="PE166" s="43" t="str">
        <f t="shared" si="533"/>
        <v/>
      </c>
      <c r="PF166" s="43" t="str">
        <f t="shared" si="534"/>
        <v/>
      </c>
      <c r="PG166" s="43" t="str">
        <f t="shared" si="535"/>
        <v/>
      </c>
      <c r="PH166" s="43" t="str">
        <f t="shared" si="536"/>
        <v/>
      </c>
      <c r="PI166" s="43">
        <f t="shared" si="537"/>
        <v>25</v>
      </c>
      <c r="PJ166" s="43" t="str">
        <f t="shared" si="538"/>
        <v/>
      </c>
      <c r="PK166" s="43" t="str">
        <f t="shared" si="539"/>
        <v/>
      </c>
      <c r="PL166" s="43" t="str">
        <f t="shared" si="540"/>
        <v/>
      </c>
      <c r="PM166" s="43" t="str">
        <f t="shared" si="541"/>
        <v/>
      </c>
      <c r="PN166" s="43" t="str">
        <f t="shared" si="542"/>
        <v/>
      </c>
      <c r="PO166" s="43" t="str">
        <f t="shared" si="543"/>
        <v/>
      </c>
      <c r="PP166" s="43" t="str">
        <f t="shared" si="544"/>
        <v/>
      </c>
      <c r="PQ166" s="43" t="str">
        <f t="shared" si="545"/>
        <v/>
      </c>
      <c r="PR166" s="43" t="str">
        <f t="shared" si="546"/>
        <v/>
      </c>
      <c r="PS166" s="43" t="str">
        <f t="shared" si="547"/>
        <v/>
      </c>
      <c r="PT166" s="43" t="str">
        <f t="shared" si="548"/>
        <v/>
      </c>
      <c r="PU166" s="43" t="str">
        <f t="shared" si="549"/>
        <v/>
      </c>
      <c r="PV166" s="43" t="str">
        <f t="shared" si="550"/>
        <v/>
      </c>
      <c r="PW166" s="43" t="str">
        <f t="shared" si="551"/>
        <v/>
      </c>
      <c r="PX166" s="43" t="str">
        <f t="shared" si="552"/>
        <v/>
      </c>
      <c r="PY166" s="43" t="str">
        <f t="shared" si="553"/>
        <v/>
      </c>
      <c r="PZ166" s="43" t="str">
        <f t="shared" si="554"/>
        <v/>
      </c>
      <c r="QA166" s="43" t="str">
        <f t="shared" si="555"/>
        <v/>
      </c>
      <c r="QB166" s="43" t="str">
        <f t="shared" si="556"/>
        <v/>
      </c>
      <c r="QC166" s="43" t="str">
        <f t="shared" si="557"/>
        <v/>
      </c>
      <c r="QD166" s="43" t="str">
        <f t="shared" si="558"/>
        <v/>
      </c>
      <c r="QE166" s="43" t="str">
        <f t="shared" si="559"/>
        <v/>
      </c>
      <c r="QF166" s="43" t="str">
        <f t="shared" si="560"/>
        <v/>
      </c>
      <c r="QG166" s="43" t="str">
        <f t="shared" si="561"/>
        <v/>
      </c>
      <c r="QH166" s="43" t="str">
        <f t="shared" si="562"/>
        <v/>
      </c>
      <c r="QI166" s="43" t="str">
        <f t="shared" si="563"/>
        <v/>
      </c>
      <c r="QJ166" s="43" t="str">
        <f t="shared" si="564"/>
        <v/>
      </c>
      <c r="QK166" s="43" t="str">
        <f t="shared" si="565"/>
        <v/>
      </c>
      <c r="QL166" s="43" t="str">
        <f t="shared" si="566"/>
        <v/>
      </c>
      <c r="QM166" s="43" t="str">
        <f t="shared" si="567"/>
        <v/>
      </c>
      <c r="QN166" s="43" t="str">
        <f t="shared" si="568"/>
        <v/>
      </c>
      <c r="QO166" s="43" t="str">
        <f t="shared" si="569"/>
        <v/>
      </c>
      <c r="QP166" s="43" t="str">
        <f t="shared" si="570"/>
        <v/>
      </c>
      <c r="QQ166" s="43" t="str">
        <f t="shared" si="571"/>
        <v/>
      </c>
      <c r="QR166" s="43">
        <f t="shared" si="672"/>
        <v>25</v>
      </c>
      <c r="QS166" s="43"/>
      <c r="QT166" s="21" t="str">
        <f t="shared" si="572"/>
        <v/>
      </c>
      <c r="QU166" s="21" t="str">
        <f t="shared" si="573"/>
        <v/>
      </c>
      <c r="QV166" s="21" t="str">
        <f t="shared" si="574"/>
        <v/>
      </c>
      <c r="QW166" s="21" t="str">
        <f t="shared" si="575"/>
        <v/>
      </c>
      <c r="QX166" s="21" t="str">
        <f t="shared" si="576"/>
        <v/>
      </c>
      <c r="QY166" s="21" t="str">
        <f t="shared" si="577"/>
        <v/>
      </c>
      <c r="QZ166" s="21" t="str">
        <f t="shared" si="578"/>
        <v/>
      </c>
      <c r="RA166" s="21" t="str">
        <f t="shared" si="579"/>
        <v/>
      </c>
      <c r="RB166" s="21" t="str">
        <f t="shared" si="580"/>
        <v/>
      </c>
      <c r="RC166" s="21" t="str">
        <f t="shared" si="581"/>
        <v/>
      </c>
      <c r="RD166" s="21" t="str">
        <f t="shared" si="582"/>
        <v/>
      </c>
      <c r="RE166" s="21" t="str">
        <f t="shared" si="583"/>
        <v/>
      </c>
      <c r="RF166" s="21" t="str">
        <f t="shared" si="584"/>
        <v/>
      </c>
      <c r="RG166" s="21" t="str">
        <f t="shared" si="585"/>
        <v/>
      </c>
      <c r="RH166" s="21" t="str">
        <f t="shared" si="586"/>
        <v/>
      </c>
      <c r="RI166" s="21" t="str">
        <f t="shared" si="587"/>
        <v/>
      </c>
      <c r="RJ166" s="21" t="str">
        <f t="shared" si="588"/>
        <v/>
      </c>
      <c r="RK166" s="21" t="str">
        <f t="shared" si="589"/>
        <v/>
      </c>
      <c r="RL166" s="21" t="str">
        <f t="shared" si="590"/>
        <v/>
      </c>
      <c r="RM166" s="21" t="str">
        <f t="shared" si="591"/>
        <v/>
      </c>
      <c r="RN166" s="21" t="str">
        <f t="shared" si="592"/>
        <v/>
      </c>
      <c r="RO166" s="21" t="str">
        <f t="shared" si="593"/>
        <v/>
      </c>
      <c r="RP166" s="21" t="str">
        <f t="shared" si="594"/>
        <v/>
      </c>
      <c r="RQ166" s="21" t="str">
        <f t="shared" si="595"/>
        <v/>
      </c>
      <c r="RR166" s="21" t="str">
        <f t="shared" si="596"/>
        <v/>
      </c>
      <c r="RS166" s="21" t="str">
        <f t="shared" si="597"/>
        <v/>
      </c>
      <c r="RT166" s="21" t="str">
        <f t="shared" si="598"/>
        <v/>
      </c>
      <c r="RU166" s="21" t="str">
        <f t="shared" si="599"/>
        <v/>
      </c>
      <c r="RV166" s="21">
        <f t="shared" si="600"/>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3"/>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1"/>
        <v>20.213698630136985</v>
      </c>
      <c r="O167" s="22">
        <v>45001</v>
      </c>
      <c r="P167" s="214" t="str">
        <f t="shared" si="675"/>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2"/>
        <v>0</v>
      </c>
      <c r="BR167" s="223" t="str">
        <f t="shared" si="603"/>
        <v/>
      </c>
      <c r="BS167" s="224">
        <f t="shared" si="604"/>
        <v>20.142857142857142</v>
      </c>
      <c r="BT167" s="216" t="str">
        <f t="shared" si="605"/>
        <v>DEFINIR CON ECO</v>
      </c>
      <c r="BU167" s="214" t="str">
        <f t="shared" ca="1" si="606"/>
        <v/>
      </c>
      <c r="BV167" s="25"/>
      <c r="BW167" s="22"/>
      <c r="BX167" s="28"/>
      <c r="BY167" s="28"/>
      <c r="BZ167" s="22"/>
      <c r="CA167" s="21"/>
      <c r="CB167" s="26"/>
      <c r="CC167" s="26"/>
      <c r="CD167" s="26"/>
      <c r="CE167" s="26"/>
      <c r="CF167" s="22" t="s">
        <v>1517</v>
      </c>
      <c r="CG167" s="21">
        <v>1.47</v>
      </c>
      <c r="CH167" s="21">
        <v>49.8</v>
      </c>
      <c r="CI167" s="214">
        <f t="shared" si="607"/>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8"/>
        <v>45099</v>
      </c>
      <c r="CL167" s="21">
        <v>51.5</v>
      </c>
      <c r="CM167" s="214">
        <f t="shared" si="609"/>
        <v>23.832662316627331</v>
      </c>
      <c r="CN167" s="216">
        <f t="shared" si="610"/>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90"/>
        <v>ACUDE A CONTROL SEM 30 A 34- REGISTRE AHORA</v>
      </c>
      <c r="DA167" s="21">
        <v>90</v>
      </c>
      <c r="DB167" s="21">
        <v>60</v>
      </c>
      <c r="DC167" s="217" t="str">
        <f t="shared" si="611"/>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6"/>
        <v>SALE SIN PLAN DE PARTO</v>
      </c>
      <c r="DV167" s="226" t="str">
        <f t="shared" si="677"/>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2"/>
        <v/>
      </c>
      <c r="DY167" s="212">
        <f>IF(R167="","",IF(R167&gt;0,MAX(Tabla1[[#This Row],[FECHA C2]:[FECHA C13]],Tabla1[[#This Row],[FECHA CONSULTA PRIMERA VEZ PROGRAMA CPN ]])))</f>
        <v>45099</v>
      </c>
      <c r="DZ167" s="216">
        <f t="shared" si="613"/>
        <v>34</v>
      </c>
      <c r="EA167" s="222">
        <f>IF(R167&gt;0,SUM(COUNTA(DF167:DQ167)+COUNTA(Tabla1[[#This Row],[FECHA CONSULTA PRIMERA VEZ PROGRAMA CPN ]])),"")</f>
        <v>4</v>
      </c>
      <c r="EB167" s="222" t="str">
        <f t="shared" si="614"/>
        <v>SI</v>
      </c>
      <c r="EC167" s="214">
        <f t="shared" si="615"/>
        <v>6</v>
      </c>
      <c r="ED167" s="227">
        <f t="shared" si="616"/>
        <v>0.66666666666666663</v>
      </c>
      <c r="EE167" s="22">
        <v>45001</v>
      </c>
      <c r="EF167" s="22"/>
      <c r="EG167" s="22">
        <v>45001</v>
      </c>
      <c r="EH167" s="22"/>
      <c r="EI167" s="22">
        <v>45001</v>
      </c>
      <c r="EJ167" s="22"/>
      <c r="EK167" s="22"/>
      <c r="EL167" s="21"/>
      <c r="EM167" s="21">
        <v>11.2</v>
      </c>
      <c r="EN167" s="22">
        <v>45002</v>
      </c>
      <c r="EO167" s="222">
        <f t="shared" si="617"/>
        <v>20.285714285714285</v>
      </c>
      <c r="EP167" s="214" t="str">
        <f t="shared" si="618"/>
        <v>NORMAL- SUMINISTRAR SULFATO FERROSO</v>
      </c>
      <c r="EQ167" s="216" t="str">
        <f t="shared" si="619"/>
        <v>II TRIM</v>
      </c>
      <c r="ER167" s="24"/>
      <c r="ES167" s="22"/>
      <c r="ET167" s="29" t="str">
        <f t="shared" ca="1" si="678"/>
        <v>SALE SIN TAMIZAJE HEMOGLOBINA SEM 28</v>
      </c>
      <c r="EU167" s="25" t="str">
        <f t="shared" si="620"/>
        <v/>
      </c>
      <c r="EV167" s="24" t="s">
        <v>1510</v>
      </c>
      <c r="EW167" s="24">
        <v>45002</v>
      </c>
      <c r="EX167" s="22"/>
      <c r="EY167" s="29">
        <f t="shared" si="693"/>
        <v>20.285714285714285</v>
      </c>
      <c r="EZ167" s="25" t="str">
        <f t="shared" si="694"/>
        <v>SIN RIESGO DE ISOINMUNIZACIÓN</v>
      </c>
      <c r="FA167" s="21">
        <v>60</v>
      </c>
      <c r="FB167" s="22">
        <v>45002</v>
      </c>
      <c r="FC167" s="29">
        <f t="shared" si="621"/>
        <v>20.285714285714285</v>
      </c>
      <c r="FD167" s="29">
        <v>71</v>
      </c>
      <c r="FE167" s="29">
        <v>116</v>
      </c>
      <c r="FF167" s="29">
        <v>151</v>
      </c>
      <c r="FG167" s="21" t="str">
        <f t="shared" ca="1" si="622"/>
        <v>NORMAL</v>
      </c>
      <c r="FH167" s="31">
        <v>45056</v>
      </c>
      <c r="FI167" s="29">
        <f t="shared" si="623"/>
        <v>28</v>
      </c>
      <c r="FJ167" s="22"/>
      <c r="FK167" s="22"/>
      <c r="FL167" s="29" t="str">
        <f t="shared" ca="1" si="624"/>
        <v>NO APLICA-INGRESO TARDIO</v>
      </c>
      <c r="FM167" s="22"/>
      <c r="FN167" s="32"/>
      <c r="FO167" s="29" t="str">
        <f t="shared" ca="1" si="679"/>
        <v>PIERDE TOMA DE TAMIZAJE</v>
      </c>
      <c r="FP167" s="22"/>
      <c r="FQ167" s="32"/>
      <c r="FR167" s="29" t="str">
        <f t="shared" ca="1" si="680"/>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5"/>
        <v>TOMAR EXAMEN</v>
      </c>
      <c r="FY167" s="22">
        <v>45001</v>
      </c>
      <c r="FZ167" s="22">
        <v>45001</v>
      </c>
      <c r="GA167" s="29" t="str">
        <f t="shared" si="692"/>
        <v>REGISTRAR EN II TRIMESTRE</v>
      </c>
      <c r="GB167" s="22" t="s">
        <v>868</v>
      </c>
      <c r="GC167" s="22">
        <v>45002</v>
      </c>
      <c r="GD167" s="29">
        <f t="shared" ca="1" si="681"/>
        <v>20.285714285714285</v>
      </c>
      <c r="GE167" s="22"/>
      <c r="GF167" s="22"/>
      <c r="GG167" s="29" t="str">
        <f t="shared" ca="1" si="682"/>
        <v>PIERDE TOMA DE TAMIZAJE</v>
      </c>
      <c r="GH167" s="22"/>
      <c r="GI167" s="29"/>
      <c r="GJ167" s="22"/>
      <c r="GK167" s="22"/>
      <c r="GL167" s="22"/>
      <c r="GM167" s="22"/>
      <c r="GN167" s="28"/>
      <c r="GO167" s="22"/>
      <c r="GP167" s="29" t="str">
        <f t="shared" si="626"/>
        <v>TOMAR EXAMEN</v>
      </c>
      <c r="GQ167" s="28" t="s">
        <v>869</v>
      </c>
      <c r="GR167" s="28" t="s">
        <v>846</v>
      </c>
      <c r="GS167" s="22" t="str">
        <f t="shared" si="728"/>
        <v>CONTROL Igm</v>
      </c>
      <c r="GT167" s="22">
        <v>45002</v>
      </c>
      <c r="GU167" s="29">
        <f t="shared" si="628"/>
        <v>20.285714285714285</v>
      </c>
      <c r="GV167" s="21" t="str">
        <f t="shared" si="629"/>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30"/>
        <v>#REF!</v>
      </c>
      <c r="HI167" s="22" t="e">
        <f t="shared" ca="1" si="631"/>
        <v>#REF!</v>
      </c>
      <c r="HJ167" s="21" t="str">
        <f t="shared" ca="1" si="632"/>
        <v>**********************MULTIPARIDAD*****************</v>
      </c>
      <c r="HK167" s="21" t="str">
        <f t="shared" si="633"/>
        <v>SIN ANTECEDENTES DE RIESGO</v>
      </c>
      <c r="HL167" s="24" t="str">
        <f t="shared" si="634"/>
        <v>APARENTEMENTE NORMAL</v>
      </c>
      <c r="HM167" s="21" t="str">
        <f t="shared" ca="1" si="635"/>
        <v/>
      </c>
      <c r="HN167" s="30" t="str">
        <f t="shared" si="683"/>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6"/>
        <v>PENDIENTE CONSULTA</v>
      </c>
      <c r="IA167" s="26"/>
      <c r="IB167" s="26"/>
      <c r="IC167" s="111"/>
      <c r="ID167" s="22">
        <v>45001</v>
      </c>
      <c r="IE167" s="22" t="str">
        <f t="shared" ca="1" si="637"/>
        <v>VACUNA APLICADA ENTRE SEMANA 20 Y SEMANA 26</v>
      </c>
      <c r="IF167" s="22"/>
      <c r="IG167" s="22">
        <f t="shared" si="638"/>
        <v>45140</v>
      </c>
      <c r="IH167" s="29">
        <f t="shared" ca="1" si="639"/>
        <v>-92</v>
      </c>
      <c r="II167" s="22" t="str">
        <f t="shared" ca="1" si="640"/>
        <v>POSIBLEMENTE NACIO</v>
      </c>
      <c r="IJ167" s="22"/>
      <c r="IK167" s="21" t="s">
        <v>898</v>
      </c>
      <c r="IL167" s="21"/>
      <c r="IM167" s="34"/>
      <c r="IN167" s="349">
        <v>45116</v>
      </c>
      <c r="IO167" s="21" t="s">
        <v>1186</v>
      </c>
      <c r="IP167" s="29">
        <f t="shared" si="674"/>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4"/>
        <v>BAJO PESO AL NACER</v>
      </c>
      <c r="JF167" s="30"/>
      <c r="JG167" s="21"/>
      <c r="JH167" s="21"/>
      <c r="JI167" s="309" t="s">
        <v>854</v>
      </c>
      <c r="JJ167" s="329" t="s">
        <v>866</v>
      </c>
      <c r="JK167" s="22"/>
      <c r="JL167" s="22"/>
      <c r="JM167" s="21"/>
      <c r="JN167" s="36"/>
      <c r="JO167" s="21" t="str">
        <f t="shared" si="685"/>
        <v/>
      </c>
      <c r="JP167" s="22"/>
      <c r="JQ167" s="21"/>
      <c r="JR167" s="21"/>
      <c r="JS167" s="21"/>
      <c r="JT167" s="30"/>
      <c r="JU167" s="22"/>
      <c r="JV167" s="22"/>
      <c r="JW167" s="33"/>
      <c r="JX167" s="28" t="str">
        <f t="shared" si="686"/>
        <v>INASISTENTE</v>
      </c>
      <c r="JY167" s="33"/>
      <c r="JZ167" s="28" t="str">
        <f t="shared" si="687"/>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7"/>
        <v>0</v>
      </c>
      <c r="MI167" s="43" t="str">
        <f t="shared" si="698"/>
        <v/>
      </c>
      <c r="MJ167" s="43" t="str">
        <f t="shared" si="699"/>
        <v/>
      </c>
      <c r="MK167" s="43">
        <f t="shared" si="700"/>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701"/>
        <v>20.142857142857142</v>
      </c>
      <c r="MN167" s="43">
        <f t="shared" si="702"/>
        <v>3</v>
      </c>
      <c r="MO167" s="43">
        <f t="shared" si="703"/>
        <v>2023</v>
      </c>
      <c r="MP167" s="43" t="str">
        <f t="shared" si="704"/>
        <v>I TRIMESTRE AÑO</v>
      </c>
      <c r="MQ167" s="43">
        <f t="shared" si="705"/>
        <v>19.28657468243539</v>
      </c>
      <c r="MR167" s="43">
        <f t="shared" si="706"/>
        <v>0</v>
      </c>
      <c r="MS167" s="43" t="str">
        <f t="shared" si="707"/>
        <v>DE 14 A 19AÑOS</v>
      </c>
      <c r="MT167" s="43">
        <f t="shared" si="708"/>
        <v>0</v>
      </c>
      <c r="MU167" s="43">
        <f t="shared" si="709"/>
        <v>1</v>
      </c>
      <c r="MV167" s="43">
        <f t="shared" si="710"/>
        <v>0</v>
      </c>
      <c r="MW167" s="43">
        <f t="shared" si="711"/>
        <v>0</v>
      </c>
      <c r="MX167" s="43" t="str">
        <f t="shared" si="712"/>
        <v/>
      </c>
      <c r="MY167" s="43" t="str">
        <f t="shared" ca="1" si="688"/>
        <v/>
      </c>
      <c r="MZ167" s="43" t="str">
        <f t="shared" si="713"/>
        <v/>
      </c>
      <c r="NA167" s="43" t="str">
        <f t="shared" si="714"/>
        <v/>
      </c>
      <c r="NB167" s="43" t="str">
        <f t="shared" si="715"/>
        <v/>
      </c>
      <c r="NC167" s="43" t="str">
        <f t="shared" si="716"/>
        <v/>
      </c>
      <c r="ND167" s="43">
        <f t="shared" ca="1" si="717"/>
        <v>1</v>
      </c>
      <c r="NE167" s="43">
        <f>IF(OR(O167&gt;0,R167&gt;0),SUM(COUNTIF(Tabla1[[#This Row],[AÑOS AL INICIO5 CPN]],"&gt;=40"),COUNTIF(AS167,"0"),COUNTIF(AR167,"SI"),COUNTIF(CC167,"SI"),COUNTIF(BQ167,"&gt;119"),COUNTIF(CI167,"&gt;=35")),"")</f>
        <v>1</v>
      </c>
      <c r="NF167" s="43">
        <f t="shared" si="718"/>
        <v>20.142857142857142</v>
      </c>
      <c r="NG167" s="43">
        <f t="shared" si="719"/>
        <v>0</v>
      </c>
      <c r="NH167" s="43" t="str">
        <f t="shared" si="720"/>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21"/>
        <v>X</v>
      </c>
      <c r="NM167" s="43" t="str">
        <f t="shared" si="695"/>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2"/>
        <v>DEFINIR CON ECO</v>
      </c>
      <c r="NQ167" s="21" t="str">
        <f t="shared" si="691"/>
        <v/>
      </c>
      <c r="NR167" s="21">
        <f t="shared" si="689"/>
        <v>2</v>
      </c>
      <c r="NS167" s="205">
        <f t="shared" ca="1" si="723"/>
        <v>0</v>
      </c>
      <c r="NT167" s="21">
        <f t="shared" ca="1" si="724"/>
        <v>1</v>
      </c>
      <c r="NU167" s="21" t="str">
        <f t="shared" ca="1" si="725"/>
        <v>INCOMPLETO</v>
      </c>
      <c r="NV167" s="21" t="str">
        <f t="shared" ca="1" si="726"/>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7"/>
        <v>VACUNADA</v>
      </c>
      <c r="NY167" s="43">
        <f>ROW(Tabla1[[#This Row],['# DE TAMIZAJES SIFILIS TOMADOS ]])</f>
        <v>167</v>
      </c>
      <c r="NZ167" s="43">
        <f t="shared" si="502"/>
        <v>20</v>
      </c>
      <c r="OA167" s="43" t="str">
        <f t="shared" si="503"/>
        <v/>
      </c>
      <c r="OB167" s="43" t="str">
        <f t="shared" si="504"/>
        <v/>
      </c>
      <c r="OC167" s="43" t="str">
        <f t="shared" si="505"/>
        <v/>
      </c>
      <c r="OD167" s="43" t="str">
        <f t="shared" si="506"/>
        <v/>
      </c>
      <c r="OE167" s="43" t="str">
        <f t="shared" si="507"/>
        <v/>
      </c>
      <c r="OF167" s="43" t="str">
        <f t="shared" si="508"/>
        <v/>
      </c>
      <c r="OG167" s="43" t="str">
        <f t="shared" si="509"/>
        <v/>
      </c>
      <c r="OH167" s="43" t="str">
        <f t="shared" si="510"/>
        <v/>
      </c>
      <c r="OI167" s="43" t="str">
        <f t="shared" si="511"/>
        <v/>
      </c>
      <c r="OJ167" s="43" t="str">
        <f t="shared" si="512"/>
        <v/>
      </c>
      <c r="OK167" s="43" t="str">
        <f t="shared" si="513"/>
        <v/>
      </c>
      <c r="OL167" s="43" t="str">
        <f t="shared" si="514"/>
        <v>NORMAL</v>
      </c>
      <c r="OM167" s="43" t="str">
        <f t="shared" si="515"/>
        <v/>
      </c>
      <c r="ON167" s="43" t="str">
        <f t="shared" si="516"/>
        <v/>
      </c>
      <c r="OO167" s="43" t="str">
        <f t="shared" si="517"/>
        <v/>
      </c>
      <c r="OP167" s="43" t="str">
        <f t="shared" si="518"/>
        <v/>
      </c>
      <c r="OQ167" s="43" t="str">
        <f t="shared" si="519"/>
        <v/>
      </c>
      <c r="OR167" s="43" t="str">
        <f t="shared" si="520"/>
        <v/>
      </c>
      <c r="OS167" s="43" t="str">
        <f t="shared" si="521"/>
        <v/>
      </c>
      <c r="OT167" s="43" t="str">
        <f t="shared" si="522"/>
        <v/>
      </c>
      <c r="OU167" s="43" t="str">
        <f t="shared" si="523"/>
        <v/>
      </c>
      <c r="OV167" s="110" t="str">
        <f t="shared" si="524"/>
        <v/>
      </c>
      <c r="OW167" s="43" t="str">
        <f t="shared" si="525"/>
        <v/>
      </c>
      <c r="OX167" s="43" t="str">
        <f t="shared" si="526"/>
        <v/>
      </c>
      <c r="OY167" s="43" t="str">
        <f t="shared" si="527"/>
        <v/>
      </c>
      <c r="OZ167" s="43" t="str">
        <f t="shared" si="528"/>
        <v/>
      </c>
      <c r="PA167" s="43" t="str">
        <f t="shared" si="529"/>
        <v/>
      </c>
      <c r="PB167" s="43" t="str">
        <f t="shared" si="530"/>
        <v/>
      </c>
      <c r="PC167" s="43" t="str">
        <f t="shared" si="531"/>
        <v/>
      </c>
      <c r="PD167" s="43" t="str">
        <f t="shared" si="532"/>
        <v/>
      </c>
      <c r="PE167" s="43" t="str">
        <f t="shared" si="533"/>
        <v/>
      </c>
      <c r="PF167" s="43" t="str">
        <f t="shared" si="534"/>
        <v/>
      </c>
      <c r="PG167" s="43" t="str">
        <f t="shared" si="535"/>
        <v/>
      </c>
      <c r="PH167" s="43" t="str">
        <f t="shared" si="536"/>
        <v/>
      </c>
      <c r="PI167" s="43">
        <f t="shared" si="537"/>
        <v>34</v>
      </c>
      <c r="PJ167" s="43" t="str">
        <f t="shared" si="538"/>
        <v/>
      </c>
      <c r="PK167" s="43" t="str">
        <f t="shared" si="539"/>
        <v/>
      </c>
      <c r="PL167" s="43" t="str">
        <f t="shared" si="540"/>
        <v/>
      </c>
      <c r="PM167" s="43" t="str">
        <f t="shared" si="541"/>
        <v/>
      </c>
      <c r="PN167" s="43" t="str">
        <f t="shared" si="542"/>
        <v/>
      </c>
      <c r="PO167" s="43" t="str">
        <f t="shared" si="543"/>
        <v/>
      </c>
      <c r="PP167" s="43" t="str">
        <f t="shared" si="544"/>
        <v/>
      </c>
      <c r="PQ167" s="43" t="str">
        <f t="shared" si="545"/>
        <v/>
      </c>
      <c r="PR167" s="43" t="str">
        <f t="shared" si="546"/>
        <v/>
      </c>
      <c r="PS167" s="43" t="str">
        <f t="shared" si="547"/>
        <v/>
      </c>
      <c r="PT167" s="43" t="str">
        <f t="shared" si="548"/>
        <v/>
      </c>
      <c r="PU167" s="43" t="str">
        <f t="shared" si="549"/>
        <v/>
      </c>
      <c r="PV167" s="43" t="str">
        <f t="shared" si="550"/>
        <v/>
      </c>
      <c r="PW167" s="43" t="str">
        <f t="shared" si="551"/>
        <v/>
      </c>
      <c r="PX167" s="43" t="str">
        <f t="shared" si="552"/>
        <v/>
      </c>
      <c r="PY167" s="43" t="str">
        <f t="shared" si="553"/>
        <v/>
      </c>
      <c r="PZ167" s="43" t="str">
        <f t="shared" si="554"/>
        <v/>
      </c>
      <c r="QA167" s="43" t="str">
        <f t="shared" si="555"/>
        <v/>
      </c>
      <c r="QB167" s="43" t="str">
        <f t="shared" si="556"/>
        <v/>
      </c>
      <c r="QC167" s="43" t="str">
        <f t="shared" si="557"/>
        <v/>
      </c>
      <c r="QD167" s="43" t="str">
        <f t="shared" si="558"/>
        <v/>
      </c>
      <c r="QE167" s="43" t="str">
        <f t="shared" si="559"/>
        <v/>
      </c>
      <c r="QF167" s="43" t="str">
        <f t="shared" si="560"/>
        <v/>
      </c>
      <c r="QG167" s="43" t="str">
        <f t="shared" si="561"/>
        <v/>
      </c>
      <c r="QH167" s="43" t="str">
        <f t="shared" si="562"/>
        <v/>
      </c>
      <c r="QI167" s="43" t="str">
        <f t="shared" si="563"/>
        <v>BAJO PESO</v>
      </c>
      <c r="QJ167" s="43" t="str">
        <f t="shared" si="564"/>
        <v/>
      </c>
      <c r="QK167" s="43" t="str">
        <f t="shared" si="565"/>
        <v/>
      </c>
      <c r="QL167" s="43" t="str">
        <f t="shared" si="566"/>
        <v/>
      </c>
      <c r="QM167" s="43" t="str">
        <f t="shared" si="567"/>
        <v/>
      </c>
      <c r="QN167" s="43" t="str">
        <f t="shared" si="568"/>
        <v/>
      </c>
      <c r="QO167" s="43" t="str">
        <f t="shared" si="569"/>
        <v/>
      </c>
      <c r="QP167" s="43" t="str">
        <f t="shared" si="570"/>
        <v/>
      </c>
      <c r="QQ167" s="43" t="str">
        <f t="shared" si="571"/>
        <v/>
      </c>
      <c r="QR167" s="43">
        <f t="shared" si="672"/>
        <v>34</v>
      </c>
      <c r="QS167" s="43"/>
      <c r="QT167" s="21" t="str">
        <f t="shared" si="572"/>
        <v/>
      </c>
      <c r="QU167" s="21" t="str">
        <f t="shared" si="573"/>
        <v/>
      </c>
      <c r="QV167" s="21" t="str">
        <f t="shared" si="574"/>
        <v/>
      </c>
      <c r="QW167" s="21" t="str">
        <f t="shared" si="575"/>
        <v/>
      </c>
      <c r="QX167" s="21" t="str">
        <f t="shared" si="576"/>
        <v/>
      </c>
      <c r="QY167" s="21" t="str">
        <f t="shared" si="577"/>
        <v/>
      </c>
      <c r="QZ167" s="21" t="str">
        <f t="shared" si="578"/>
        <v/>
      </c>
      <c r="RA167" s="21" t="str">
        <f t="shared" si="579"/>
        <v/>
      </c>
      <c r="RB167" s="21" t="str">
        <f t="shared" si="580"/>
        <v/>
      </c>
      <c r="RC167" s="21" t="str">
        <f t="shared" si="581"/>
        <v/>
      </c>
      <c r="RD167" s="21" t="str">
        <f t="shared" si="582"/>
        <v/>
      </c>
      <c r="RE167" s="21" t="str">
        <f t="shared" si="583"/>
        <v/>
      </c>
      <c r="RF167" s="21" t="str">
        <f t="shared" si="584"/>
        <v/>
      </c>
      <c r="RG167" s="21" t="str">
        <f t="shared" si="585"/>
        <v/>
      </c>
      <c r="RH167" s="21" t="str">
        <f t="shared" si="586"/>
        <v/>
      </c>
      <c r="RI167" s="21" t="str">
        <f t="shared" si="587"/>
        <v/>
      </c>
      <c r="RJ167" s="21" t="str">
        <f t="shared" si="588"/>
        <v/>
      </c>
      <c r="RK167" s="21" t="str">
        <f t="shared" si="589"/>
        <v/>
      </c>
      <c r="RL167" s="21" t="str">
        <f t="shared" si="590"/>
        <v/>
      </c>
      <c r="RM167" s="21" t="str">
        <f t="shared" si="591"/>
        <v/>
      </c>
      <c r="RN167" s="21" t="str">
        <f t="shared" si="592"/>
        <v/>
      </c>
      <c r="RO167" s="21" t="str">
        <f t="shared" si="593"/>
        <v>ADECUADO PARA EDAD GESTACIONAL</v>
      </c>
      <c r="RP167" s="21" t="str">
        <f t="shared" si="594"/>
        <v/>
      </c>
      <c r="RQ167" s="21" t="str">
        <f t="shared" si="595"/>
        <v/>
      </c>
      <c r="RR167" s="21" t="str">
        <f t="shared" si="596"/>
        <v/>
      </c>
      <c r="RS167" s="21" t="str">
        <f t="shared" si="597"/>
        <v/>
      </c>
      <c r="RT167" s="21" t="str">
        <f t="shared" si="598"/>
        <v/>
      </c>
      <c r="RU167" s="21" t="str">
        <f t="shared" si="599"/>
        <v/>
      </c>
      <c r="RV167" s="21">
        <f t="shared" si="600"/>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3"/>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1"/>
        <v>28.479452054794521</v>
      </c>
      <c r="O168" s="22">
        <v>44991</v>
      </c>
      <c r="P168" s="214" t="str">
        <f t="shared" si="675"/>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2"/>
        <v>70.11666666666666</v>
      </c>
      <c r="BR168" s="223">
        <f t="shared" si="603"/>
        <v>44879.5</v>
      </c>
      <c r="BS168" s="224">
        <f t="shared" si="604"/>
        <v>15.928571428571429</v>
      </c>
      <c r="BT168" s="216" t="str">
        <f t="shared" si="605"/>
        <v>II TRIM</v>
      </c>
      <c r="BU168" s="214" t="str">
        <f t="shared" ca="1" si="606"/>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7"/>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8"/>
        <v>45136</v>
      </c>
      <c r="CL168" s="21">
        <v>86.6</v>
      </c>
      <c r="CM168" s="214">
        <f t="shared" si="609"/>
        <v>30.68310657596372</v>
      </c>
      <c r="CN168" s="216">
        <f t="shared" si="610"/>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90"/>
        <v/>
      </c>
      <c r="DA168" s="21">
        <v>100</v>
      </c>
      <c r="DB168" s="21">
        <v>60</v>
      </c>
      <c r="DC168" s="217" t="str">
        <f t="shared" si="611"/>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6"/>
        <v>CONCERTAR PLAN DE PARTO INMEDIATO</v>
      </c>
      <c r="DV168" s="226" t="str">
        <f t="shared" si="677"/>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2"/>
        <v>#REF!</v>
      </c>
      <c r="DY168" s="212">
        <f>IF(R168="","",IF(R168&gt;0,MAX(Tabla1[[#This Row],[FECHA C2]:[FECHA C13]],Tabla1[[#This Row],[FECHA CONSULTA PRIMERA VEZ PROGRAMA CPN ]])))</f>
        <v>45136</v>
      </c>
      <c r="DZ168" s="216">
        <f t="shared" si="613"/>
        <v>36</v>
      </c>
      <c r="EA168" s="222">
        <f>IF(R168&gt;0,SUM(COUNTA(DF168:DQ168)+COUNTA(Tabla1[[#This Row],[FECHA CONSULTA PRIMERA VEZ PROGRAMA CPN ]])),"")</f>
        <v>6</v>
      </c>
      <c r="EB168" s="222" t="str">
        <f t="shared" si="614"/>
        <v>SI</v>
      </c>
      <c r="EC168" s="214">
        <f t="shared" si="615"/>
        <v>8</v>
      </c>
      <c r="ED168" s="227">
        <f t="shared" si="616"/>
        <v>0.75</v>
      </c>
      <c r="EE168" s="22">
        <v>44991</v>
      </c>
      <c r="EF168" s="22"/>
      <c r="EG168" s="22">
        <v>44991</v>
      </c>
      <c r="EH168" s="22"/>
      <c r="EI168" s="22">
        <v>44991</v>
      </c>
      <c r="EJ168" s="22"/>
      <c r="EK168" s="22"/>
      <c r="EL168" s="21"/>
      <c r="EM168" s="21">
        <v>11.2</v>
      </c>
      <c r="EN168" s="22">
        <v>45037</v>
      </c>
      <c r="EO168" s="222">
        <f t="shared" si="617"/>
        <v>22.5</v>
      </c>
      <c r="EP168" s="214" t="str">
        <f t="shared" si="618"/>
        <v>NORMAL- SUMINISTRAR SULFATO FERROSO</v>
      </c>
      <c r="EQ168" s="216" t="str">
        <f t="shared" si="619"/>
        <v>II TRIM</v>
      </c>
      <c r="ER168" s="24">
        <v>12.6</v>
      </c>
      <c r="ES168" s="22">
        <v>45072</v>
      </c>
      <c r="ET168" s="29">
        <f t="shared" ca="1" si="678"/>
        <v>27.5</v>
      </c>
      <c r="EU168" s="25" t="str">
        <f t="shared" si="620"/>
        <v>NORMAL- SUMINISTRAR SULFATO FERROSO</v>
      </c>
      <c r="EV168" s="24" t="s">
        <v>1510</v>
      </c>
      <c r="EW168" s="32">
        <v>45014</v>
      </c>
      <c r="EX168" s="22"/>
      <c r="EY168" s="29">
        <f t="shared" si="693"/>
        <v>19.214285714285715</v>
      </c>
      <c r="EZ168" s="25" t="str">
        <f t="shared" si="694"/>
        <v>SIN RIESGO DE ISOINMUNIZACIÓN</v>
      </c>
      <c r="FA168" s="21">
        <v>83</v>
      </c>
      <c r="FB168" s="22">
        <v>45014</v>
      </c>
      <c r="FC168" s="29">
        <f t="shared" si="621"/>
        <v>19.214285714285715</v>
      </c>
      <c r="FD168" s="29">
        <v>63</v>
      </c>
      <c r="FE168" s="29">
        <v>143</v>
      </c>
      <c r="FF168" s="29">
        <v>124</v>
      </c>
      <c r="FG168" s="21" t="str">
        <f t="shared" ca="1" si="622"/>
        <v>NORMAL</v>
      </c>
      <c r="FH168" s="31">
        <v>45072</v>
      </c>
      <c r="FI168" s="29">
        <f t="shared" si="623"/>
        <v>27.5</v>
      </c>
      <c r="FJ168" s="22"/>
      <c r="FK168" s="22"/>
      <c r="FL168" s="29" t="str">
        <f t="shared" ca="1" si="624"/>
        <v>NO APLICA-INGRESO TARDIO</v>
      </c>
      <c r="FM168" s="22" t="s">
        <v>867</v>
      </c>
      <c r="FN168" s="32">
        <v>45014</v>
      </c>
      <c r="FO168" s="29">
        <f t="shared" ca="1" si="679"/>
        <v>19.214285714285715</v>
      </c>
      <c r="FP168" s="22" t="s">
        <v>867</v>
      </c>
      <c r="FQ168" s="32">
        <v>45072</v>
      </c>
      <c r="FR168" s="29">
        <f t="shared" ca="1" si="680"/>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5"/>
        <v>TOMAR EXAMEN</v>
      </c>
      <c r="FY168" s="22">
        <v>44991</v>
      </c>
      <c r="FZ168" s="22">
        <v>44991</v>
      </c>
      <c r="GA168" s="29" t="str">
        <f t="shared" si="692"/>
        <v>REGISTRAR EN II TRIMESTRE</v>
      </c>
      <c r="GB168" s="22" t="s">
        <v>868</v>
      </c>
      <c r="GC168" s="22">
        <v>45014</v>
      </c>
      <c r="GD168" s="29">
        <f t="shared" ca="1" si="681"/>
        <v>19.214285714285715</v>
      </c>
      <c r="GE168" s="22" t="s">
        <v>868</v>
      </c>
      <c r="GF168" s="22">
        <v>45072</v>
      </c>
      <c r="GG168" s="29">
        <f t="shared" ca="1" si="682"/>
        <v>27.5</v>
      </c>
      <c r="GH168" s="22"/>
      <c r="GI168" s="29"/>
      <c r="GJ168" s="22"/>
      <c r="GK168" s="22"/>
      <c r="GL168" s="22"/>
      <c r="GM168" s="22"/>
      <c r="GN168" s="28" t="s">
        <v>869</v>
      </c>
      <c r="GO168" s="22">
        <v>45014</v>
      </c>
      <c r="GP168" s="29">
        <f t="shared" si="626"/>
        <v>19.214285714285715</v>
      </c>
      <c r="GQ168" s="28" t="s">
        <v>869</v>
      </c>
      <c r="GR168" s="28" t="s">
        <v>846</v>
      </c>
      <c r="GS168" s="22" t="str">
        <f t="shared" si="728"/>
        <v>CONTROL Igm</v>
      </c>
      <c r="GT168" s="22">
        <v>45014</v>
      </c>
      <c r="GU168" s="29">
        <f t="shared" si="628"/>
        <v>19.857142857142858</v>
      </c>
      <c r="GV168" s="21" t="str">
        <f t="shared" si="629"/>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30"/>
        <v>#REF!</v>
      </c>
      <c r="HI168" s="22" t="e">
        <f t="shared" ca="1" si="631"/>
        <v>#REF!</v>
      </c>
      <c r="HJ168" s="21" t="str">
        <f t="shared" ca="1" si="632"/>
        <v>**********************MULTIPARIDAD***CESAREAS PREVIAS**************</v>
      </c>
      <c r="HK168" s="21" t="str">
        <f t="shared" si="633"/>
        <v>SIN ANTECEDENTES DE RIESGO</v>
      </c>
      <c r="HL168" s="24" t="str">
        <f t="shared" si="634"/>
        <v>VIGILAR CIFRAS PRESION ARTERIAL</v>
      </c>
      <c r="HM168" s="21" t="e">
        <f t="shared" ca="1" si="635"/>
        <v>#REF!</v>
      </c>
      <c r="HN168" s="30" t="str">
        <f t="shared" si="683"/>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6"/>
        <v>PENDIENTE CONSULTA</v>
      </c>
      <c r="IA168" s="26"/>
      <c r="IB168" s="26"/>
      <c r="IC168" s="111"/>
      <c r="ID168" s="22"/>
      <c r="IE168" s="22" t="str">
        <f t="shared" ca="1" si="637"/>
        <v/>
      </c>
      <c r="IF168" s="22"/>
      <c r="IG168" s="22">
        <f t="shared" si="638"/>
        <v>45159.5</v>
      </c>
      <c r="IH168" s="29">
        <f t="shared" ca="1" si="639"/>
        <v>-72.5</v>
      </c>
      <c r="II168" s="22" t="str">
        <f t="shared" ca="1" si="640"/>
        <v>POSIBLEMENTE NACIO</v>
      </c>
      <c r="IJ168" s="22"/>
      <c r="IK168" s="21"/>
      <c r="IL168" s="21"/>
      <c r="IM168" s="34"/>
      <c r="IN168" s="349"/>
      <c r="IO168" s="21"/>
      <c r="IP168" s="29" t="str">
        <f t="shared" si="674"/>
        <v/>
      </c>
      <c r="IQ168" s="35"/>
      <c r="IR168" s="21"/>
      <c r="IS168" s="21"/>
      <c r="IT168" s="21"/>
      <c r="IU168" s="21"/>
      <c r="IV168" s="21"/>
      <c r="IW168" s="21"/>
      <c r="IX168" s="21"/>
      <c r="IY168" s="21"/>
      <c r="IZ168" s="21"/>
      <c r="JA168" s="21"/>
      <c r="JB168" s="30"/>
      <c r="JC168" s="21"/>
      <c r="JD168" s="36"/>
      <c r="JE168" s="21" t="str">
        <f t="shared" si="684"/>
        <v/>
      </c>
      <c r="JF168" s="30"/>
      <c r="JG168" s="21"/>
      <c r="JH168" s="21"/>
      <c r="JI168" s="21"/>
      <c r="JJ168" s="30"/>
      <c r="JK168" s="22"/>
      <c r="JL168" s="22"/>
      <c r="JM168" s="21"/>
      <c r="JN168" s="36"/>
      <c r="JO168" s="21" t="str">
        <f t="shared" si="685"/>
        <v/>
      </c>
      <c r="JP168" s="22"/>
      <c r="JQ168" s="21"/>
      <c r="JR168" s="21"/>
      <c r="JS168" s="21"/>
      <c r="JT168" s="30"/>
      <c r="JU168" s="22"/>
      <c r="JV168" s="22"/>
      <c r="JW168" s="33"/>
      <c r="JX168" s="28" t="str">
        <f t="shared" si="686"/>
        <v/>
      </c>
      <c r="JY168" s="33"/>
      <c r="JZ168" s="28" t="str">
        <f t="shared" si="687"/>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7"/>
        <v>0</v>
      </c>
      <c r="MI168" s="43" t="str">
        <f t="shared" si="698"/>
        <v/>
      </c>
      <c r="MJ168" s="43" t="str">
        <f t="shared" si="699"/>
        <v/>
      </c>
      <c r="MK168" s="43">
        <f t="shared" si="700"/>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701"/>
        <v>15.928571428571429</v>
      </c>
      <c r="MN168" s="43">
        <f t="shared" si="702"/>
        <v>3</v>
      </c>
      <c r="MO168" s="43">
        <f t="shared" si="703"/>
        <v>2023</v>
      </c>
      <c r="MP168" s="43" t="str">
        <f t="shared" si="704"/>
        <v>I TRIMESTRE AÑO</v>
      </c>
      <c r="MQ168" s="43">
        <f t="shared" si="705"/>
        <v>27.398160315374508</v>
      </c>
      <c r="MR168" s="43">
        <f t="shared" si="706"/>
        <v>0</v>
      </c>
      <c r="MS168" s="43" t="str">
        <f t="shared" si="707"/>
        <v xml:space="preserve"> DE 25 A 29 AÑOS</v>
      </c>
      <c r="MT168" s="43">
        <f t="shared" si="708"/>
        <v>0</v>
      </c>
      <c r="MU168" s="43">
        <f t="shared" si="709"/>
        <v>1</v>
      </c>
      <c r="MV168" s="43">
        <f t="shared" si="710"/>
        <v>2</v>
      </c>
      <c r="MW168" s="43">
        <f t="shared" si="711"/>
        <v>0</v>
      </c>
      <c r="MX168" s="43" t="str">
        <f t="shared" si="712"/>
        <v/>
      </c>
      <c r="MY168" s="43" t="str">
        <f t="shared" ca="1" si="688"/>
        <v/>
      </c>
      <c r="MZ168" s="43" t="str">
        <f t="shared" si="713"/>
        <v/>
      </c>
      <c r="NA168" s="43" t="str">
        <f t="shared" si="714"/>
        <v/>
      </c>
      <c r="NB168" s="43" t="str">
        <f t="shared" si="715"/>
        <v/>
      </c>
      <c r="NC168" s="43" t="str">
        <f t="shared" si="716"/>
        <v/>
      </c>
      <c r="ND168" s="43">
        <f t="shared" ca="1" si="717"/>
        <v>3</v>
      </c>
      <c r="NE168" s="43">
        <f>IF(OR(O168&gt;0,R168&gt;0),SUM(COUNTIF(Tabla1[[#This Row],[AÑOS AL INICIO5 CPN]],"&gt;=40"),COUNTIF(AS168,"0"),COUNTIF(AR168,"SI"),COUNTIF(CC168,"SI"),COUNTIF(BQ168,"&gt;119"),COUNTIF(CI168,"&gt;=35")),"")</f>
        <v>0</v>
      </c>
      <c r="NF168" s="43" t="str">
        <f t="shared" si="718"/>
        <v/>
      </c>
      <c r="NG168" s="43">
        <f t="shared" si="719"/>
        <v>0</v>
      </c>
      <c r="NH168" s="43">
        <f t="shared" si="720"/>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21"/>
        <v>X</v>
      </c>
      <c r="NM168" s="43" t="str">
        <f t="shared" si="695"/>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2"/>
        <v>II TRIM</v>
      </c>
      <c r="NQ168" s="21" t="str">
        <f t="shared" si="691"/>
        <v/>
      </c>
      <c r="NR168" s="21" t="str">
        <f t="shared" ca="1" si="689"/>
        <v>REVISAR FUM O FECHA SALIDA PROGRAMA</v>
      </c>
      <c r="NS168" s="205">
        <f t="shared" ca="1" si="723"/>
        <v>2</v>
      </c>
      <c r="NT168" s="21">
        <f t="shared" ca="1" si="724"/>
        <v>2</v>
      </c>
      <c r="NU168" s="21" t="str">
        <f t="shared" ca="1" si="725"/>
        <v>POR DEFINIR</v>
      </c>
      <c r="NV168" s="21" t="str">
        <f t="shared" ca="1" si="726"/>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7"/>
        <v>SIN VACUNAR</v>
      </c>
      <c r="NY168" s="43">
        <f>ROW(Tabla1[[#This Row],['# DE TAMIZAJES SIFILIS TOMADOS ]])</f>
        <v>168</v>
      </c>
      <c r="NZ168" s="43">
        <f t="shared" si="502"/>
        <v>15</v>
      </c>
      <c r="OA168" s="43" t="str">
        <f t="shared" si="503"/>
        <v/>
      </c>
      <c r="OB168" s="43" t="str">
        <f t="shared" si="504"/>
        <v/>
      </c>
      <c r="OC168" s="43" t="str">
        <f t="shared" si="505"/>
        <v/>
      </c>
      <c r="OD168" s="43" t="str">
        <f t="shared" si="506"/>
        <v/>
      </c>
      <c r="OE168" s="43" t="str">
        <f t="shared" si="507"/>
        <v/>
      </c>
      <c r="OF168" s="43" t="str">
        <f t="shared" si="508"/>
        <v/>
      </c>
      <c r="OG168" s="43" t="str">
        <f t="shared" si="509"/>
        <v>NORMAL</v>
      </c>
      <c r="OH168" s="43" t="str">
        <f t="shared" si="510"/>
        <v/>
      </c>
      <c r="OI168" s="43" t="str">
        <f t="shared" si="511"/>
        <v/>
      </c>
      <c r="OJ168" s="43" t="str">
        <f t="shared" si="512"/>
        <v/>
      </c>
      <c r="OK168" s="43" t="str">
        <f t="shared" si="513"/>
        <v/>
      </c>
      <c r="OL168" s="43" t="str">
        <f t="shared" si="514"/>
        <v/>
      </c>
      <c r="OM168" s="43" t="str">
        <f t="shared" si="515"/>
        <v/>
      </c>
      <c r="ON168" s="43" t="str">
        <f t="shared" si="516"/>
        <v/>
      </c>
      <c r="OO168" s="43" t="str">
        <f t="shared" si="517"/>
        <v/>
      </c>
      <c r="OP168" s="43" t="str">
        <f t="shared" si="518"/>
        <v/>
      </c>
      <c r="OQ168" s="43" t="str">
        <f t="shared" si="519"/>
        <v/>
      </c>
      <c r="OR168" s="43" t="str">
        <f t="shared" si="520"/>
        <v/>
      </c>
      <c r="OS168" s="43" t="str">
        <f t="shared" si="521"/>
        <v/>
      </c>
      <c r="OT168" s="43" t="str">
        <f t="shared" si="522"/>
        <v/>
      </c>
      <c r="OU168" s="43" t="str">
        <f t="shared" si="523"/>
        <v/>
      </c>
      <c r="OV168" s="110" t="str">
        <f t="shared" si="524"/>
        <v/>
      </c>
      <c r="OW168" s="43" t="str">
        <f t="shared" si="525"/>
        <v/>
      </c>
      <c r="OX168" s="43" t="str">
        <f t="shared" si="526"/>
        <v/>
      </c>
      <c r="OY168" s="43" t="str">
        <f t="shared" si="527"/>
        <v/>
      </c>
      <c r="OZ168" s="43" t="str">
        <f t="shared" si="528"/>
        <v/>
      </c>
      <c r="PA168" s="43" t="str">
        <f t="shared" si="529"/>
        <v/>
      </c>
      <c r="PB168" s="43" t="str">
        <f t="shared" si="530"/>
        <v/>
      </c>
      <c r="PC168" s="43" t="str">
        <f t="shared" si="531"/>
        <v/>
      </c>
      <c r="PD168" s="43" t="str">
        <f t="shared" si="532"/>
        <v/>
      </c>
      <c r="PE168" s="43" t="str">
        <f t="shared" si="533"/>
        <v/>
      </c>
      <c r="PF168" s="43" t="str">
        <f t="shared" si="534"/>
        <v/>
      </c>
      <c r="PG168" s="43" t="str">
        <f t="shared" si="535"/>
        <v/>
      </c>
      <c r="PH168" s="43" t="str">
        <f t="shared" si="536"/>
        <v/>
      </c>
      <c r="PI168" s="43">
        <f t="shared" si="537"/>
        <v>36</v>
      </c>
      <c r="PJ168" s="43" t="str">
        <f t="shared" si="538"/>
        <v/>
      </c>
      <c r="PK168" s="43" t="str">
        <f t="shared" si="539"/>
        <v/>
      </c>
      <c r="PL168" s="43" t="str">
        <f t="shared" si="540"/>
        <v/>
      </c>
      <c r="PM168" s="43" t="str">
        <f t="shared" si="541"/>
        <v/>
      </c>
      <c r="PN168" s="43" t="str">
        <f t="shared" si="542"/>
        <v/>
      </c>
      <c r="PO168" s="43" t="str">
        <f t="shared" si="543"/>
        <v/>
      </c>
      <c r="PP168" s="43" t="str">
        <f t="shared" si="544"/>
        <v/>
      </c>
      <c r="PQ168" s="43" t="str">
        <f t="shared" si="545"/>
        <v/>
      </c>
      <c r="PR168" s="43" t="str">
        <f t="shared" si="546"/>
        <v/>
      </c>
      <c r="PS168" s="43" t="str">
        <f t="shared" si="547"/>
        <v/>
      </c>
      <c r="PT168" s="43" t="str">
        <f t="shared" si="548"/>
        <v/>
      </c>
      <c r="PU168" s="43" t="str">
        <f t="shared" si="549"/>
        <v/>
      </c>
      <c r="PV168" s="43" t="str">
        <f t="shared" si="550"/>
        <v/>
      </c>
      <c r="PW168" s="43" t="str">
        <f t="shared" si="551"/>
        <v/>
      </c>
      <c r="PX168" s="43" t="str">
        <f t="shared" si="552"/>
        <v/>
      </c>
      <c r="PY168" s="43" t="str">
        <f t="shared" si="553"/>
        <v/>
      </c>
      <c r="PZ168" s="43" t="str">
        <f t="shared" si="554"/>
        <v/>
      </c>
      <c r="QA168" s="43" t="str">
        <f t="shared" si="555"/>
        <v/>
      </c>
      <c r="QB168" s="43" t="str">
        <f t="shared" si="556"/>
        <v/>
      </c>
      <c r="QC168" s="43" t="str">
        <f t="shared" si="557"/>
        <v/>
      </c>
      <c r="QD168" s="43" t="str">
        <f t="shared" si="558"/>
        <v/>
      </c>
      <c r="QE168" s="43" t="str">
        <f t="shared" si="559"/>
        <v/>
      </c>
      <c r="QF168" s="43" t="str">
        <f t="shared" si="560"/>
        <v/>
      </c>
      <c r="QG168" s="43" t="str">
        <f t="shared" si="561"/>
        <v/>
      </c>
      <c r="QH168" s="43" t="str">
        <f t="shared" si="562"/>
        <v/>
      </c>
      <c r="QI168" s="43" t="str">
        <f t="shared" si="563"/>
        <v/>
      </c>
      <c r="QJ168" s="43" t="str">
        <f t="shared" si="564"/>
        <v/>
      </c>
      <c r="QK168" s="43" t="str">
        <f t="shared" si="565"/>
        <v>SOBREPESO</v>
      </c>
      <c r="QL168" s="43" t="str">
        <f t="shared" si="566"/>
        <v/>
      </c>
      <c r="QM168" s="43" t="str">
        <f t="shared" si="567"/>
        <v/>
      </c>
      <c r="QN168" s="43" t="str">
        <f t="shared" si="568"/>
        <v/>
      </c>
      <c r="QO168" s="43" t="str">
        <f t="shared" si="569"/>
        <v/>
      </c>
      <c r="QP168" s="43" t="str">
        <f t="shared" si="570"/>
        <v/>
      </c>
      <c r="QQ168" s="43" t="str">
        <f t="shared" si="571"/>
        <v/>
      </c>
      <c r="QR168" s="43">
        <f t="shared" si="672"/>
        <v>36</v>
      </c>
      <c r="QS168" s="43"/>
      <c r="QT168" s="21" t="str">
        <f t="shared" si="572"/>
        <v/>
      </c>
      <c r="QU168" s="21" t="str">
        <f t="shared" si="573"/>
        <v/>
      </c>
      <c r="QV168" s="21" t="str">
        <f t="shared" si="574"/>
        <v/>
      </c>
      <c r="QW168" s="21" t="str">
        <f t="shared" si="575"/>
        <v/>
      </c>
      <c r="QX168" s="21" t="str">
        <f t="shared" si="576"/>
        <v/>
      </c>
      <c r="QY168" s="21" t="str">
        <f t="shared" si="577"/>
        <v/>
      </c>
      <c r="QZ168" s="21" t="str">
        <f t="shared" si="578"/>
        <v/>
      </c>
      <c r="RA168" s="21" t="str">
        <f t="shared" si="579"/>
        <v/>
      </c>
      <c r="RB168" s="21" t="str">
        <f t="shared" si="580"/>
        <v/>
      </c>
      <c r="RC168" s="21" t="str">
        <f t="shared" si="581"/>
        <v/>
      </c>
      <c r="RD168" s="21" t="str">
        <f t="shared" si="582"/>
        <v/>
      </c>
      <c r="RE168" s="21" t="str">
        <f t="shared" si="583"/>
        <v/>
      </c>
      <c r="RF168" s="21" t="str">
        <f t="shared" si="584"/>
        <v/>
      </c>
      <c r="RG168" s="21" t="str">
        <f t="shared" si="585"/>
        <v/>
      </c>
      <c r="RH168" s="21" t="str">
        <f t="shared" si="586"/>
        <v/>
      </c>
      <c r="RI168" s="21" t="str">
        <f t="shared" si="587"/>
        <v/>
      </c>
      <c r="RJ168" s="21" t="str">
        <f t="shared" si="588"/>
        <v/>
      </c>
      <c r="RK168" s="21" t="str">
        <f t="shared" si="589"/>
        <v/>
      </c>
      <c r="RL168" s="21" t="str">
        <f t="shared" si="590"/>
        <v/>
      </c>
      <c r="RM168" s="21" t="str">
        <f t="shared" si="591"/>
        <v/>
      </c>
      <c r="RN168" s="21" t="str">
        <f t="shared" si="592"/>
        <v/>
      </c>
      <c r="RO168" s="21" t="str">
        <f t="shared" si="593"/>
        <v/>
      </c>
      <c r="RP168" s="21" t="str">
        <f t="shared" si="594"/>
        <v/>
      </c>
      <c r="RQ168" s="21" t="str">
        <f t="shared" si="595"/>
        <v>ALTO PARA EDAD GESTACIONAL</v>
      </c>
      <c r="RR168" s="21" t="str">
        <f t="shared" si="596"/>
        <v/>
      </c>
      <c r="RS168" s="21" t="str">
        <f t="shared" si="597"/>
        <v/>
      </c>
      <c r="RT168" s="21" t="str">
        <f t="shared" si="598"/>
        <v/>
      </c>
      <c r="RU168" s="21" t="str">
        <f t="shared" si="599"/>
        <v/>
      </c>
      <c r="RV168" s="21">
        <f t="shared" si="600"/>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3"/>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1"/>
        <v>27.580821917808219</v>
      </c>
      <c r="O169" s="22">
        <v>45048</v>
      </c>
      <c r="P169" s="214" t="str">
        <f t="shared" si="675"/>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2"/>
        <v>123.69666666666672</v>
      </c>
      <c r="BR169" s="223">
        <f t="shared" si="603"/>
        <v>45013.9</v>
      </c>
      <c r="BS169" s="224">
        <f t="shared" si="604"/>
        <v>4.8714285714283632</v>
      </c>
      <c r="BT169" s="216" t="str">
        <f t="shared" si="605"/>
        <v>I TRIM</v>
      </c>
      <c r="BU169" s="214">
        <f t="shared" ca="1" si="606"/>
        <v>31.157142857142649</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7"/>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8"/>
        <v>45143</v>
      </c>
      <c r="CL169" s="21">
        <v>61.7</v>
      </c>
      <c r="CM169" s="214">
        <f t="shared" si="609"/>
        <v>27.422222222222224</v>
      </c>
      <c r="CN169" s="216">
        <f t="shared" si="610"/>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90"/>
        <v/>
      </c>
      <c r="DA169" s="21">
        <v>90</v>
      </c>
      <c r="DB169" s="21">
        <v>60</v>
      </c>
      <c r="DC169" s="217" t="str">
        <f t="shared" si="611"/>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6"/>
        <v>PLANEAR PLAN DE PARTO</v>
      </c>
      <c r="DV169" s="226" t="str">
        <f t="shared" si="677"/>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2"/>
        <v>#REF!</v>
      </c>
      <c r="DY169" s="212">
        <f>IF(R169="","",IF(R169&gt;0,MAX(Tabla1[[#This Row],[FECHA C2]:[FECHA C13]],Tabla1[[#This Row],[FECHA CONSULTA PRIMERA VEZ PROGRAMA CPN ]])))</f>
        <v>45143</v>
      </c>
      <c r="DZ169" s="216">
        <f t="shared" si="613"/>
        <v>18</v>
      </c>
      <c r="EA169" s="222">
        <f>IF(R169&gt;0,SUM(COUNTA(DF169:DQ169)+COUNTA(Tabla1[[#This Row],[FECHA CONSULTA PRIMERA VEZ PROGRAMA CPN ]])),"")</f>
        <v>4</v>
      </c>
      <c r="EB169" s="222" t="str">
        <f t="shared" si="614"/>
        <v>SI</v>
      </c>
      <c r="EC169" s="214">
        <f t="shared" si="615"/>
        <v>10</v>
      </c>
      <c r="ED169" s="227">
        <f t="shared" si="616"/>
        <v>0.4</v>
      </c>
      <c r="EE169" s="22">
        <v>45048</v>
      </c>
      <c r="EF169" s="22">
        <v>45048</v>
      </c>
      <c r="EG169" s="22">
        <v>45048</v>
      </c>
      <c r="EH169" s="22">
        <v>45059</v>
      </c>
      <c r="EI169" s="22">
        <v>45048</v>
      </c>
      <c r="EJ169" s="22">
        <v>45086</v>
      </c>
      <c r="EK169" s="22"/>
      <c r="EL169" s="21"/>
      <c r="EM169" s="21">
        <v>14.3</v>
      </c>
      <c r="EN169" s="22">
        <v>45049</v>
      </c>
      <c r="EO169" s="222">
        <f t="shared" si="617"/>
        <v>5.0142857142855064</v>
      </c>
      <c r="EP169" s="214" t="str">
        <f t="shared" si="618"/>
        <v>NO DAR SULFATO FERROSO</v>
      </c>
      <c r="EQ169" s="216" t="str">
        <f t="shared" si="619"/>
        <v>I TRIM</v>
      </c>
      <c r="ER169" s="24"/>
      <c r="ES169" s="22"/>
      <c r="ET169" s="29" t="str">
        <f t="shared" ca="1" si="678"/>
        <v>TOMA DE HEMOGLOBINA TARDÍA</v>
      </c>
      <c r="EU169" s="25" t="str">
        <f t="shared" si="620"/>
        <v/>
      </c>
      <c r="EV169" s="24" t="s">
        <v>1510</v>
      </c>
      <c r="EW169" s="24">
        <v>45049</v>
      </c>
      <c r="EX169" s="22"/>
      <c r="EY169" s="29">
        <f t="shared" si="693"/>
        <v>5.0142857142855064</v>
      </c>
      <c r="EZ169" s="25" t="str">
        <f t="shared" si="694"/>
        <v>SIN RIESGO DE ISOINMUNIZACIÓN</v>
      </c>
      <c r="FA169" s="21">
        <v>79</v>
      </c>
      <c r="FB169" s="22">
        <v>45049</v>
      </c>
      <c r="FC169" s="29">
        <f t="shared" si="621"/>
        <v>5.0142857142855064</v>
      </c>
      <c r="FD169" s="29"/>
      <c r="FE169" s="29"/>
      <c r="FF169" s="29"/>
      <c r="FG169" s="21" t="str">
        <f t="shared" ca="1" si="622"/>
        <v>TOMAR PTOG</v>
      </c>
      <c r="FH169" s="31"/>
      <c r="FI169" s="29" t="str">
        <f t="shared" si="623"/>
        <v>TOMAR EXAMEN</v>
      </c>
      <c r="FJ169" s="22" t="s">
        <v>867</v>
      </c>
      <c r="FK169" s="22">
        <v>45049</v>
      </c>
      <c r="FL169" s="29">
        <f t="shared" ca="1" si="624"/>
        <v>5.0142857142855064</v>
      </c>
      <c r="FM169" s="22"/>
      <c r="FN169" s="32"/>
      <c r="FO169" s="29" t="str">
        <f t="shared" ca="1" si="679"/>
        <v>PIERDE TOMA DE TAMIZAJE</v>
      </c>
      <c r="FP169" s="22"/>
      <c r="FQ169" s="32"/>
      <c r="FR169" s="29" t="str">
        <f t="shared" ca="1" si="680"/>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5"/>
        <v>TOMAR EXAMEN</v>
      </c>
      <c r="FY169" s="22">
        <v>45049</v>
      </c>
      <c r="FZ169" s="22">
        <v>45049</v>
      </c>
      <c r="GA169" s="29">
        <f t="shared" ca="1" si="692"/>
        <v>5.0142857142855064</v>
      </c>
      <c r="GB169" s="22"/>
      <c r="GC169" s="22"/>
      <c r="GD169" s="29" t="str">
        <f t="shared" ca="1" si="681"/>
        <v>PIERDE TOMA DE TAMIZAJE</v>
      </c>
      <c r="GE169" s="22"/>
      <c r="GF169" s="22"/>
      <c r="GG169" s="29" t="str">
        <f t="shared" ca="1" si="682"/>
        <v>EN RANGO PARA TOMAR EXAMEN</v>
      </c>
      <c r="GH169" s="22"/>
      <c r="GI169" s="29"/>
      <c r="GJ169" s="22"/>
      <c r="GK169" s="22"/>
      <c r="GL169" s="22"/>
      <c r="GM169" s="22"/>
      <c r="GN169" s="28" t="s">
        <v>869</v>
      </c>
      <c r="GO169" s="22">
        <v>45049</v>
      </c>
      <c r="GP169" s="29">
        <f t="shared" si="626"/>
        <v>5.0142857142855064</v>
      </c>
      <c r="GQ169" s="28" t="s">
        <v>869</v>
      </c>
      <c r="GR169" s="28" t="s">
        <v>869</v>
      </c>
      <c r="GS169" s="22" t="str">
        <f t="shared" si="728"/>
        <v>CONTROL Igm</v>
      </c>
      <c r="GT169" s="22">
        <v>45049</v>
      </c>
      <c r="GU169" s="29">
        <f t="shared" si="628"/>
        <v>5.1428571428571432</v>
      </c>
      <c r="GV169" s="21" t="str">
        <f t="shared" si="629"/>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30"/>
        <v>#REF!</v>
      </c>
      <c r="HI169" s="22" t="e">
        <f t="shared" ca="1" si="631"/>
        <v>#REF!</v>
      </c>
      <c r="HJ169" s="21" t="str">
        <f t="shared" ca="1" si="632"/>
        <v>***************************************</v>
      </c>
      <c r="HK169" s="21" t="str">
        <f t="shared" si="633"/>
        <v>SIN ANTECEDENTES DE RIESGO</v>
      </c>
      <c r="HL169" s="24" t="str">
        <f t="shared" si="634"/>
        <v>APARENTEMENTE NORMAL</v>
      </c>
      <c r="HM169" s="21" t="e">
        <f t="shared" ca="1" si="635"/>
        <v>#REF!</v>
      </c>
      <c r="HN169" s="30" t="str">
        <f t="shared" si="683"/>
        <v>ACTIVA INGRESO A CPN</v>
      </c>
      <c r="HO169" s="21"/>
      <c r="HP169" s="21"/>
      <c r="HQ169" s="349">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6"/>
        <v>4.8714285714283632</v>
      </c>
      <c r="IA169" s="26" t="s">
        <v>864</v>
      </c>
      <c r="IB169" s="26"/>
      <c r="IC169" s="111"/>
      <c r="ID169" s="22"/>
      <c r="IE169" s="22" t="str">
        <f t="shared" ca="1" si="637"/>
        <v>INASISTENTE</v>
      </c>
      <c r="IF169" s="22"/>
      <c r="IG169" s="22">
        <f t="shared" si="638"/>
        <v>45293.9</v>
      </c>
      <c r="IH169" s="29">
        <f t="shared" ca="1" si="639"/>
        <v>61.900000000001455</v>
      </c>
      <c r="II169" s="22" t="str">
        <f t="shared" ca="1" si="640"/>
        <v>PENDIENTE</v>
      </c>
      <c r="IJ169" s="22"/>
      <c r="IK169" s="21"/>
      <c r="IL169" s="21"/>
      <c r="IM169" s="34"/>
      <c r="IN169" s="22"/>
      <c r="IO169" s="21"/>
      <c r="IP169" s="29" t="str">
        <f t="shared" si="674"/>
        <v/>
      </c>
      <c r="IQ169" s="35"/>
      <c r="IR169" s="21"/>
      <c r="IS169" s="21"/>
      <c r="IT169" s="21"/>
      <c r="IU169" s="21"/>
      <c r="IV169" s="21"/>
      <c r="IW169" s="21"/>
      <c r="IX169" s="21"/>
      <c r="IY169" s="21"/>
      <c r="IZ169" s="21"/>
      <c r="JA169" s="21"/>
      <c r="JB169" s="30"/>
      <c r="JC169" s="21"/>
      <c r="JD169" s="36"/>
      <c r="JE169" s="21" t="str">
        <f t="shared" si="684"/>
        <v/>
      </c>
      <c r="JF169" s="30"/>
      <c r="JG169" s="21"/>
      <c r="JH169" s="21"/>
      <c r="JI169" s="21"/>
      <c r="JJ169" s="30"/>
      <c r="JK169" s="22"/>
      <c r="JL169" s="22"/>
      <c r="JM169" s="21"/>
      <c r="JN169" s="36"/>
      <c r="JO169" s="21" t="str">
        <f t="shared" si="685"/>
        <v/>
      </c>
      <c r="JP169" s="22"/>
      <c r="JQ169" s="21"/>
      <c r="JR169" s="21"/>
      <c r="JS169" s="21"/>
      <c r="JT169" s="30"/>
      <c r="JU169" s="22"/>
      <c r="JV169" s="22"/>
      <c r="JW169" s="33"/>
      <c r="JX169" s="28" t="str">
        <f t="shared" si="686"/>
        <v/>
      </c>
      <c r="JY169" s="33"/>
      <c r="JZ169" s="28" t="str">
        <f t="shared" si="687"/>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7"/>
        <v>0</v>
      </c>
      <c r="MI169" s="43" t="str">
        <f t="shared" si="698"/>
        <v/>
      </c>
      <c r="MJ169" s="43" t="str">
        <f t="shared" si="699"/>
        <v/>
      </c>
      <c r="MK169" s="43">
        <f t="shared" si="700"/>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701"/>
        <v>4.8714285714283632</v>
      </c>
      <c r="MN169" s="43">
        <f t="shared" si="702"/>
        <v>5</v>
      </c>
      <c r="MO169" s="43">
        <f t="shared" si="703"/>
        <v>2023</v>
      </c>
      <c r="MP169" s="43" t="str">
        <f t="shared" si="704"/>
        <v>II TRIMESTRE AÑO</v>
      </c>
      <c r="MQ169" s="43">
        <f t="shared" si="705"/>
        <v>26.669951817783616</v>
      </c>
      <c r="MR169" s="43">
        <f t="shared" si="706"/>
        <v>0</v>
      </c>
      <c r="MS169" s="43" t="str">
        <f t="shared" si="707"/>
        <v xml:space="preserve"> DE 25 A 29 AÑOS</v>
      </c>
      <c r="MT169" s="43">
        <f t="shared" si="708"/>
        <v>0</v>
      </c>
      <c r="MU169" s="43">
        <f t="shared" si="709"/>
        <v>0</v>
      </c>
      <c r="MV169" s="43">
        <f t="shared" si="710"/>
        <v>0</v>
      </c>
      <c r="MW169" s="43">
        <f t="shared" si="711"/>
        <v>0</v>
      </c>
      <c r="MX169" s="43" t="str">
        <f t="shared" si="712"/>
        <v/>
      </c>
      <c r="MY169" s="43" t="str">
        <f t="shared" ca="1" si="688"/>
        <v/>
      </c>
      <c r="MZ169" s="43" t="str">
        <f t="shared" si="713"/>
        <v/>
      </c>
      <c r="NA169" s="43" t="str">
        <f t="shared" si="714"/>
        <v/>
      </c>
      <c r="NB169" s="43" t="str">
        <f t="shared" si="715"/>
        <v/>
      </c>
      <c r="NC169" s="43" t="str">
        <f t="shared" si="716"/>
        <v/>
      </c>
      <c r="ND169" s="43">
        <f t="shared" ca="1" si="717"/>
        <v>0</v>
      </c>
      <c r="NE169" s="43">
        <f>IF(OR(O169&gt;0,R169&gt;0),SUM(COUNTIF(Tabla1[[#This Row],[AÑOS AL INICIO5 CPN]],"&gt;=40"),COUNTIF(AS169,"0"),COUNTIF(AR169,"SI"),COUNTIF(CC169,"SI"),COUNTIF(BQ169,"&gt;119"),COUNTIF(CI169,"&gt;=35")),"")</f>
        <v>1</v>
      </c>
      <c r="NF169" s="43" t="str">
        <f t="shared" si="718"/>
        <v/>
      </c>
      <c r="NG169" s="43">
        <f t="shared" si="719"/>
        <v>0</v>
      </c>
      <c r="NH169" s="43">
        <f t="shared" si="720"/>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21"/>
        <v>38</v>
      </c>
      <c r="NM169" s="43" t="str">
        <f t="shared" si="695"/>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2"/>
        <v>I TRIM</v>
      </c>
      <c r="NQ169" s="21" t="str">
        <f t="shared" si="691"/>
        <v/>
      </c>
      <c r="NR169" s="21">
        <f t="shared" ca="1" si="689"/>
        <v>3</v>
      </c>
      <c r="NS169" s="205">
        <f t="shared" ca="1" si="723"/>
        <v>1</v>
      </c>
      <c r="NT169" s="21">
        <f t="shared" ca="1" si="724"/>
        <v>1</v>
      </c>
      <c r="NU169" s="21" t="str">
        <f t="shared" ca="1" si="725"/>
        <v>INCOMPLETO</v>
      </c>
      <c r="NV169" s="21" t="str">
        <f t="shared" ca="1" si="726"/>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7"/>
        <v>SIN VACUNAR</v>
      </c>
      <c r="NY169" s="43">
        <f>ROW(Tabla1[[#This Row],['# DE TAMIZAJES SIFILIS TOMADOS ]])</f>
        <v>169</v>
      </c>
      <c r="NZ169" s="43" t="str">
        <f t="shared" si="502"/>
        <v>Menor</v>
      </c>
      <c r="OA169" s="43" t="str">
        <f t="shared" si="503"/>
        <v>SOBREPESO</v>
      </c>
      <c r="OB169" s="43" t="str">
        <f t="shared" si="504"/>
        <v/>
      </c>
      <c r="OC169" s="43" t="str">
        <f t="shared" si="505"/>
        <v/>
      </c>
      <c r="OD169" s="43" t="str">
        <f t="shared" si="506"/>
        <v/>
      </c>
      <c r="OE169" s="43" t="str">
        <f t="shared" si="507"/>
        <v/>
      </c>
      <c r="OF169" s="43" t="str">
        <f t="shared" si="508"/>
        <v/>
      </c>
      <c r="OG169" s="43" t="str">
        <f t="shared" si="509"/>
        <v/>
      </c>
      <c r="OH169" s="43" t="str">
        <f t="shared" si="510"/>
        <v/>
      </c>
      <c r="OI169" s="43" t="str">
        <f t="shared" si="511"/>
        <v/>
      </c>
      <c r="OJ169" s="43" t="str">
        <f t="shared" si="512"/>
        <v/>
      </c>
      <c r="OK169" s="43" t="str">
        <f t="shared" si="513"/>
        <v/>
      </c>
      <c r="OL169" s="43" t="str">
        <f t="shared" si="514"/>
        <v/>
      </c>
      <c r="OM169" s="43" t="str">
        <f t="shared" si="515"/>
        <v/>
      </c>
      <c r="ON169" s="43" t="str">
        <f t="shared" si="516"/>
        <v/>
      </c>
      <c r="OO169" s="43" t="str">
        <f t="shared" si="517"/>
        <v/>
      </c>
      <c r="OP169" s="43" t="str">
        <f t="shared" si="518"/>
        <v/>
      </c>
      <c r="OQ169" s="43" t="str">
        <f t="shared" si="519"/>
        <v/>
      </c>
      <c r="OR169" s="43" t="str">
        <f t="shared" si="520"/>
        <v/>
      </c>
      <c r="OS169" s="43" t="str">
        <f t="shared" si="521"/>
        <v/>
      </c>
      <c r="OT169" s="43" t="str">
        <f t="shared" si="522"/>
        <v/>
      </c>
      <c r="OU169" s="43" t="str">
        <f t="shared" si="523"/>
        <v/>
      </c>
      <c r="OV169" s="110" t="str">
        <f t="shared" si="524"/>
        <v/>
      </c>
      <c r="OW169" s="43" t="str">
        <f t="shared" si="525"/>
        <v/>
      </c>
      <c r="OX169" s="43" t="str">
        <f t="shared" si="526"/>
        <v/>
      </c>
      <c r="OY169" s="43" t="str">
        <f t="shared" si="527"/>
        <v/>
      </c>
      <c r="OZ169" s="43" t="str">
        <f t="shared" si="528"/>
        <v/>
      </c>
      <c r="PA169" s="43" t="str">
        <f t="shared" si="529"/>
        <v/>
      </c>
      <c r="PB169" s="43" t="str">
        <f t="shared" si="530"/>
        <v/>
      </c>
      <c r="PC169" s="43" t="str">
        <f t="shared" si="531"/>
        <v/>
      </c>
      <c r="PD169" s="43" t="str">
        <f t="shared" si="532"/>
        <v/>
      </c>
      <c r="PE169" s="43" t="str">
        <f t="shared" si="533"/>
        <v/>
      </c>
      <c r="PF169" s="43" t="str">
        <f t="shared" si="534"/>
        <v/>
      </c>
      <c r="PG169" s="43" t="str">
        <f t="shared" si="535"/>
        <v/>
      </c>
      <c r="PH169" s="43" t="str">
        <f t="shared" si="536"/>
        <v/>
      </c>
      <c r="PI169" s="43">
        <f t="shared" si="537"/>
        <v>18</v>
      </c>
      <c r="PJ169" s="43" t="str">
        <f t="shared" si="538"/>
        <v/>
      </c>
      <c r="PK169" s="43" t="str">
        <f t="shared" si="539"/>
        <v/>
      </c>
      <c r="PL169" s="43" t="str">
        <f t="shared" si="540"/>
        <v/>
      </c>
      <c r="PM169" s="43" t="str">
        <f t="shared" si="541"/>
        <v/>
      </c>
      <c r="PN169" s="43" t="str">
        <f t="shared" si="542"/>
        <v/>
      </c>
      <c r="PO169" s="43" t="str">
        <f t="shared" si="543"/>
        <v/>
      </c>
      <c r="PP169" s="43" t="str">
        <f t="shared" si="544"/>
        <v/>
      </c>
      <c r="PQ169" s="43" t="str">
        <f t="shared" si="545"/>
        <v/>
      </c>
      <c r="PR169" s="43" t="str">
        <f t="shared" si="546"/>
        <v/>
      </c>
      <c r="PS169" s="43" t="str">
        <f t="shared" si="547"/>
        <v>SOBREPESO</v>
      </c>
      <c r="PT169" s="43" t="str">
        <f t="shared" si="548"/>
        <v/>
      </c>
      <c r="PU169" s="43" t="str">
        <f t="shared" si="549"/>
        <v/>
      </c>
      <c r="PV169" s="43" t="str">
        <f t="shared" si="550"/>
        <v/>
      </c>
      <c r="PW169" s="43" t="str">
        <f t="shared" si="551"/>
        <v/>
      </c>
      <c r="PX169" s="43" t="str">
        <f t="shared" si="552"/>
        <v/>
      </c>
      <c r="PY169" s="43" t="str">
        <f t="shared" si="553"/>
        <v/>
      </c>
      <c r="PZ169" s="43" t="str">
        <f t="shared" si="554"/>
        <v/>
      </c>
      <c r="QA169" s="43" t="str">
        <f t="shared" si="555"/>
        <v/>
      </c>
      <c r="QB169" s="43" t="str">
        <f t="shared" si="556"/>
        <v/>
      </c>
      <c r="QC169" s="43" t="str">
        <f t="shared" si="557"/>
        <v/>
      </c>
      <c r="QD169" s="43" t="str">
        <f t="shared" si="558"/>
        <v/>
      </c>
      <c r="QE169" s="43" t="str">
        <f t="shared" si="559"/>
        <v/>
      </c>
      <c r="QF169" s="43" t="str">
        <f t="shared" si="560"/>
        <v/>
      </c>
      <c r="QG169" s="43" t="str">
        <f t="shared" si="561"/>
        <v/>
      </c>
      <c r="QH169" s="43" t="str">
        <f t="shared" si="562"/>
        <v/>
      </c>
      <c r="QI169" s="43" t="str">
        <f t="shared" si="563"/>
        <v/>
      </c>
      <c r="QJ169" s="43" t="str">
        <f t="shared" si="564"/>
        <v/>
      </c>
      <c r="QK169" s="43" t="str">
        <f t="shared" si="565"/>
        <v/>
      </c>
      <c r="QL169" s="43" t="str">
        <f t="shared" si="566"/>
        <v/>
      </c>
      <c r="QM169" s="43" t="str">
        <f t="shared" si="567"/>
        <v/>
      </c>
      <c r="QN169" s="43" t="str">
        <f t="shared" si="568"/>
        <v/>
      </c>
      <c r="QO169" s="43" t="str">
        <f t="shared" si="569"/>
        <v/>
      </c>
      <c r="QP169" s="43" t="str">
        <f t="shared" si="570"/>
        <v/>
      </c>
      <c r="QQ169" s="43" t="str">
        <f t="shared" si="571"/>
        <v/>
      </c>
      <c r="QR169" s="43">
        <f t="shared" si="672"/>
        <v>18</v>
      </c>
      <c r="QS169" s="43"/>
      <c r="QT169" s="21" t="str">
        <f t="shared" si="572"/>
        <v/>
      </c>
      <c r="QU169" s="21" t="str">
        <f t="shared" si="573"/>
        <v/>
      </c>
      <c r="QV169" s="21" t="str">
        <f t="shared" si="574"/>
        <v/>
      </c>
      <c r="QW169" s="21" t="str">
        <f t="shared" si="575"/>
        <v/>
      </c>
      <c r="QX169" s="21" t="str">
        <f t="shared" si="576"/>
        <v/>
      </c>
      <c r="QY169" s="21" t="str">
        <f t="shared" si="577"/>
        <v/>
      </c>
      <c r="QZ169" s="21" t="str">
        <f t="shared" si="578"/>
        <v/>
      </c>
      <c r="RA169" s="21" t="str">
        <f t="shared" si="579"/>
        <v/>
      </c>
      <c r="RB169" s="21" t="str">
        <f t="shared" si="580"/>
        <v/>
      </c>
      <c r="RC169" s="21" t="str">
        <f t="shared" si="581"/>
        <v/>
      </c>
      <c r="RD169" s="21" t="str">
        <f t="shared" si="582"/>
        <v/>
      </c>
      <c r="RE169" s="21" t="str">
        <f t="shared" si="583"/>
        <v/>
      </c>
      <c r="RF169" s="21" t="str">
        <f t="shared" si="584"/>
        <v/>
      </c>
      <c r="RG169" s="21" t="str">
        <f t="shared" si="585"/>
        <v/>
      </c>
      <c r="RH169" s="21" t="str">
        <f t="shared" si="586"/>
        <v/>
      </c>
      <c r="RI169" s="21" t="str">
        <f t="shared" si="587"/>
        <v/>
      </c>
      <c r="RJ169" s="21" t="str">
        <f t="shared" si="588"/>
        <v/>
      </c>
      <c r="RK169" s="21" t="str">
        <f t="shared" si="589"/>
        <v/>
      </c>
      <c r="RL169" s="21" t="str">
        <f t="shared" si="590"/>
        <v/>
      </c>
      <c r="RM169" s="21" t="str">
        <f t="shared" si="591"/>
        <v/>
      </c>
      <c r="RN169" s="21" t="str">
        <f t="shared" si="592"/>
        <v/>
      </c>
      <c r="RO169" s="21" t="str">
        <f t="shared" si="593"/>
        <v/>
      </c>
      <c r="RP169" s="21" t="str">
        <f t="shared" si="594"/>
        <v/>
      </c>
      <c r="RQ169" s="21" t="str">
        <f t="shared" si="595"/>
        <v/>
      </c>
      <c r="RR169" s="21" t="str">
        <f t="shared" si="596"/>
        <v/>
      </c>
      <c r="RS169" s="21" t="str">
        <f t="shared" si="597"/>
        <v/>
      </c>
      <c r="RT169" s="21" t="str">
        <f t="shared" si="598"/>
        <v/>
      </c>
      <c r="RU169" s="21" t="str">
        <f t="shared" si="599"/>
        <v/>
      </c>
      <c r="RV169" s="21">
        <f t="shared" si="600"/>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3"/>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1"/>
        <v>22.846575342465755</v>
      </c>
      <c r="O170" s="22">
        <v>45050</v>
      </c>
      <c r="P170" s="214" t="str">
        <f t="shared" si="675"/>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2"/>
        <v>0</v>
      </c>
      <c r="BR170" s="223">
        <f t="shared" si="603"/>
        <v>44911</v>
      </c>
      <c r="BS170" s="224">
        <f t="shared" si="604"/>
        <v>19.857142857142858</v>
      </c>
      <c r="BT170" s="216" t="str">
        <f t="shared" si="605"/>
        <v>II TRIM</v>
      </c>
      <c r="BU170" s="214" t="str">
        <f t="shared" ca="1" si="606"/>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7"/>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8"/>
        <v>45149</v>
      </c>
      <c r="CL170" s="21">
        <v>72.5</v>
      </c>
      <c r="CM170" s="214">
        <f t="shared" si="609"/>
        <v>29.041820221118407</v>
      </c>
      <c r="CN170" s="216">
        <f t="shared" si="610"/>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1"/>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6"/>
        <v>CONCERTAR PLAN DE PARTO INMEDIATO</v>
      </c>
      <c r="DV170" s="226" t="str">
        <f t="shared" si="677"/>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2"/>
        <v>#REF!</v>
      </c>
      <c r="DY170" s="212">
        <f>IF(R170="","",IF(R170&gt;0,MAX(Tabla1[[#This Row],[FECHA C2]:[FECHA C13]],Tabla1[[#This Row],[FECHA CONSULTA PRIMERA VEZ PROGRAMA CPN ]])))</f>
        <v>45149</v>
      </c>
      <c r="DZ170" s="216">
        <f t="shared" si="613"/>
        <v>34</v>
      </c>
      <c r="EA170" s="222">
        <f>IF(R170&gt;0,SUM(COUNTA(DF170:DQ170)+COUNTA(Tabla1[[#This Row],[FECHA CONSULTA PRIMERA VEZ PROGRAMA CPN ]])),"")</f>
        <v>4</v>
      </c>
      <c r="EB170" s="222" t="str">
        <f t="shared" si="614"/>
        <v>SI</v>
      </c>
      <c r="EC170" s="214">
        <f t="shared" si="615"/>
        <v>7</v>
      </c>
      <c r="ED170" s="227">
        <f t="shared" si="616"/>
        <v>0.5714285714285714</v>
      </c>
      <c r="EE170" s="22">
        <v>45050</v>
      </c>
      <c r="EF170" s="22">
        <v>45149</v>
      </c>
      <c r="EG170" s="22">
        <v>45050</v>
      </c>
      <c r="EH170" s="22"/>
      <c r="EI170" s="22">
        <v>45050</v>
      </c>
      <c r="EJ170" s="22"/>
      <c r="EK170" s="22"/>
      <c r="EL170" s="21"/>
      <c r="EM170" s="21">
        <v>12.8</v>
      </c>
      <c r="EN170" s="22">
        <v>45128</v>
      </c>
      <c r="EO170" s="222">
        <f t="shared" si="617"/>
        <v>31</v>
      </c>
      <c r="EP170" s="214" t="str">
        <f t="shared" si="618"/>
        <v>NORMAL- SUMINISTRAR SULFATO FERROSO</v>
      </c>
      <c r="EQ170" s="216" t="str">
        <f t="shared" si="619"/>
        <v>III TRIM</v>
      </c>
      <c r="ER170" s="24"/>
      <c r="ES170" s="22"/>
      <c r="ET170" s="29" t="str">
        <f t="shared" ca="1" si="678"/>
        <v>TOMA DE HEMOGLOBINA TARDÍA</v>
      </c>
      <c r="EU170" s="25" t="str">
        <f t="shared" si="620"/>
        <v/>
      </c>
      <c r="EV170" s="24" t="s">
        <v>1510</v>
      </c>
      <c r="EW170" s="32">
        <v>45134</v>
      </c>
      <c r="EX170" s="22"/>
      <c r="EY170" s="29">
        <f t="shared" si="693"/>
        <v>31.857142857142858</v>
      </c>
      <c r="EZ170" s="25" t="str">
        <f t="shared" si="694"/>
        <v>SIN RIESGO DE ISOINMUNIZACIÓN</v>
      </c>
      <c r="FA170" s="21"/>
      <c r="FB170" s="22"/>
      <c r="FC170" s="29" t="str">
        <f t="shared" si="621"/>
        <v>TOMAR EXAMEN</v>
      </c>
      <c r="FD170" s="29"/>
      <c r="FE170" s="29"/>
      <c r="FF170" s="29"/>
      <c r="FG170" s="21" t="str">
        <f t="shared" ca="1" si="622"/>
        <v/>
      </c>
      <c r="FH170" s="31"/>
      <c r="FI170" s="29" t="str">
        <f t="shared" si="623"/>
        <v>TOMAR EXAMEN</v>
      </c>
      <c r="FJ170" s="22"/>
      <c r="FK170" s="22"/>
      <c r="FL170" s="29" t="str">
        <f t="shared" ca="1" si="624"/>
        <v>NO APLICA-INGRESO TARDIO</v>
      </c>
      <c r="FM170" s="22"/>
      <c r="FN170" s="22"/>
      <c r="FO170" s="29" t="str">
        <f t="shared" ca="1" si="679"/>
        <v>PIERDE TOMA DE TAMIZAJE</v>
      </c>
      <c r="FP170" s="22" t="s">
        <v>867</v>
      </c>
      <c r="FQ170" s="22">
        <v>45128</v>
      </c>
      <c r="FR170" s="29">
        <f t="shared" ca="1" si="680"/>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5"/>
        <v>TOMAR EXAMEN</v>
      </c>
      <c r="FY170" s="22"/>
      <c r="FZ170" s="22"/>
      <c r="GA170" s="29" t="str">
        <f t="shared" ca="1" si="692"/>
        <v>NO APLICA-INGRESO TARDIO</v>
      </c>
      <c r="GB170" s="22"/>
      <c r="GC170" s="22"/>
      <c r="GD170" s="29" t="str">
        <f t="shared" ca="1" si="681"/>
        <v>PIERDE TOMA DE TAMIZAJE</v>
      </c>
      <c r="GE170" s="22" t="s">
        <v>868</v>
      </c>
      <c r="GF170" s="22">
        <v>45134</v>
      </c>
      <c r="GG170" s="29">
        <f t="shared" ca="1" si="682"/>
        <v>31.857142857142858</v>
      </c>
      <c r="GH170" s="22"/>
      <c r="GI170" s="29"/>
      <c r="GJ170" s="22"/>
      <c r="GK170" s="22"/>
      <c r="GL170" s="22"/>
      <c r="GM170" s="22"/>
      <c r="GN170" s="28" t="s">
        <v>869</v>
      </c>
      <c r="GO170" s="22">
        <v>45128</v>
      </c>
      <c r="GP170" s="29">
        <f t="shared" si="626"/>
        <v>31</v>
      </c>
      <c r="GQ170" s="28" t="s">
        <v>869</v>
      </c>
      <c r="GR170" s="28" t="s">
        <v>869</v>
      </c>
      <c r="GS170" s="22" t="str">
        <f t="shared" si="728"/>
        <v>CONTROL Igm</v>
      </c>
      <c r="GT170" s="22">
        <v>45134</v>
      </c>
      <c r="GU170" s="29">
        <f t="shared" si="628"/>
        <v>31.857142857142858</v>
      </c>
      <c r="GV170" s="21" t="str">
        <f t="shared" si="629"/>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30"/>
        <v>#REF!</v>
      </c>
      <c r="HI170" s="22" t="e">
        <f t="shared" ca="1" si="631"/>
        <v>#REF!</v>
      </c>
      <c r="HJ170" s="21" t="str">
        <f t="shared" ca="1" si="632"/>
        <v>**********************MULTIPARIDAD*****************</v>
      </c>
      <c r="HK170" s="21" t="str">
        <f t="shared" si="633"/>
        <v>SIN ANTECEDENTES DE RIESGO</v>
      </c>
      <c r="HL170" s="24" t="str">
        <f t="shared" si="634"/>
        <v>APARENTEMENTE NORMAL</v>
      </c>
      <c r="HM170" s="21" t="e">
        <f t="shared" ca="1" si="635"/>
        <v>#REF!</v>
      </c>
      <c r="HN170" s="30" t="str">
        <f t="shared" si="683"/>
        <v>ACTIVA INGRESO A CPN</v>
      </c>
      <c r="HO170" s="21"/>
      <c r="HP170" s="21"/>
      <c r="HQ170" s="349">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6"/>
        <v>PENDIENTE CONSULTA</v>
      </c>
      <c r="IA170" s="26"/>
      <c r="IB170" s="26"/>
      <c r="IC170" s="111">
        <v>45063</v>
      </c>
      <c r="ID170" s="111">
        <v>45063</v>
      </c>
      <c r="IE170" s="22" t="str">
        <f t="shared" ca="1" si="637"/>
        <v>VACUNA APLICADA ENTRE SEMANA 20 Y SEMANA 26</v>
      </c>
      <c r="IF170" s="22">
        <v>45098</v>
      </c>
      <c r="IG170" s="22">
        <f t="shared" si="638"/>
        <v>45191</v>
      </c>
      <c r="IH170" s="29">
        <f t="shared" ca="1" si="639"/>
        <v>-41</v>
      </c>
      <c r="II170" s="22" t="str">
        <f t="shared" ca="1" si="640"/>
        <v>POSIBLEMENTE NACIO</v>
      </c>
      <c r="IJ170" s="22"/>
      <c r="IK170" s="21"/>
      <c r="IL170" s="21"/>
      <c r="IM170" s="34"/>
      <c r="IN170" s="22"/>
      <c r="IO170" s="21"/>
      <c r="IP170" s="29" t="str">
        <f t="shared" si="674"/>
        <v/>
      </c>
      <c r="IQ170" s="35"/>
      <c r="IR170" s="21"/>
      <c r="IS170" s="21"/>
      <c r="IT170" s="21"/>
      <c r="IU170" s="21"/>
      <c r="IV170" s="21"/>
      <c r="IW170" s="21"/>
      <c r="IX170" s="21"/>
      <c r="IY170" s="21"/>
      <c r="IZ170" s="21"/>
      <c r="JA170" s="21"/>
      <c r="JB170" s="30"/>
      <c r="JC170" s="21"/>
      <c r="JD170" s="36"/>
      <c r="JE170" s="21" t="str">
        <f t="shared" si="684"/>
        <v/>
      </c>
      <c r="JF170" s="30"/>
      <c r="JG170" s="21"/>
      <c r="JH170" s="21"/>
      <c r="JI170" s="21"/>
      <c r="JJ170" s="30"/>
      <c r="JK170" s="22"/>
      <c r="JL170" s="22"/>
      <c r="JM170" s="21"/>
      <c r="JN170" s="36"/>
      <c r="JO170" s="21" t="str">
        <f t="shared" si="685"/>
        <v/>
      </c>
      <c r="JP170" s="22"/>
      <c r="JQ170" s="21"/>
      <c r="JR170" s="21"/>
      <c r="JS170" s="21"/>
      <c r="JT170" s="30"/>
      <c r="JU170" s="22"/>
      <c r="JV170" s="22"/>
      <c r="JW170" s="33"/>
      <c r="JX170" s="28" t="str">
        <f t="shared" si="686"/>
        <v/>
      </c>
      <c r="JY170" s="33"/>
      <c r="JZ170" s="28" t="str">
        <f t="shared" si="687"/>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7"/>
        <v>0</v>
      </c>
      <c r="MI170" s="43" t="str">
        <f t="shared" si="698"/>
        <v/>
      </c>
      <c r="MJ170" s="43" t="str">
        <f t="shared" si="699"/>
        <v/>
      </c>
      <c r="MK170" s="43">
        <f t="shared" si="700"/>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701"/>
        <v>19.857142857142858</v>
      </c>
      <c r="MN170" s="43">
        <f t="shared" si="702"/>
        <v>5</v>
      </c>
      <c r="MO170" s="43">
        <f t="shared" si="703"/>
        <v>2023</v>
      </c>
      <c r="MP170" s="43" t="str">
        <f t="shared" si="704"/>
        <v>II TRIMESTRE AÑO</v>
      </c>
      <c r="MQ170" s="43">
        <f t="shared" si="705"/>
        <v>22.015987735435829</v>
      </c>
      <c r="MR170" s="43">
        <f t="shared" si="706"/>
        <v>0</v>
      </c>
      <c r="MS170" s="43" t="str">
        <f t="shared" si="707"/>
        <v xml:space="preserve"> DE 20 A 24 AÑOS</v>
      </c>
      <c r="MT170" s="43">
        <f t="shared" si="708"/>
        <v>0</v>
      </c>
      <c r="MU170" s="43">
        <f t="shared" si="709"/>
        <v>1</v>
      </c>
      <c r="MV170" s="43">
        <f t="shared" si="710"/>
        <v>0</v>
      </c>
      <c r="MW170" s="43">
        <f t="shared" si="711"/>
        <v>0</v>
      </c>
      <c r="MX170" s="43" t="str">
        <f t="shared" si="712"/>
        <v/>
      </c>
      <c r="MY170" s="43" t="str">
        <f t="shared" ca="1" si="688"/>
        <v/>
      </c>
      <c r="MZ170" s="43" t="str">
        <f t="shared" si="713"/>
        <v/>
      </c>
      <c r="NA170" s="43">
        <f t="shared" si="714"/>
        <v>0</v>
      </c>
      <c r="NB170" s="43" t="str">
        <f t="shared" si="715"/>
        <v/>
      </c>
      <c r="NC170" s="43" t="str">
        <f t="shared" si="716"/>
        <v/>
      </c>
      <c r="ND170" s="43">
        <f t="shared" ca="1" si="717"/>
        <v>1</v>
      </c>
      <c r="NE170" s="43">
        <f>IF(OR(O170&gt;0,R170&gt;0),SUM(COUNTIF(Tabla1[[#This Row],[AÑOS AL INICIO5 CPN]],"&gt;=40"),COUNTIF(AS170,"0"),COUNTIF(AR170,"SI"),COUNTIF(CC170,"SI"),COUNTIF(BQ170,"&gt;119"),COUNTIF(CI170,"&gt;=35")),"")</f>
        <v>1</v>
      </c>
      <c r="NF170" s="43">
        <f t="shared" si="718"/>
        <v>21.714285714285715</v>
      </c>
      <c r="NG170" s="43">
        <f t="shared" si="719"/>
        <v>0</v>
      </c>
      <c r="NH170" s="43">
        <f t="shared" si="720"/>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21"/>
        <v>X</v>
      </c>
      <c r="NM170" s="43" t="str">
        <f t="shared" si="695"/>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2"/>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9"/>
        <v>REVISAR FUM O FECHA SALIDA PROGRAMA</v>
      </c>
      <c r="NS170" s="205">
        <f t="shared" ca="1" si="723"/>
        <v>1</v>
      </c>
      <c r="NT170" s="21">
        <f t="shared" ca="1" si="724"/>
        <v>1</v>
      </c>
      <c r="NU170" s="21" t="str">
        <f t="shared" ca="1" si="725"/>
        <v>POR DEFINIR</v>
      </c>
      <c r="NV170" s="21" t="str">
        <f t="shared" ca="1" si="726"/>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7"/>
        <v>VACUNADA</v>
      </c>
      <c r="NY170" s="43">
        <f>ROW(Tabla1[[#This Row],['# DE TAMIZAJES SIFILIS TOMADOS ]])</f>
        <v>170</v>
      </c>
      <c r="NZ170" s="43">
        <f t="shared" si="502"/>
        <v>19</v>
      </c>
      <c r="OA170" s="43" t="str">
        <f t="shared" si="503"/>
        <v/>
      </c>
      <c r="OB170" s="43" t="str">
        <f t="shared" si="504"/>
        <v/>
      </c>
      <c r="OC170" s="43" t="str">
        <f t="shared" si="505"/>
        <v/>
      </c>
      <c r="OD170" s="43" t="str">
        <f t="shared" si="506"/>
        <v/>
      </c>
      <c r="OE170" s="43" t="str">
        <f t="shared" si="507"/>
        <v/>
      </c>
      <c r="OF170" s="43" t="str">
        <f t="shared" si="508"/>
        <v/>
      </c>
      <c r="OG170" s="43" t="str">
        <f t="shared" si="509"/>
        <v/>
      </c>
      <c r="OH170" s="43" t="str">
        <f t="shared" si="510"/>
        <v/>
      </c>
      <c r="OI170" s="43" t="str">
        <f t="shared" si="511"/>
        <v/>
      </c>
      <c r="OJ170" s="43" t="str">
        <f t="shared" si="512"/>
        <v/>
      </c>
      <c r="OK170" s="43" t="str">
        <f t="shared" si="513"/>
        <v>SOBREPESO</v>
      </c>
      <c r="OL170" s="43" t="str">
        <f t="shared" si="514"/>
        <v/>
      </c>
      <c r="OM170" s="43" t="str">
        <f t="shared" si="515"/>
        <v/>
      </c>
      <c r="ON170" s="43" t="str">
        <f t="shared" si="516"/>
        <v/>
      </c>
      <c r="OO170" s="43" t="str">
        <f t="shared" si="517"/>
        <v/>
      </c>
      <c r="OP170" s="43" t="str">
        <f t="shared" si="518"/>
        <v/>
      </c>
      <c r="OQ170" s="43" t="str">
        <f t="shared" si="519"/>
        <v/>
      </c>
      <c r="OR170" s="43" t="str">
        <f t="shared" si="520"/>
        <v/>
      </c>
      <c r="OS170" s="43" t="str">
        <f t="shared" si="521"/>
        <v/>
      </c>
      <c r="OT170" s="43" t="str">
        <f t="shared" si="522"/>
        <v/>
      </c>
      <c r="OU170" s="43" t="str">
        <f t="shared" si="523"/>
        <v/>
      </c>
      <c r="OV170" s="110" t="str">
        <f t="shared" si="524"/>
        <v/>
      </c>
      <c r="OW170" s="43" t="str">
        <f t="shared" si="525"/>
        <v/>
      </c>
      <c r="OX170" s="43" t="str">
        <f t="shared" si="526"/>
        <v/>
      </c>
      <c r="OY170" s="43" t="str">
        <f t="shared" si="527"/>
        <v/>
      </c>
      <c r="OZ170" s="43" t="str">
        <f t="shared" si="528"/>
        <v/>
      </c>
      <c r="PA170" s="43" t="str">
        <f t="shared" si="529"/>
        <v/>
      </c>
      <c r="PB170" s="43" t="str">
        <f t="shared" si="530"/>
        <v/>
      </c>
      <c r="PC170" s="43" t="str">
        <f t="shared" si="531"/>
        <v/>
      </c>
      <c r="PD170" s="43" t="str">
        <f t="shared" si="532"/>
        <v/>
      </c>
      <c r="PE170" s="43" t="str">
        <f t="shared" si="533"/>
        <v/>
      </c>
      <c r="PF170" s="43" t="str">
        <f t="shared" si="534"/>
        <v/>
      </c>
      <c r="PG170" s="43" t="str">
        <f t="shared" si="535"/>
        <v/>
      </c>
      <c r="PH170" s="43" t="str">
        <f t="shared" si="536"/>
        <v/>
      </c>
      <c r="PI170" s="43">
        <f t="shared" si="537"/>
        <v>34</v>
      </c>
      <c r="PJ170" s="43" t="str">
        <f t="shared" si="538"/>
        <v/>
      </c>
      <c r="PK170" s="43" t="str">
        <f t="shared" si="539"/>
        <v/>
      </c>
      <c r="PL170" s="43" t="str">
        <f t="shared" si="540"/>
        <v/>
      </c>
      <c r="PM170" s="43" t="str">
        <f t="shared" si="541"/>
        <v/>
      </c>
      <c r="PN170" s="43" t="str">
        <f t="shared" si="542"/>
        <v/>
      </c>
      <c r="PO170" s="43" t="str">
        <f t="shared" si="543"/>
        <v/>
      </c>
      <c r="PP170" s="43" t="str">
        <f t="shared" si="544"/>
        <v/>
      </c>
      <c r="PQ170" s="43" t="str">
        <f t="shared" si="545"/>
        <v/>
      </c>
      <c r="PR170" s="43" t="str">
        <f t="shared" si="546"/>
        <v/>
      </c>
      <c r="PS170" s="43" t="str">
        <f t="shared" si="547"/>
        <v/>
      </c>
      <c r="PT170" s="43" t="str">
        <f t="shared" si="548"/>
        <v/>
      </c>
      <c r="PU170" s="43" t="str">
        <f t="shared" si="549"/>
        <v/>
      </c>
      <c r="PV170" s="43" t="str">
        <f t="shared" si="550"/>
        <v/>
      </c>
      <c r="PW170" s="43" t="str">
        <f t="shared" si="551"/>
        <v/>
      </c>
      <c r="PX170" s="43" t="str">
        <f t="shared" si="552"/>
        <v/>
      </c>
      <c r="PY170" s="43" t="str">
        <f t="shared" si="553"/>
        <v/>
      </c>
      <c r="PZ170" s="43" t="str">
        <f t="shared" si="554"/>
        <v/>
      </c>
      <c r="QA170" s="43" t="str">
        <f t="shared" si="555"/>
        <v/>
      </c>
      <c r="QB170" s="43" t="str">
        <f t="shared" si="556"/>
        <v/>
      </c>
      <c r="QC170" s="43" t="str">
        <f t="shared" si="557"/>
        <v/>
      </c>
      <c r="QD170" s="43" t="str">
        <f t="shared" si="558"/>
        <v/>
      </c>
      <c r="QE170" s="43" t="str">
        <f t="shared" si="559"/>
        <v/>
      </c>
      <c r="QF170" s="43" t="str">
        <f t="shared" si="560"/>
        <v/>
      </c>
      <c r="QG170" s="43" t="str">
        <f t="shared" si="561"/>
        <v/>
      </c>
      <c r="QH170" s="43" t="str">
        <f t="shared" si="562"/>
        <v/>
      </c>
      <c r="QI170" s="43" t="str">
        <f t="shared" si="563"/>
        <v>SOBREPESO</v>
      </c>
      <c r="QJ170" s="43" t="str">
        <f t="shared" si="564"/>
        <v/>
      </c>
      <c r="QK170" s="43" t="str">
        <f t="shared" si="565"/>
        <v/>
      </c>
      <c r="QL170" s="43" t="str">
        <f t="shared" si="566"/>
        <v/>
      </c>
      <c r="QM170" s="43" t="str">
        <f t="shared" si="567"/>
        <v/>
      </c>
      <c r="QN170" s="43" t="str">
        <f t="shared" si="568"/>
        <v/>
      </c>
      <c r="QO170" s="43" t="str">
        <f t="shared" si="569"/>
        <v/>
      </c>
      <c r="QP170" s="43" t="str">
        <f t="shared" si="570"/>
        <v/>
      </c>
      <c r="QQ170" s="43" t="str">
        <f t="shared" si="571"/>
        <v/>
      </c>
      <c r="QR170" s="43">
        <f t="shared" si="672"/>
        <v>34</v>
      </c>
      <c r="QS170" s="43"/>
      <c r="QT170" s="21" t="str">
        <f t="shared" si="572"/>
        <v/>
      </c>
      <c r="QU170" s="21" t="str">
        <f t="shared" si="573"/>
        <v/>
      </c>
      <c r="QV170" s="21" t="str">
        <f t="shared" si="574"/>
        <v/>
      </c>
      <c r="QW170" s="21" t="str">
        <f t="shared" si="575"/>
        <v/>
      </c>
      <c r="QX170" s="21" t="str">
        <f t="shared" si="576"/>
        <v/>
      </c>
      <c r="QY170" s="21" t="str">
        <f t="shared" si="577"/>
        <v/>
      </c>
      <c r="QZ170" s="21" t="str">
        <f t="shared" si="578"/>
        <v/>
      </c>
      <c r="RA170" s="21" t="str">
        <f t="shared" si="579"/>
        <v/>
      </c>
      <c r="RB170" s="21" t="str">
        <f t="shared" si="580"/>
        <v/>
      </c>
      <c r="RC170" s="21" t="str">
        <f t="shared" si="581"/>
        <v/>
      </c>
      <c r="RD170" s="21" t="str">
        <f t="shared" si="582"/>
        <v/>
      </c>
      <c r="RE170" s="21" t="str">
        <f t="shared" si="583"/>
        <v/>
      </c>
      <c r="RF170" s="21" t="str">
        <f t="shared" si="584"/>
        <v/>
      </c>
      <c r="RG170" s="21" t="str">
        <f t="shared" si="585"/>
        <v/>
      </c>
      <c r="RH170" s="21" t="str">
        <f t="shared" si="586"/>
        <v/>
      </c>
      <c r="RI170" s="21" t="str">
        <f t="shared" si="587"/>
        <v/>
      </c>
      <c r="RJ170" s="21" t="str">
        <f t="shared" si="588"/>
        <v/>
      </c>
      <c r="RK170" s="21" t="str">
        <f t="shared" si="589"/>
        <v/>
      </c>
      <c r="RL170" s="21" t="str">
        <f t="shared" si="590"/>
        <v/>
      </c>
      <c r="RM170" s="21" t="str">
        <f t="shared" si="591"/>
        <v/>
      </c>
      <c r="RN170" s="21" t="str">
        <f t="shared" si="592"/>
        <v/>
      </c>
      <c r="RO170" s="21" t="str">
        <f t="shared" si="593"/>
        <v>ADECUADO PARA EDAD GESTACIONAL</v>
      </c>
      <c r="RP170" s="21" t="str">
        <f t="shared" si="594"/>
        <v/>
      </c>
      <c r="RQ170" s="21" t="str">
        <f t="shared" si="595"/>
        <v/>
      </c>
      <c r="RR170" s="21" t="str">
        <f t="shared" si="596"/>
        <v/>
      </c>
      <c r="RS170" s="21" t="str">
        <f t="shared" si="597"/>
        <v/>
      </c>
      <c r="RT170" s="21" t="str">
        <f t="shared" si="598"/>
        <v/>
      </c>
      <c r="RU170" s="21" t="str">
        <f t="shared" si="599"/>
        <v/>
      </c>
      <c r="RV170" s="21">
        <f t="shared" si="600"/>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3"/>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1"/>
        <v>36.909589041095892</v>
      </c>
      <c r="O171" s="22">
        <v>45056</v>
      </c>
      <c r="P171" s="214" t="str">
        <f t="shared" si="675"/>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2"/>
        <v>13.6</v>
      </c>
      <c r="BR171" s="223">
        <f t="shared" si="603"/>
        <v>44915.9</v>
      </c>
      <c r="BS171" s="224">
        <f t="shared" si="604"/>
        <v>20</v>
      </c>
      <c r="BT171" s="216" t="str">
        <f t="shared" si="605"/>
        <v>II TRIM</v>
      </c>
      <c r="BU171" s="214" t="str">
        <f t="shared" ca="1" si="606"/>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7"/>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8"/>
        <v>45149</v>
      </c>
      <c r="CL171" s="21">
        <v>62</v>
      </c>
      <c r="CM171" s="214">
        <f t="shared" si="609"/>
        <v>27.92666996982118</v>
      </c>
      <c r="CN171" s="216">
        <f t="shared" si="610"/>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9">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1"/>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6"/>
        <v>CONCERTAR PLAN DE PARTO INMEDIATO</v>
      </c>
      <c r="DV171" s="226" t="str">
        <f t="shared" si="677"/>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2"/>
        <v>#REF!</v>
      </c>
      <c r="DY171" s="212">
        <f>IF(R171="","",IF(R171&gt;0,MAX(Tabla1[[#This Row],[FECHA C2]:[FECHA C13]],Tabla1[[#This Row],[FECHA CONSULTA PRIMERA VEZ PROGRAMA CPN ]])))</f>
        <v>45149</v>
      </c>
      <c r="DZ171" s="216">
        <f t="shared" si="613"/>
        <v>33</v>
      </c>
      <c r="EA171" s="222">
        <f>IF(R171&gt;0,SUM(COUNTA(DF171:DQ171)+COUNTA(Tabla1[[#This Row],[FECHA CONSULTA PRIMERA VEZ PROGRAMA CPN ]])),"")</f>
        <v>3</v>
      </c>
      <c r="EB171" s="222" t="str">
        <f t="shared" si="614"/>
        <v>NO</v>
      </c>
      <c r="EC171" s="214">
        <f t="shared" si="615"/>
        <v>7</v>
      </c>
      <c r="ED171" s="227">
        <f t="shared" si="616"/>
        <v>0.42857142857142855</v>
      </c>
      <c r="EE171" s="22">
        <v>45056</v>
      </c>
      <c r="EF171" s="22">
        <v>45121</v>
      </c>
      <c r="EG171" s="22">
        <v>45056</v>
      </c>
      <c r="EH171" s="22"/>
      <c r="EI171" s="22">
        <v>45056</v>
      </c>
      <c r="EJ171" s="22"/>
      <c r="EK171" s="22"/>
      <c r="EL171" s="21"/>
      <c r="EM171" s="21">
        <v>12.1</v>
      </c>
      <c r="EN171" s="22">
        <v>45056</v>
      </c>
      <c r="EO171" s="222">
        <f t="shared" si="617"/>
        <v>20</v>
      </c>
      <c r="EP171" s="214" t="str">
        <f t="shared" si="618"/>
        <v>NORMAL- SUMINISTRAR SULFATO FERROSO</v>
      </c>
      <c r="EQ171" s="216" t="str">
        <f t="shared" si="619"/>
        <v>II TRIM</v>
      </c>
      <c r="ER171" s="24"/>
      <c r="ES171" s="22"/>
      <c r="ET171" s="29" t="str">
        <f t="shared" ca="1" si="678"/>
        <v>TOMA DE HEMOGLOBINA TARDÍA</v>
      </c>
      <c r="EU171" s="25" t="str">
        <f t="shared" si="620"/>
        <v/>
      </c>
      <c r="EV171" s="24" t="s">
        <v>1510</v>
      </c>
      <c r="EW171" s="32">
        <v>45056</v>
      </c>
      <c r="EX171" s="22"/>
      <c r="EY171" s="29">
        <f t="shared" si="693"/>
        <v>20</v>
      </c>
      <c r="EZ171" s="25" t="str">
        <f t="shared" si="694"/>
        <v>SIN RIESGO DE ISOINMUNIZACIÓN</v>
      </c>
      <c r="FA171" s="21">
        <v>63</v>
      </c>
      <c r="FB171" s="22">
        <v>45056</v>
      </c>
      <c r="FC171" s="29">
        <f t="shared" si="621"/>
        <v>20</v>
      </c>
      <c r="FD171" s="29"/>
      <c r="FE171" s="29"/>
      <c r="FF171" s="29"/>
      <c r="FG171" s="21" t="str">
        <f t="shared" ca="1" si="622"/>
        <v/>
      </c>
      <c r="FH171" s="31"/>
      <c r="FI171" s="29" t="str">
        <f t="shared" si="623"/>
        <v>TOMAR EXAMEN</v>
      </c>
      <c r="FJ171" s="22"/>
      <c r="FK171" s="32"/>
      <c r="FL171" s="29" t="str">
        <f t="shared" ca="1" si="624"/>
        <v>NO APLICA-INGRESO TARDIO</v>
      </c>
      <c r="FM171" s="22" t="s">
        <v>867</v>
      </c>
      <c r="FN171" s="32">
        <v>45056</v>
      </c>
      <c r="FO171" s="29">
        <f t="shared" ca="1" si="679"/>
        <v>20</v>
      </c>
      <c r="FP171" s="22"/>
      <c r="FQ171" s="32"/>
      <c r="FR171" s="29" t="str">
        <f t="shared" ca="1" si="680"/>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5"/>
        <v>TOMAR EXAMEN</v>
      </c>
      <c r="FY171" s="22"/>
      <c r="FZ171" s="22"/>
      <c r="GA171" s="29" t="str">
        <f t="shared" ca="1" si="692"/>
        <v>NO APLICA-INGRESO TARDIO</v>
      </c>
      <c r="GB171" s="22" t="s">
        <v>868</v>
      </c>
      <c r="GC171" s="22">
        <v>45056</v>
      </c>
      <c r="GD171" s="29">
        <f t="shared" ca="1" si="681"/>
        <v>20</v>
      </c>
      <c r="GE171" s="22"/>
      <c r="GF171" s="22"/>
      <c r="GG171" s="29" t="str">
        <f t="shared" ca="1" si="682"/>
        <v>TOMA INMEDIATA DE TAMIZAJE</v>
      </c>
      <c r="GH171" s="22"/>
      <c r="GI171" s="29"/>
      <c r="GJ171" s="22"/>
      <c r="GK171" s="22"/>
      <c r="GL171" s="22"/>
      <c r="GM171" s="22"/>
      <c r="GN171" s="28" t="s">
        <v>869</v>
      </c>
      <c r="GO171" s="22">
        <v>45056</v>
      </c>
      <c r="GP171" s="29">
        <f t="shared" si="626"/>
        <v>20</v>
      </c>
      <c r="GQ171" s="28" t="s">
        <v>869</v>
      </c>
      <c r="GR171" s="28" t="s">
        <v>869</v>
      </c>
      <c r="GS171" s="22" t="str">
        <f t="shared" si="728"/>
        <v>CONTROL Igm</v>
      </c>
      <c r="GT171" s="22">
        <v>45056</v>
      </c>
      <c r="GU171" s="29">
        <f t="shared" si="628"/>
        <v>20</v>
      </c>
      <c r="GV171" s="21" t="str">
        <f t="shared" si="629"/>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30"/>
        <v>#REF!</v>
      </c>
      <c r="HI171" s="22" t="e">
        <f t="shared" ca="1" si="631"/>
        <v>#REF!</v>
      </c>
      <c r="HJ171" s="21" t="str">
        <f t="shared" ca="1" si="632"/>
        <v>************************RIESGO POR EDAD***************</v>
      </c>
      <c r="HK171" s="21" t="str">
        <f t="shared" si="633"/>
        <v>SIN ANTECEDENTES DE RIESGO</v>
      </c>
      <c r="HL171" s="24" t="str">
        <f t="shared" si="634"/>
        <v>APARENTEMENTE NORMAL</v>
      </c>
      <c r="HM171" s="21" t="e">
        <f t="shared" ca="1" si="635"/>
        <v>#REF!</v>
      </c>
      <c r="HN171" s="30" t="str">
        <f t="shared" si="683"/>
        <v>ACTIVA INGRESO A CPN</v>
      </c>
      <c r="HO171" s="21"/>
      <c r="HP171" s="21"/>
      <c r="HQ171" s="349">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6"/>
        <v>20</v>
      </c>
      <c r="IA171" s="26"/>
      <c r="IB171" s="26"/>
      <c r="IC171" s="111">
        <v>45121</v>
      </c>
      <c r="ID171" s="111">
        <v>45121</v>
      </c>
      <c r="IE171" s="22" t="str">
        <f t="shared" ca="1" si="637"/>
        <v>VACUNA APLICADA ENTRE SEMANA 27 Y EL PARTO</v>
      </c>
      <c r="IF171" s="22"/>
      <c r="IG171" s="22">
        <f t="shared" si="638"/>
        <v>45196</v>
      </c>
      <c r="IH171" s="29">
        <f t="shared" ca="1" si="639"/>
        <v>-36</v>
      </c>
      <c r="II171" s="22" t="str">
        <f t="shared" ca="1" si="640"/>
        <v>POSIBLEMENTE NACIO</v>
      </c>
      <c r="IJ171" s="22"/>
      <c r="IK171" s="21"/>
      <c r="IL171" s="21"/>
      <c r="IM171" s="34"/>
      <c r="IN171" s="22"/>
      <c r="IO171" s="21"/>
      <c r="IP171" s="29" t="str">
        <f t="shared" ref="IP171:IP193" si="730">IF(AND(IN171&gt;0,IK171&lt;&gt;""),SUM(IN171-RW171)/7,"")</f>
        <v/>
      </c>
      <c r="IQ171" s="35"/>
      <c r="IR171" s="21"/>
      <c r="IS171" s="21"/>
      <c r="IT171" s="21"/>
      <c r="IU171" s="21"/>
      <c r="IV171" s="21"/>
      <c r="IW171" s="21"/>
      <c r="IX171" s="21"/>
      <c r="IY171" s="21"/>
      <c r="IZ171" s="21"/>
      <c r="JA171" s="21"/>
      <c r="JB171" s="30"/>
      <c r="JC171" s="21"/>
      <c r="JD171" s="36"/>
      <c r="JE171" s="21" t="str">
        <f t="shared" si="684"/>
        <v/>
      </c>
      <c r="JF171" s="30"/>
      <c r="JG171" s="21"/>
      <c r="JH171" s="21"/>
      <c r="JI171" s="21"/>
      <c r="JJ171" s="30"/>
      <c r="JK171" s="22"/>
      <c r="JL171" s="22"/>
      <c r="JM171" s="21"/>
      <c r="JN171" s="36"/>
      <c r="JO171" s="21" t="str">
        <f t="shared" si="685"/>
        <v/>
      </c>
      <c r="JP171" s="22"/>
      <c r="JQ171" s="21"/>
      <c r="JR171" s="21"/>
      <c r="JS171" s="21"/>
      <c r="JT171" s="30"/>
      <c r="JU171" s="22"/>
      <c r="JV171" s="22"/>
      <c r="JW171" s="33"/>
      <c r="JX171" s="28" t="str">
        <f t="shared" si="686"/>
        <v/>
      </c>
      <c r="JY171" s="33"/>
      <c r="JZ171" s="28" t="str">
        <f t="shared" si="687"/>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7"/>
        <v>0</v>
      </c>
      <c r="MI171" s="43" t="str">
        <f t="shared" si="698"/>
        <v/>
      </c>
      <c r="MJ171" s="43" t="str">
        <f t="shared" si="699"/>
        <v/>
      </c>
      <c r="MK171" s="43">
        <f t="shared" si="700"/>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701"/>
        <v>20</v>
      </c>
      <c r="MN171" s="43">
        <f t="shared" si="702"/>
        <v>5</v>
      </c>
      <c r="MO171" s="43">
        <f t="shared" si="703"/>
        <v>2023</v>
      </c>
      <c r="MP171" s="43" t="str">
        <f t="shared" si="704"/>
        <v>II TRIMESTRE AÑO</v>
      </c>
      <c r="MQ171" s="43">
        <f t="shared" si="705"/>
        <v>35.879325448970654</v>
      </c>
      <c r="MR171" s="43">
        <f t="shared" si="706"/>
        <v>2</v>
      </c>
      <c r="MS171" s="43" t="str">
        <f t="shared" si="707"/>
        <v xml:space="preserve"> DE 35 A 39 AÑOS</v>
      </c>
      <c r="MT171" s="43">
        <f t="shared" si="708"/>
        <v>0</v>
      </c>
      <c r="MU171" s="43">
        <f t="shared" si="709"/>
        <v>0</v>
      </c>
      <c r="MV171" s="43">
        <f t="shared" si="710"/>
        <v>0</v>
      </c>
      <c r="MW171" s="43">
        <f t="shared" si="711"/>
        <v>0</v>
      </c>
      <c r="MX171" s="43" t="str">
        <f t="shared" si="712"/>
        <v/>
      </c>
      <c r="MY171" s="43" t="str">
        <f t="shared" ca="1" si="688"/>
        <v/>
      </c>
      <c r="MZ171" s="43" t="str">
        <f t="shared" si="713"/>
        <v/>
      </c>
      <c r="NA171" s="43" t="str">
        <f t="shared" si="714"/>
        <v/>
      </c>
      <c r="NB171" s="43" t="str">
        <f t="shared" si="715"/>
        <v/>
      </c>
      <c r="NC171" s="43" t="str">
        <f t="shared" si="716"/>
        <v/>
      </c>
      <c r="ND171" s="43">
        <f t="shared" ca="1" si="717"/>
        <v>2</v>
      </c>
      <c r="NE171" s="43">
        <f>IF(OR(O171&gt;0,R171&gt;0),SUM(COUNTIF(Tabla1[[#This Row],[AÑOS AL INICIO5 CPN]],"&gt;=40"),COUNTIF(AS171,"0"),COUNTIF(AR171,"SI"),COUNTIF(CC171,"SI"),COUNTIF(BQ171,"&gt;119"),COUNTIF(CI171,"&gt;=35")),"")</f>
        <v>0</v>
      </c>
      <c r="NF171" s="43">
        <f t="shared" si="718"/>
        <v>29.285714285714285</v>
      </c>
      <c r="NG171" s="43">
        <f t="shared" si="719"/>
        <v>0</v>
      </c>
      <c r="NH171" s="43">
        <f t="shared" si="720"/>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21"/>
        <v>X</v>
      </c>
      <c r="NM171" s="43" t="str">
        <f t="shared" si="695"/>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2"/>
        <v>II TRIM</v>
      </c>
      <c r="NQ171" s="21" t="str">
        <f t="shared" ref="NQ171:NQ193" si="731">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9"/>
        <v>REVISAR FUM O FECHA SALIDA PROGRAMA</v>
      </c>
      <c r="NS171" s="205">
        <f t="shared" ca="1" si="723"/>
        <v>1</v>
      </c>
      <c r="NT171" s="21">
        <f t="shared" ca="1" si="724"/>
        <v>1</v>
      </c>
      <c r="NU171" s="21" t="str">
        <f t="shared" ca="1" si="725"/>
        <v>POR DEFINIR</v>
      </c>
      <c r="NV171" s="21" t="str">
        <f t="shared" ca="1" si="726"/>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7"/>
        <v>VACUNADA</v>
      </c>
      <c r="NY171" s="43">
        <f>ROW(Tabla1[[#This Row],['# DE TAMIZAJES SIFILIS TOMADOS ]])</f>
        <v>171</v>
      </c>
      <c r="NZ171" s="43">
        <f t="shared" si="502"/>
        <v>20</v>
      </c>
      <c r="OA171" s="43" t="str">
        <f t="shared" si="503"/>
        <v/>
      </c>
      <c r="OB171" s="43" t="str">
        <f t="shared" si="504"/>
        <v/>
      </c>
      <c r="OC171" s="43" t="str">
        <f t="shared" si="505"/>
        <v/>
      </c>
      <c r="OD171" s="43" t="str">
        <f t="shared" si="506"/>
        <v/>
      </c>
      <c r="OE171" s="43" t="str">
        <f t="shared" si="507"/>
        <v/>
      </c>
      <c r="OF171" s="43" t="str">
        <f t="shared" si="508"/>
        <v/>
      </c>
      <c r="OG171" s="43" t="str">
        <f t="shared" si="509"/>
        <v/>
      </c>
      <c r="OH171" s="43" t="str">
        <f t="shared" si="510"/>
        <v/>
      </c>
      <c r="OI171" s="43" t="str">
        <f t="shared" si="511"/>
        <v/>
      </c>
      <c r="OJ171" s="43" t="str">
        <f t="shared" si="512"/>
        <v/>
      </c>
      <c r="OK171" s="43" t="str">
        <f t="shared" si="513"/>
        <v/>
      </c>
      <c r="OL171" s="43" t="str">
        <f t="shared" si="514"/>
        <v>NORMAL</v>
      </c>
      <c r="OM171" s="43" t="str">
        <f t="shared" si="515"/>
        <v/>
      </c>
      <c r="ON171" s="43" t="str">
        <f t="shared" si="516"/>
        <v/>
      </c>
      <c r="OO171" s="43" t="str">
        <f t="shared" si="517"/>
        <v/>
      </c>
      <c r="OP171" s="43" t="str">
        <f t="shared" si="518"/>
        <v/>
      </c>
      <c r="OQ171" s="43" t="str">
        <f t="shared" si="519"/>
        <v/>
      </c>
      <c r="OR171" s="43" t="str">
        <f t="shared" si="520"/>
        <v/>
      </c>
      <c r="OS171" s="43" t="str">
        <f t="shared" si="521"/>
        <v/>
      </c>
      <c r="OT171" s="43" t="str">
        <f t="shared" si="522"/>
        <v/>
      </c>
      <c r="OU171" s="43" t="str">
        <f t="shared" si="523"/>
        <v/>
      </c>
      <c r="OV171" s="110" t="str">
        <f t="shared" si="524"/>
        <v/>
      </c>
      <c r="OW171" s="43" t="str">
        <f t="shared" si="525"/>
        <v/>
      </c>
      <c r="OX171" s="43" t="str">
        <f t="shared" si="526"/>
        <v/>
      </c>
      <c r="OY171" s="43" t="str">
        <f t="shared" si="527"/>
        <v/>
      </c>
      <c r="OZ171" s="43" t="str">
        <f t="shared" si="528"/>
        <v/>
      </c>
      <c r="PA171" s="43" t="str">
        <f t="shared" si="529"/>
        <v/>
      </c>
      <c r="PB171" s="43" t="str">
        <f t="shared" si="530"/>
        <v/>
      </c>
      <c r="PC171" s="43" t="str">
        <f t="shared" si="531"/>
        <v/>
      </c>
      <c r="PD171" s="43" t="str">
        <f t="shared" si="532"/>
        <v/>
      </c>
      <c r="PE171" s="43" t="str">
        <f t="shared" si="533"/>
        <v/>
      </c>
      <c r="PF171" s="43" t="str">
        <f t="shared" si="534"/>
        <v/>
      </c>
      <c r="PG171" s="43" t="str">
        <f t="shared" si="535"/>
        <v/>
      </c>
      <c r="PH171" s="43" t="str">
        <f t="shared" si="536"/>
        <v/>
      </c>
      <c r="PI171" s="43">
        <f t="shared" si="537"/>
        <v>33</v>
      </c>
      <c r="PJ171" s="43" t="str">
        <f t="shared" si="538"/>
        <v/>
      </c>
      <c r="PK171" s="43" t="str">
        <f t="shared" si="539"/>
        <v/>
      </c>
      <c r="PL171" s="43" t="str">
        <f t="shared" si="540"/>
        <v/>
      </c>
      <c r="PM171" s="43" t="str">
        <f t="shared" si="541"/>
        <v/>
      </c>
      <c r="PN171" s="43" t="str">
        <f t="shared" si="542"/>
        <v/>
      </c>
      <c r="PO171" s="43" t="str">
        <f t="shared" si="543"/>
        <v/>
      </c>
      <c r="PP171" s="43" t="str">
        <f t="shared" si="544"/>
        <v/>
      </c>
      <c r="PQ171" s="43" t="str">
        <f t="shared" si="545"/>
        <v/>
      </c>
      <c r="PR171" s="43" t="str">
        <f t="shared" si="546"/>
        <v/>
      </c>
      <c r="PS171" s="43" t="str">
        <f t="shared" si="547"/>
        <v/>
      </c>
      <c r="PT171" s="43" t="str">
        <f t="shared" si="548"/>
        <v/>
      </c>
      <c r="PU171" s="43" t="str">
        <f t="shared" si="549"/>
        <v/>
      </c>
      <c r="PV171" s="43" t="str">
        <f t="shared" si="550"/>
        <v/>
      </c>
      <c r="PW171" s="43" t="str">
        <f t="shared" si="551"/>
        <v/>
      </c>
      <c r="PX171" s="43" t="str">
        <f t="shared" si="552"/>
        <v/>
      </c>
      <c r="PY171" s="43" t="str">
        <f t="shared" si="553"/>
        <v/>
      </c>
      <c r="PZ171" s="43" t="str">
        <f t="shared" si="554"/>
        <v/>
      </c>
      <c r="QA171" s="43" t="str">
        <f t="shared" si="555"/>
        <v/>
      </c>
      <c r="QB171" s="43" t="str">
        <f t="shared" si="556"/>
        <v/>
      </c>
      <c r="QC171" s="43" t="str">
        <f t="shared" si="557"/>
        <v/>
      </c>
      <c r="QD171" s="43" t="str">
        <f t="shared" si="558"/>
        <v/>
      </c>
      <c r="QE171" s="43" t="str">
        <f t="shared" si="559"/>
        <v/>
      </c>
      <c r="QF171" s="43" t="str">
        <f t="shared" si="560"/>
        <v/>
      </c>
      <c r="QG171" s="43" t="str">
        <f t="shared" si="561"/>
        <v/>
      </c>
      <c r="QH171" s="43" t="str">
        <f t="shared" si="562"/>
        <v>NORMAL</v>
      </c>
      <c r="QI171" s="43" t="str">
        <f t="shared" si="563"/>
        <v/>
      </c>
      <c r="QJ171" s="43" t="str">
        <f t="shared" si="564"/>
        <v/>
      </c>
      <c r="QK171" s="43" t="str">
        <f t="shared" si="565"/>
        <v/>
      </c>
      <c r="QL171" s="43" t="str">
        <f t="shared" si="566"/>
        <v/>
      </c>
      <c r="QM171" s="43" t="str">
        <f t="shared" si="567"/>
        <v/>
      </c>
      <c r="QN171" s="43" t="str">
        <f t="shared" si="568"/>
        <v/>
      </c>
      <c r="QO171" s="43" t="str">
        <f t="shared" si="569"/>
        <v/>
      </c>
      <c r="QP171" s="43" t="str">
        <f t="shared" si="570"/>
        <v/>
      </c>
      <c r="QQ171" s="43" t="str">
        <f t="shared" si="571"/>
        <v/>
      </c>
      <c r="QR171" s="43">
        <f t="shared" si="672"/>
        <v>33</v>
      </c>
      <c r="QS171" s="43"/>
      <c r="QT171" s="21" t="str">
        <f t="shared" si="572"/>
        <v/>
      </c>
      <c r="QU171" s="21" t="str">
        <f t="shared" si="573"/>
        <v/>
      </c>
      <c r="QV171" s="21" t="str">
        <f t="shared" si="574"/>
        <v/>
      </c>
      <c r="QW171" s="21" t="str">
        <f t="shared" si="575"/>
        <v/>
      </c>
      <c r="QX171" s="21" t="str">
        <f t="shared" si="576"/>
        <v/>
      </c>
      <c r="QY171" s="21" t="str">
        <f t="shared" si="577"/>
        <v/>
      </c>
      <c r="QZ171" s="21" t="str">
        <f t="shared" si="578"/>
        <v/>
      </c>
      <c r="RA171" s="21" t="str">
        <f t="shared" si="579"/>
        <v/>
      </c>
      <c r="RB171" s="21" t="str">
        <f t="shared" si="580"/>
        <v/>
      </c>
      <c r="RC171" s="21" t="str">
        <f t="shared" si="581"/>
        <v/>
      </c>
      <c r="RD171" s="21" t="str">
        <f t="shared" si="582"/>
        <v/>
      </c>
      <c r="RE171" s="21" t="str">
        <f t="shared" si="583"/>
        <v/>
      </c>
      <c r="RF171" s="21" t="str">
        <f t="shared" si="584"/>
        <v/>
      </c>
      <c r="RG171" s="21" t="str">
        <f t="shared" si="585"/>
        <v/>
      </c>
      <c r="RH171" s="21" t="str">
        <f t="shared" si="586"/>
        <v/>
      </c>
      <c r="RI171" s="21" t="str">
        <f t="shared" si="587"/>
        <v/>
      </c>
      <c r="RJ171" s="21" t="str">
        <f t="shared" si="588"/>
        <v/>
      </c>
      <c r="RK171" s="21" t="str">
        <f t="shared" si="589"/>
        <v/>
      </c>
      <c r="RL171" s="21" t="str">
        <f t="shared" si="590"/>
        <v/>
      </c>
      <c r="RM171" s="21" t="str">
        <f t="shared" si="591"/>
        <v/>
      </c>
      <c r="RN171" s="21" t="str">
        <f t="shared" si="592"/>
        <v>ALTO PARA EDAD GESTACIONAL</v>
      </c>
      <c r="RO171" s="21" t="str">
        <f t="shared" si="593"/>
        <v/>
      </c>
      <c r="RP171" s="21" t="str">
        <f t="shared" si="594"/>
        <v/>
      </c>
      <c r="RQ171" s="21" t="str">
        <f t="shared" si="595"/>
        <v/>
      </c>
      <c r="RR171" s="21" t="str">
        <f t="shared" si="596"/>
        <v/>
      </c>
      <c r="RS171" s="21" t="str">
        <f t="shared" si="597"/>
        <v/>
      </c>
      <c r="RT171" s="21" t="str">
        <f t="shared" si="598"/>
        <v/>
      </c>
      <c r="RU171" s="21" t="str">
        <f t="shared" si="599"/>
        <v/>
      </c>
      <c r="RV171" s="21">
        <f t="shared" si="600"/>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3"/>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1"/>
        <v>25.317808219178083</v>
      </c>
      <c r="O172" s="22">
        <v>45062</v>
      </c>
      <c r="P172" s="214" t="str">
        <f t="shared" si="675"/>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2"/>
        <v>12.296666666666715</v>
      </c>
      <c r="BR172" s="223">
        <f t="shared" si="603"/>
        <v>44922.9</v>
      </c>
      <c r="BS172" s="224">
        <f t="shared" si="604"/>
        <v>19.871428571428364</v>
      </c>
      <c r="BT172" s="216" t="str">
        <f t="shared" si="605"/>
        <v>II TRIM</v>
      </c>
      <c r="BU172" s="214" t="str">
        <f t="shared" ca="1" si="606"/>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7"/>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8"/>
        <v>45140</v>
      </c>
      <c r="CL172" s="21">
        <v>55.7</v>
      </c>
      <c r="CM172" s="214">
        <f t="shared" si="609"/>
        <v>25.776296913323154</v>
      </c>
      <c r="CN172" s="216">
        <f t="shared" si="610"/>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9"/>
        <v>APARENTEMENTE NORMAL</v>
      </c>
      <c r="DA172" s="21">
        <v>90</v>
      </c>
      <c r="DB172" s="21">
        <v>60</v>
      </c>
      <c r="DC172" s="217" t="str">
        <f t="shared" si="611"/>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6"/>
        <v>CONCERTAR PLAN DE PARTO INMEDIATO</v>
      </c>
      <c r="DV172" s="226" t="str">
        <f t="shared" si="677"/>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2"/>
        <v>#REF!</v>
      </c>
      <c r="DY172" s="212">
        <f>IF(R172="","",IF(R172&gt;0,MAX(Tabla1[[#This Row],[FECHA C2]:[FECHA C13]],Tabla1[[#This Row],[FECHA CONSULTA PRIMERA VEZ PROGRAMA CPN ]])))</f>
        <v>45140</v>
      </c>
      <c r="DZ172" s="216">
        <f t="shared" si="613"/>
        <v>31</v>
      </c>
      <c r="EA172" s="222">
        <f>IF(R172&gt;0,SUM(COUNTA(DF172:DQ172)+COUNTA(Tabla1[[#This Row],[FECHA CONSULTA PRIMERA VEZ PROGRAMA CPN ]])),"")</f>
        <v>2</v>
      </c>
      <c r="EB172" s="222" t="str">
        <f t="shared" si="614"/>
        <v>NO</v>
      </c>
      <c r="EC172" s="214">
        <f t="shared" si="615"/>
        <v>7</v>
      </c>
      <c r="ED172" s="227">
        <f t="shared" si="616"/>
        <v>0.2857142857142857</v>
      </c>
      <c r="EE172" s="22">
        <v>45062</v>
      </c>
      <c r="EF172" s="22">
        <v>45121</v>
      </c>
      <c r="EG172" s="22">
        <v>45062</v>
      </c>
      <c r="EH172" s="22"/>
      <c r="EI172" s="22">
        <v>45062</v>
      </c>
      <c r="EJ172" s="22"/>
      <c r="EK172" s="22"/>
      <c r="EL172" s="21"/>
      <c r="EM172" s="21">
        <v>11.1</v>
      </c>
      <c r="EN172" s="22">
        <v>45066</v>
      </c>
      <c r="EO172" s="222">
        <f t="shared" si="617"/>
        <v>20.442857142856933</v>
      </c>
      <c r="EP172" s="214" t="str">
        <f t="shared" si="618"/>
        <v>NORMAL- SUMINISTRAR SULFATO FERROSO</v>
      </c>
      <c r="EQ172" s="216" t="str">
        <f t="shared" si="619"/>
        <v>II TRIM</v>
      </c>
      <c r="ER172" s="24"/>
      <c r="ES172" s="22"/>
      <c r="ET172" s="29" t="str">
        <f t="shared" ca="1" si="678"/>
        <v>TOMA DE HEMOGLOBINA TARDÍA</v>
      </c>
      <c r="EU172" s="25" t="str">
        <f t="shared" si="620"/>
        <v/>
      </c>
      <c r="EV172" s="24" t="s">
        <v>1510</v>
      </c>
      <c r="EW172" s="24">
        <v>45066</v>
      </c>
      <c r="EX172" s="22"/>
      <c r="EY172" s="29">
        <f t="shared" si="693"/>
        <v>20.442857142856933</v>
      </c>
      <c r="EZ172" s="25" t="str">
        <f t="shared" si="694"/>
        <v>SIN RIESGO DE ISOINMUNIZACIÓN</v>
      </c>
      <c r="FA172" s="21">
        <v>76</v>
      </c>
      <c r="FB172" s="22">
        <v>45066</v>
      </c>
      <c r="FC172" s="29">
        <f t="shared" si="621"/>
        <v>20.442857142856933</v>
      </c>
      <c r="FD172" s="29"/>
      <c r="FE172" s="29"/>
      <c r="FF172" s="29"/>
      <c r="FG172" s="21" t="str">
        <f t="shared" ca="1" si="622"/>
        <v/>
      </c>
      <c r="FH172" s="31"/>
      <c r="FI172" s="29" t="str">
        <f t="shared" si="623"/>
        <v>TOMAR EXAMEN</v>
      </c>
      <c r="FJ172" s="22"/>
      <c r="FK172" s="22"/>
      <c r="FL172" s="29" t="str">
        <f t="shared" ca="1" si="624"/>
        <v>NO APLICA-INGRESO TARDIO</v>
      </c>
      <c r="FM172" s="22" t="s">
        <v>867</v>
      </c>
      <c r="FN172" s="32">
        <v>45066</v>
      </c>
      <c r="FO172" s="29">
        <f t="shared" ca="1" si="679"/>
        <v>20.442857142856933</v>
      </c>
      <c r="FP172" s="22"/>
      <c r="FQ172" s="32"/>
      <c r="FR172" s="29" t="str">
        <f t="shared" ca="1" si="680"/>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5"/>
        <v>TOMAR EXAMEN</v>
      </c>
      <c r="FY172" s="22"/>
      <c r="FZ172" s="22"/>
      <c r="GA172" s="29" t="str">
        <f t="shared" ca="1" si="692"/>
        <v>NO APLICA-INGRESO TARDIO</v>
      </c>
      <c r="GB172" s="22" t="s">
        <v>868</v>
      </c>
      <c r="GC172" s="22">
        <v>45066</v>
      </c>
      <c r="GD172" s="29">
        <f t="shared" ca="1" si="681"/>
        <v>20.442857142856933</v>
      </c>
      <c r="GE172" s="22"/>
      <c r="GF172" s="22"/>
      <c r="GG172" s="29" t="str">
        <f t="shared" ca="1" si="682"/>
        <v>TOMA INMEDIATA DE TAMIZAJE</v>
      </c>
      <c r="GH172" s="22"/>
      <c r="GI172" s="29"/>
      <c r="GJ172" s="22"/>
      <c r="GK172" s="22"/>
      <c r="GL172" s="22"/>
      <c r="GM172" s="22"/>
      <c r="GN172" s="28" t="s">
        <v>869</v>
      </c>
      <c r="GO172" s="22">
        <v>45066</v>
      </c>
      <c r="GP172" s="29">
        <f t="shared" si="626"/>
        <v>20.442857142856933</v>
      </c>
      <c r="GQ172" s="28" t="s">
        <v>869</v>
      </c>
      <c r="GR172" s="28" t="s">
        <v>869</v>
      </c>
      <c r="GS172" s="22" t="str">
        <f t="shared" si="728"/>
        <v>CONTROL Igm</v>
      </c>
      <c r="GT172" s="22">
        <v>45066</v>
      </c>
      <c r="GU172" s="29">
        <f t="shared" si="628"/>
        <v>13.857142857142858</v>
      </c>
      <c r="GV172" s="21" t="str">
        <f t="shared" si="629"/>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30"/>
        <v>#REF!</v>
      </c>
      <c r="HI172" s="22" t="e">
        <f t="shared" ca="1" si="631"/>
        <v>#REF!</v>
      </c>
      <c r="HJ172" s="21" t="str">
        <f t="shared" ca="1" si="632"/>
        <v>****************POLIHIDRAMNIOS***********************</v>
      </c>
      <c r="HK172" s="21" t="str">
        <f t="shared" si="633"/>
        <v>SIN ANTECEDENTES DE RIESGO</v>
      </c>
      <c r="HL172" s="24" t="str">
        <f t="shared" si="634"/>
        <v>APARENTEMENTE NORMAL</v>
      </c>
      <c r="HM172" s="21" t="e">
        <f t="shared" ca="1" si="635"/>
        <v>#REF!</v>
      </c>
      <c r="HN172" s="30" t="str">
        <f t="shared" si="683"/>
        <v>ACTIVA INGRESO A CPN</v>
      </c>
      <c r="HO172" s="21"/>
      <c r="HP172" s="21"/>
      <c r="HQ172" s="349">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6"/>
        <v>20.299999999999791</v>
      </c>
      <c r="IA172" s="26" t="s">
        <v>854</v>
      </c>
      <c r="IB172" s="26"/>
      <c r="IC172" s="111"/>
      <c r="ID172" s="22"/>
      <c r="IE172" s="22" t="str">
        <f t="shared" ca="1" si="637"/>
        <v/>
      </c>
      <c r="IF172" s="22"/>
      <c r="IG172" s="22">
        <f t="shared" si="638"/>
        <v>45202.9</v>
      </c>
      <c r="IH172" s="29">
        <f t="shared" ca="1" si="639"/>
        <v>-29.099999999998545</v>
      </c>
      <c r="II172" s="22" t="str">
        <f t="shared" ca="1" si="640"/>
        <v>POSIBLEMENTE NACIO</v>
      </c>
      <c r="IJ172" s="22"/>
      <c r="IK172" s="21"/>
      <c r="IL172" s="21"/>
      <c r="IM172" s="34"/>
      <c r="IN172" s="22"/>
      <c r="IO172" s="21"/>
      <c r="IP172" s="29" t="str">
        <f t="shared" si="730"/>
        <v/>
      </c>
      <c r="IQ172" s="35"/>
      <c r="IR172" s="21"/>
      <c r="IS172" s="21"/>
      <c r="IT172" s="21"/>
      <c r="IU172" s="21"/>
      <c r="IV172" s="21"/>
      <c r="IW172" s="21"/>
      <c r="IX172" s="21"/>
      <c r="IY172" s="21"/>
      <c r="IZ172" s="21"/>
      <c r="JA172" s="21"/>
      <c r="JB172" s="30"/>
      <c r="JC172" s="21"/>
      <c r="JD172" s="36"/>
      <c r="JE172" s="21" t="str">
        <f t="shared" si="684"/>
        <v/>
      </c>
      <c r="JF172" s="30"/>
      <c r="JG172" s="21"/>
      <c r="JH172" s="21"/>
      <c r="JI172" s="21"/>
      <c r="JJ172" s="30"/>
      <c r="JK172" s="22"/>
      <c r="JL172" s="22"/>
      <c r="JM172" s="21"/>
      <c r="JN172" s="36"/>
      <c r="JO172" s="21" t="str">
        <f t="shared" si="685"/>
        <v/>
      </c>
      <c r="JP172" s="22"/>
      <c r="JQ172" s="21"/>
      <c r="JR172" s="21"/>
      <c r="JS172" s="21"/>
      <c r="JT172" s="30"/>
      <c r="JU172" s="22"/>
      <c r="JV172" s="22"/>
      <c r="JW172" s="33"/>
      <c r="JX172" s="28" t="str">
        <f t="shared" si="686"/>
        <v/>
      </c>
      <c r="JY172" s="33"/>
      <c r="JZ172" s="28" t="str">
        <f t="shared" si="687"/>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7"/>
        <v>0</v>
      </c>
      <c r="MI172" s="43" t="str">
        <f t="shared" si="698"/>
        <v/>
      </c>
      <c r="MJ172" s="43" t="str">
        <f t="shared" si="699"/>
        <v/>
      </c>
      <c r="MK172" s="43">
        <f t="shared" si="700"/>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701"/>
        <v>19.871428571428364</v>
      </c>
      <c r="MN172" s="43">
        <f t="shared" si="702"/>
        <v>5</v>
      </c>
      <c r="MO172" s="43">
        <f t="shared" si="703"/>
        <v>2023</v>
      </c>
      <c r="MP172" s="43" t="str">
        <f t="shared" si="704"/>
        <v>II TRIMESTRE AÑO</v>
      </c>
      <c r="MQ172" s="43">
        <f t="shared" si="705"/>
        <v>24.477113447218571</v>
      </c>
      <c r="MR172" s="43">
        <f t="shared" si="706"/>
        <v>0</v>
      </c>
      <c r="MS172" s="43" t="str">
        <f t="shared" si="707"/>
        <v xml:space="preserve"> DE 20 A 24 AÑOS</v>
      </c>
      <c r="MT172" s="43">
        <f t="shared" si="708"/>
        <v>0</v>
      </c>
      <c r="MU172" s="43">
        <f t="shared" si="709"/>
        <v>0</v>
      </c>
      <c r="MV172" s="43">
        <f t="shared" si="710"/>
        <v>0</v>
      </c>
      <c r="MW172" s="43">
        <f t="shared" si="711"/>
        <v>0</v>
      </c>
      <c r="MX172" s="43" t="str">
        <f t="shared" si="712"/>
        <v/>
      </c>
      <c r="MY172" s="43" t="str">
        <f t="shared" ca="1" si="688"/>
        <v/>
      </c>
      <c r="MZ172" s="43" t="str">
        <f t="shared" si="713"/>
        <v/>
      </c>
      <c r="NA172" s="43" t="str">
        <f t="shared" si="714"/>
        <v/>
      </c>
      <c r="NB172" s="43" t="str">
        <f t="shared" si="715"/>
        <v/>
      </c>
      <c r="NC172" s="43" t="str">
        <f t="shared" si="716"/>
        <v/>
      </c>
      <c r="ND172" s="43">
        <f t="shared" ca="1" si="717"/>
        <v>2</v>
      </c>
      <c r="NE172" s="43">
        <f>IF(OR(O172&gt;0,R172&gt;0),SUM(COUNTIF(Tabla1[[#This Row],[AÑOS AL INICIO5 CPN]],"&gt;=40"),COUNTIF(AS172,"0"),COUNTIF(AR172,"SI"),COUNTIF(CC172,"SI"),COUNTIF(BQ172,"&gt;119"),COUNTIF(CI172,"&gt;=35")),"")</f>
        <v>0</v>
      </c>
      <c r="NF172" s="43" t="str">
        <f t="shared" si="718"/>
        <v/>
      </c>
      <c r="NG172" s="43">
        <f t="shared" si="719"/>
        <v>0</v>
      </c>
      <c r="NH172" s="43">
        <f t="shared" si="720"/>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21"/>
        <v>X</v>
      </c>
      <c r="NM172" s="43" t="str">
        <f t="shared" si="695"/>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2"/>
        <v>II TRIM</v>
      </c>
      <c r="NQ172" s="21" t="str">
        <f t="shared" si="731"/>
        <v/>
      </c>
      <c r="NR172" s="21" t="str">
        <f t="shared" ca="1" si="689"/>
        <v>REVISAR FUM O FECHA SALIDA PROGRAMA</v>
      </c>
      <c r="NS172" s="205">
        <f t="shared" ca="1" si="723"/>
        <v>1</v>
      </c>
      <c r="NT172" s="21">
        <f t="shared" ca="1" si="724"/>
        <v>1</v>
      </c>
      <c r="NU172" s="21" t="str">
        <f t="shared" ca="1" si="725"/>
        <v>POR DEFINIR</v>
      </c>
      <c r="NV172" s="21" t="str">
        <f t="shared" ca="1" si="726"/>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7"/>
        <v>SIN VACUNAR</v>
      </c>
      <c r="NY172" s="43">
        <f>ROW(Tabla1[[#This Row],['# DE TAMIZAJES SIFILIS TOMADOS ]])</f>
        <v>172</v>
      </c>
      <c r="NZ172" s="43">
        <f t="shared" si="502"/>
        <v>19</v>
      </c>
      <c r="OA172" s="43" t="str">
        <f t="shared" si="503"/>
        <v/>
      </c>
      <c r="OB172" s="43" t="str">
        <f t="shared" si="504"/>
        <v/>
      </c>
      <c r="OC172" s="43" t="str">
        <f t="shared" si="505"/>
        <v/>
      </c>
      <c r="OD172" s="43" t="str">
        <f t="shared" si="506"/>
        <v/>
      </c>
      <c r="OE172" s="43" t="str">
        <f t="shared" si="507"/>
        <v/>
      </c>
      <c r="OF172" s="43" t="str">
        <f t="shared" si="508"/>
        <v/>
      </c>
      <c r="OG172" s="43" t="str">
        <f t="shared" si="509"/>
        <v/>
      </c>
      <c r="OH172" s="43" t="str">
        <f t="shared" si="510"/>
        <v/>
      </c>
      <c r="OI172" s="43" t="str">
        <f t="shared" si="511"/>
        <v/>
      </c>
      <c r="OJ172" s="43" t="str">
        <f t="shared" si="512"/>
        <v/>
      </c>
      <c r="OK172" s="43" t="str">
        <f t="shared" si="513"/>
        <v>NORMAL</v>
      </c>
      <c r="OL172" s="43" t="str">
        <f t="shared" si="514"/>
        <v/>
      </c>
      <c r="OM172" s="43" t="str">
        <f t="shared" si="515"/>
        <v/>
      </c>
      <c r="ON172" s="43" t="str">
        <f t="shared" si="516"/>
        <v/>
      </c>
      <c r="OO172" s="43" t="str">
        <f t="shared" si="517"/>
        <v/>
      </c>
      <c r="OP172" s="43" t="str">
        <f t="shared" si="518"/>
        <v/>
      </c>
      <c r="OQ172" s="43" t="str">
        <f t="shared" si="519"/>
        <v/>
      </c>
      <c r="OR172" s="43" t="str">
        <f t="shared" si="520"/>
        <v/>
      </c>
      <c r="OS172" s="43" t="str">
        <f t="shared" si="521"/>
        <v/>
      </c>
      <c r="OT172" s="43" t="str">
        <f t="shared" si="522"/>
        <v/>
      </c>
      <c r="OU172" s="43" t="str">
        <f t="shared" si="523"/>
        <v/>
      </c>
      <c r="OV172" s="110" t="str">
        <f t="shared" si="524"/>
        <v/>
      </c>
      <c r="OW172" s="43" t="str">
        <f t="shared" si="525"/>
        <v/>
      </c>
      <c r="OX172" s="43" t="str">
        <f t="shared" si="526"/>
        <v/>
      </c>
      <c r="OY172" s="43" t="str">
        <f t="shared" si="527"/>
        <v/>
      </c>
      <c r="OZ172" s="43" t="str">
        <f t="shared" si="528"/>
        <v/>
      </c>
      <c r="PA172" s="43" t="str">
        <f t="shared" si="529"/>
        <v/>
      </c>
      <c r="PB172" s="43" t="str">
        <f t="shared" si="530"/>
        <v/>
      </c>
      <c r="PC172" s="43" t="str">
        <f t="shared" si="531"/>
        <v/>
      </c>
      <c r="PD172" s="43" t="str">
        <f t="shared" si="532"/>
        <v/>
      </c>
      <c r="PE172" s="43" t="str">
        <f t="shared" si="533"/>
        <v/>
      </c>
      <c r="PF172" s="43" t="str">
        <f t="shared" si="534"/>
        <v/>
      </c>
      <c r="PG172" s="43" t="str">
        <f t="shared" si="535"/>
        <v/>
      </c>
      <c r="PH172" s="43" t="str">
        <f t="shared" si="536"/>
        <v/>
      </c>
      <c r="PI172" s="43">
        <f t="shared" si="537"/>
        <v>31</v>
      </c>
      <c r="PJ172" s="43" t="str">
        <f t="shared" si="538"/>
        <v/>
      </c>
      <c r="PK172" s="43" t="str">
        <f t="shared" si="539"/>
        <v/>
      </c>
      <c r="PL172" s="43" t="str">
        <f t="shared" si="540"/>
        <v/>
      </c>
      <c r="PM172" s="43" t="str">
        <f t="shared" si="541"/>
        <v/>
      </c>
      <c r="PN172" s="43" t="str">
        <f t="shared" si="542"/>
        <v/>
      </c>
      <c r="PO172" s="43" t="str">
        <f t="shared" si="543"/>
        <v/>
      </c>
      <c r="PP172" s="43" t="str">
        <f t="shared" si="544"/>
        <v/>
      </c>
      <c r="PQ172" s="43" t="str">
        <f t="shared" si="545"/>
        <v/>
      </c>
      <c r="PR172" s="43" t="str">
        <f t="shared" si="546"/>
        <v/>
      </c>
      <c r="PS172" s="43" t="str">
        <f t="shared" si="547"/>
        <v/>
      </c>
      <c r="PT172" s="43" t="str">
        <f t="shared" si="548"/>
        <v/>
      </c>
      <c r="PU172" s="43" t="str">
        <f t="shared" si="549"/>
        <v/>
      </c>
      <c r="PV172" s="43" t="str">
        <f t="shared" si="550"/>
        <v/>
      </c>
      <c r="PW172" s="43" t="str">
        <f t="shared" si="551"/>
        <v/>
      </c>
      <c r="PX172" s="43" t="str">
        <f t="shared" si="552"/>
        <v/>
      </c>
      <c r="PY172" s="43" t="str">
        <f t="shared" si="553"/>
        <v/>
      </c>
      <c r="PZ172" s="43" t="str">
        <f t="shared" si="554"/>
        <v/>
      </c>
      <c r="QA172" s="43" t="str">
        <f t="shared" si="555"/>
        <v/>
      </c>
      <c r="QB172" s="43" t="str">
        <f t="shared" si="556"/>
        <v/>
      </c>
      <c r="QC172" s="43" t="str">
        <f t="shared" si="557"/>
        <v/>
      </c>
      <c r="QD172" s="43" t="str">
        <f t="shared" si="558"/>
        <v/>
      </c>
      <c r="QE172" s="43" t="str">
        <f t="shared" si="559"/>
        <v/>
      </c>
      <c r="QF172" s="43" t="str">
        <f t="shared" si="560"/>
        <v>NORMAL</v>
      </c>
      <c r="QG172" s="43" t="str">
        <f t="shared" si="561"/>
        <v/>
      </c>
      <c r="QH172" s="43" t="str">
        <f t="shared" si="562"/>
        <v/>
      </c>
      <c r="QI172" s="43" t="str">
        <f t="shared" si="563"/>
        <v/>
      </c>
      <c r="QJ172" s="43" t="str">
        <f t="shared" si="564"/>
        <v/>
      </c>
      <c r="QK172" s="43" t="str">
        <f t="shared" si="565"/>
        <v/>
      </c>
      <c r="QL172" s="43" t="str">
        <f t="shared" si="566"/>
        <v/>
      </c>
      <c r="QM172" s="43" t="str">
        <f t="shared" si="567"/>
        <v/>
      </c>
      <c r="QN172" s="43" t="str">
        <f t="shared" si="568"/>
        <v/>
      </c>
      <c r="QO172" s="43" t="str">
        <f t="shared" si="569"/>
        <v/>
      </c>
      <c r="QP172" s="43" t="str">
        <f t="shared" si="570"/>
        <v/>
      </c>
      <c r="QQ172" s="43" t="str">
        <f t="shared" si="571"/>
        <v/>
      </c>
      <c r="QR172" s="43">
        <f t="shared" si="672"/>
        <v>31</v>
      </c>
      <c r="QS172" s="43"/>
      <c r="QT172" s="21" t="str">
        <f t="shared" si="572"/>
        <v/>
      </c>
      <c r="QU172" s="21" t="str">
        <f t="shared" si="573"/>
        <v/>
      </c>
      <c r="QV172" s="21" t="str">
        <f t="shared" si="574"/>
        <v/>
      </c>
      <c r="QW172" s="21" t="str">
        <f t="shared" si="575"/>
        <v/>
      </c>
      <c r="QX172" s="21" t="str">
        <f t="shared" si="576"/>
        <v/>
      </c>
      <c r="QY172" s="21" t="str">
        <f t="shared" si="577"/>
        <v/>
      </c>
      <c r="QZ172" s="21" t="str">
        <f t="shared" si="578"/>
        <v/>
      </c>
      <c r="RA172" s="21" t="str">
        <f t="shared" si="579"/>
        <v/>
      </c>
      <c r="RB172" s="21" t="str">
        <f t="shared" si="580"/>
        <v/>
      </c>
      <c r="RC172" s="21" t="str">
        <f t="shared" si="581"/>
        <v/>
      </c>
      <c r="RD172" s="21" t="str">
        <f t="shared" si="582"/>
        <v/>
      </c>
      <c r="RE172" s="21" t="str">
        <f t="shared" si="583"/>
        <v/>
      </c>
      <c r="RF172" s="21" t="str">
        <f t="shared" si="584"/>
        <v/>
      </c>
      <c r="RG172" s="21" t="str">
        <f t="shared" si="585"/>
        <v/>
      </c>
      <c r="RH172" s="21" t="str">
        <f t="shared" si="586"/>
        <v/>
      </c>
      <c r="RI172" s="21" t="str">
        <f t="shared" si="587"/>
        <v/>
      </c>
      <c r="RJ172" s="21" t="str">
        <f t="shared" si="588"/>
        <v/>
      </c>
      <c r="RK172" s="21" t="str">
        <f t="shared" si="589"/>
        <v/>
      </c>
      <c r="RL172" s="21" t="str">
        <f t="shared" si="590"/>
        <v>ALTO PARA EDAD GESTACIONAL</v>
      </c>
      <c r="RM172" s="21" t="str">
        <f t="shared" si="591"/>
        <v/>
      </c>
      <c r="RN172" s="21" t="str">
        <f t="shared" si="592"/>
        <v/>
      </c>
      <c r="RO172" s="21" t="str">
        <f t="shared" si="593"/>
        <v/>
      </c>
      <c r="RP172" s="21" t="str">
        <f t="shared" si="594"/>
        <v/>
      </c>
      <c r="RQ172" s="21" t="str">
        <f t="shared" si="595"/>
        <v/>
      </c>
      <c r="RR172" s="21" t="str">
        <f t="shared" si="596"/>
        <v/>
      </c>
      <c r="RS172" s="21" t="str">
        <f t="shared" si="597"/>
        <v/>
      </c>
      <c r="RT172" s="21" t="str">
        <f t="shared" si="598"/>
        <v/>
      </c>
      <c r="RU172" s="21" t="str">
        <f t="shared" si="599"/>
        <v/>
      </c>
      <c r="RV172" s="21">
        <f t="shared" si="600"/>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3"/>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1"/>
        <v>33.591780821917808</v>
      </c>
      <c r="O173" s="22">
        <v>45063</v>
      </c>
      <c r="P173" s="214" t="str">
        <f t="shared" si="675"/>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2"/>
        <v>0</v>
      </c>
      <c r="BR173" s="223">
        <f t="shared" si="603"/>
        <v>44839.8</v>
      </c>
      <c r="BS173" s="224">
        <f t="shared" si="604"/>
        <v>31.88571428571387</v>
      </c>
      <c r="BT173" s="216" t="str">
        <f t="shared" si="605"/>
        <v>III TRIM</v>
      </c>
      <c r="BU173" s="214" t="str">
        <f t="shared" ca="1" si="606"/>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7"/>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8"/>
        <v>45155</v>
      </c>
      <c r="CL173" s="21">
        <v>43</v>
      </c>
      <c r="CM173" s="214">
        <f t="shared" si="609"/>
        <v>21.938775510204085</v>
      </c>
      <c r="CN173" s="216">
        <f t="shared" si="610"/>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9"/>
        <v/>
      </c>
      <c r="DA173" s="21">
        <v>90</v>
      </c>
      <c r="DB173" s="21">
        <v>60</v>
      </c>
      <c r="DC173" s="217" t="str">
        <f t="shared" si="611"/>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6"/>
        <v>CONCERTAR PLAN DE PARTO INMEDIATO</v>
      </c>
      <c r="DV173" s="226" t="str">
        <f t="shared" si="677"/>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2"/>
        <v>#VALUE!</v>
      </c>
      <c r="DY173" s="212">
        <f>IF(R173="","",IF(R173&gt;0,MAX(Tabla1[[#This Row],[FECHA C2]:[FECHA C13]],Tabla1[[#This Row],[FECHA CONSULTA PRIMERA VEZ PROGRAMA CPN ]])))</f>
        <v>45155</v>
      </c>
      <c r="DZ173" s="216">
        <f t="shared" si="613"/>
        <v>45</v>
      </c>
      <c r="EA173" s="222">
        <f>IF(R173&gt;0,SUM(COUNTA(DF173:DQ173)+COUNTA(Tabla1[[#This Row],[FECHA CONSULTA PRIMERA VEZ PROGRAMA CPN ]])),"")</f>
        <v>2</v>
      </c>
      <c r="EB173" s="222" t="str">
        <f t="shared" si="614"/>
        <v>NO</v>
      </c>
      <c r="EC173" s="214">
        <f t="shared" si="615"/>
        <v>4</v>
      </c>
      <c r="ED173" s="227">
        <f t="shared" si="616"/>
        <v>0.5</v>
      </c>
      <c r="EE173" s="22">
        <v>45063</v>
      </c>
      <c r="EF173" s="22"/>
      <c r="EG173" s="22">
        <v>45063</v>
      </c>
      <c r="EH173" s="22"/>
      <c r="EI173" s="22">
        <v>45063</v>
      </c>
      <c r="EJ173" s="22"/>
      <c r="EK173" s="22"/>
      <c r="EL173" s="21"/>
      <c r="EM173" s="21">
        <v>11.1</v>
      </c>
      <c r="EN173" s="22">
        <v>45063</v>
      </c>
      <c r="EO173" s="222">
        <f t="shared" si="617"/>
        <v>31.88571428571387</v>
      </c>
      <c r="EP173" s="214" t="str">
        <f t="shared" si="618"/>
        <v>NORMAL- SUMINISTRAR SULFATO FERROSO</v>
      </c>
      <c r="EQ173" s="216" t="str">
        <f t="shared" si="619"/>
        <v>III TRIM</v>
      </c>
      <c r="ER173" s="24"/>
      <c r="ES173" s="22"/>
      <c r="ET173" s="29" t="str">
        <f t="shared" ca="1" si="678"/>
        <v>TOMA DE HEMOGLOBINA TARDÍA</v>
      </c>
      <c r="EU173" s="25" t="str">
        <f t="shared" si="620"/>
        <v/>
      </c>
      <c r="EV173" s="24" t="s">
        <v>866</v>
      </c>
      <c r="EW173" s="24">
        <v>45063</v>
      </c>
      <c r="EX173" s="22"/>
      <c r="EY173" s="29">
        <f t="shared" si="693"/>
        <v>31.88571428571387</v>
      </c>
      <c r="EZ173" s="25" t="str">
        <f t="shared" ca="1" si="694"/>
        <v/>
      </c>
      <c r="FA173" s="21">
        <v>71</v>
      </c>
      <c r="FB173" s="22">
        <v>45063</v>
      </c>
      <c r="FC173" s="29" t="str">
        <f t="shared" si="621"/>
        <v>NO APLICA &gt; 23 SEM -TOMAR PTOG</v>
      </c>
      <c r="FD173" s="29"/>
      <c r="FE173" s="29"/>
      <c r="FF173" s="29"/>
      <c r="FG173" s="21" t="str">
        <f t="shared" ca="1" si="622"/>
        <v/>
      </c>
      <c r="FH173" s="31"/>
      <c r="FI173" s="29" t="str">
        <f t="shared" si="623"/>
        <v>TOMAR EXAMEN</v>
      </c>
      <c r="FJ173" s="22"/>
      <c r="FK173" s="22"/>
      <c r="FL173" s="29" t="str">
        <f t="shared" ca="1" si="624"/>
        <v>NO APLICA-INGRESO TARDIO</v>
      </c>
      <c r="FM173" s="22" t="s">
        <v>867</v>
      </c>
      <c r="FN173" s="32">
        <v>45063</v>
      </c>
      <c r="FO173" s="29" t="str">
        <f t="shared" ca="1" si="679"/>
        <v>REGISTRAR EN III TRIMESTRE</v>
      </c>
      <c r="FP173" s="22"/>
      <c r="FQ173" s="32"/>
      <c r="FR173" s="29" t="str">
        <f t="shared" ca="1" si="680"/>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5"/>
        <v>TOMAR EXAMEN</v>
      </c>
      <c r="FY173" s="22">
        <v>45063</v>
      </c>
      <c r="FZ173" s="22" t="s">
        <v>1489</v>
      </c>
      <c r="GA173" s="29" t="e">
        <f t="shared" si="692"/>
        <v>#VALUE!</v>
      </c>
      <c r="GB173" s="22" t="s">
        <v>868</v>
      </c>
      <c r="GC173" s="22">
        <v>45063</v>
      </c>
      <c r="GD173" s="29" t="str">
        <f t="shared" ca="1" si="681"/>
        <v>REGISTRAR EN III TRIMESTRE</v>
      </c>
      <c r="GE173" s="22"/>
      <c r="GF173" s="22"/>
      <c r="GG173" s="29" t="str">
        <f t="shared" ca="1" si="682"/>
        <v>TOMA INMEDIATA DE TAMIZAJE</v>
      </c>
      <c r="GH173" s="22"/>
      <c r="GI173" s="29"/>
      <c r="GJ173" s="22"/>
      <c r="GK173" s="22"/>
      <c r="GL173" s="22"/>
      <c r="GM173" s="22"/>
      <c r="GN173" s="28" t="s">
        <v>869</v>
      </c>
      <c r="GO173" s="22">
        <v>45063</v>
      </c>
      <c r="GP173" s="29">
        <f t="shared" si="626"/>
        <v>31.88571428571387</v>
      </c>
      <c r="GQ173" s="28" t="s">
        <v>869</v>
      </c>
      <c r="GR173" s="28" t="s">
        <v>869</v>
      </c>
      <c r="GS173" s="22" t="str">
        <f t="shared" si="728"/>
        <v>CONTROL Igm</v>
      </c>
      <c r="GT173" s="22">
        <v>45063</v>
      </c>
      <c r="GU173" s="29">
        <f t="shared" si="628"/>
        <v>17.285714285714285</v>
      </c>
      <c r="GV173" s="21" t="str">
        <f t="shared" si="629"/>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30"/>
        <v>#REF!</v>
      </c>
      <c r="HI173" s="22" t="e">
        <f t="shared" ca="1" si="631"/>
        <v>#REF!</v>
      </c>
      <c r="HJ173" s="21" t="str">
        <f t="shared" ca="1" si="632"/>
        <v>***************************************</v>
      </c>
      <c r="HK173" s="21" t="str">
        <f t="shared" si="633"/>
        <v>SIN ANTECEDENTES DE RIESGO</v>
      </c>
      <c r="HL173" s="24" t="str">
        <f t="shared" si="634"/>
        <v>APARENTEMENTE NORMAL</v>
      </c>
      <c r="HM173" s="21" t="e">
        <f t="shared" ca="1" si="635"/>
        <v>#VALUE!</v>
      </c>
      <c r="HN173" s="30" t="str">
        <f t="shared" si="683"/>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6"/>
        <v>31.88571428571387</v>
      </c>
      <c r="IA173" s="26"/>
      <c r="IB173" s="26"/>
      <c r="IC173" s="111"/>
      <c r="ID173" s="22"/>
      <c r="IE173" s="22" t="str">
        <f t="shared" ca="1" si="637"/>
        <v/>
      </c>
      <c r="IF173" s="22"/>
      <c r="IG173" s="22">
        <f t="shared" si="638"/>
        <v>45119.8</v>
      </c>
      <c r="IH173" s="29">
        <f t="shared" ca="1" si="639"/>
        <v>-112.19999999999709</v>
      </c>
      <c r="II173" s="22" t="str">
        <f t="shared" ca="1" si="640"/>
        <v>POSIBLEMENTE NACIO</v>
      </c>
      <c r="IJ173" s="22"/>
      <c r="IK173" s="21"/>
      <c r="IL173" s="21"/>
      <c r="IM173" s="34"/>
      <c r="IN173" s="349"/>
      <c r="IO173" s="21"/>
      <c r="IP173" s="29" t="str">
        <f t="shared" si="730"/>
        <v/>
      </c>
      <c r="IQ173" s="35"/>
      <c r="IR173" s="21"/>
      <c r="IS173" s="21"/>
      <c r="IT173" s="21"/>
      <c r="IU173" s="21"/>
      <c r="IV173" s="21"/>
      <c r="IW173" s="21"/>
      <c r="IX173" s="21"/>
      <c r="IY173" s="21"/>
      <c r="IZ173" s="21"/>
      <c r="JA173" s="21"/>
      <c r="JB173" s="30"/>
      <c r="JC173" s="21"/>
      <c r="JD173" s="36"/>
      <c r="JE173" s="21" t="str">
        <f t="shared" si="684"/>
        <v/>
      </c>
      <c r="JF173" s="30"/>
      <c r="JG173" s="21"/>
      <c r="JH173" s="21"/>
      <c r="JI173" s="21"/>
      <c r="JJ173" s="30"/>
      <c r="JK173" s="22"/>
      <c r="JL173" s="22"/>
      <c r="JM173" s="21"/>
      <c r="JN173" s="36"/>
      <c r="JO173" s="21" t="str">
        <f t="shared" si="685"/>
        <v/>
      </c>
      <c r="JP173" s="22"/>
      <c r="JQ173" s="21"/>
      <c r="JR173" s="21"/>
      <c r="JS173" s="21"/>
      <c r="JT173" s="30"/>
      <c r="JU173" s="22"/>
      <c r="JV173" s="22"/>
      <c r="JW173" s="33"/>
      <c r="JX173" s="28" t="str">
        <f t="shared" si="686"/>
        <v/>
      </c>
      <c r="JY173" s="33"/>
      <c r="JZ173" s="28" t="str">
        <f t="shared" si="687"/>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7"/>
        <v>0</v>
      </c>
      <c r="MI173" s="43" t="str">
        <f t="shared" si="698"/>
        <v/>
      </c>
      <c r="MJ173" s="43" t="str">
        <f t="shared" si="699"/>
        <v/>
      </c>
      <c r="MK173" s="43">
        <f t="shared" si="700"/>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701"/>
        <v>31.88571428571387</v>
      </c>
      <c r="MN173" s="43">
        <f t="shared" si="702"/>
        <v>5</v>
      </c>
      <c r="MO173" s="43">
        <f t="shared" si="703"/>
        <v>2023</v>
      </c>
      <c r="MP173" s="43" t="str">
        <f t="shared" si="704"/>
        <v>II TRIMESTRE AÑO</v>
      </c>
      <c r="MQ173" s="43">
        <f t="shared" si="705"/>
        <v>32.629763469119574</v>
      </c>
      <c r="MR173" s="43">
        <f t="shared" si="706"/>
        <v>0</v>
      </c>
      <c r="MS173" s="43" t="str">
        <f t="shared" si="707"/>
        <v xml:space="preserve"> DE 30 A 34 AÑOS</v>
      </c>
      <c r="MT173" s="43">
        <f t="shared" si="708"/>
        <v>0</v>
      </c>
      <c r="MU173" s="43">
        <f t="shared" si="709"/>
        <v>0</v>
      </c>
      <c r="MV173" s="43">
        <f t="shared" si="710"/>
        <v>0</v>
      </c>
      <c r="MW173" s="43">
        <f t="shared" si="711"/>
        <v>0</v>
      </c>
      <c r="MX173" s="43" t="str">
        <f t="shared" si="712"/>
        <v/>
      </c>
      <c r="MY173" s="43" t="str">
        <f t="shared" ca="1" si="688"/>
        <v/>
      </c>
      <c r="MZ173" s="43" t="str">
        <f t="shared" si="713"/>
        <v/>
      </c>
      <c r="NA173" s="43" t="str">
        <f t="shared" si="714"/>
        <v/>
      </c>
      <c r="NB173" s="43" t="str">
        <f t="shared" si="715"/>
        <v/>
      </c>
      <c r="NC173" s="43" t="str">
        <f t="shared" si="716"/>
        <v/>
      </c>
      <c r="ND173" s="43">
        <f t="shared" ca="1" si="717"/>
        <v>0</v>
      </c>
      <c r="NE173" s="43">
        <f>IF(OR(O173&gt;0,R173&gt;0),SUM(COUNTIF(Tabla1[[#This Row],[AÑOS AL INICIO5 CPN]],"&gt;=40"),COUNTIF(AS173,"0"),COUNTIF(AR173,"SI"),COUNTIF(CC173,"SI"),COUNTIF(BQ173,"&gt;119"),COUNTIF(CI173,"&gt;=35")),"")</f>
        <v>0</v>
      </c>
      <c r="NF173" s="43" t="str">
        <f t="shared" si="718"/>
        <v/>
      </c>
      <c r="NG173" s="43">
        <f t="shared" si="719"/>
        <v>0</v>
      </c>
      <c r="NH173" s="43">
        <f t="shared" si="720"/>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21"/>
        <v>X</v>
      </c>
      <c r="NM173" s="43" t="str">
        <f t="shared" si="695"/>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2"/>
        <v>III TRIM</v>
      </c>
      <c r="NQ173" s="21" t="str">
        <f t="shared" si="731"/>
        <v/>
      </c>
      <c r="NR173" s="21">
        <f t="shared" si="689"/>
        <v>1</v>
      </c>
      <c r="NS173" s="205">
        <f t="shared" ca="1" si="723"/>
        <v>0</v>
      </c>
      <c r="NT173" s="21">
        <f t="shared" ca="1" si="724"/>
        <v>0</v>
      </c>
      <c r="NU173" s="21" t="str">
        <f t="shared" ca="1" si="725"/>
        <v>INCOMPLETO</v>
      </c>
      <c r="NV173" s="21" t="str">
        <f t="shared" ca="1" si="726"/>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7"/>
        <v>SIN VACUNAR</v>
      </c>
      <c r="NY173" s="43">
        <f>ROW(Tabla1[[#This Row],['# DE TAMIZAJES SIFILIS TOMADOS ]])</f>
        <v>173</v>
      </c>
      <c r="NZ173" s="43">
        <f t="shared" si="502"/>
        <v>31</v>
      </c>
      <c r="OA173" s="43" t="str">
        <f t="shared" si="503"/>
        <v/>
      </c>
      <c r="OB173" s="43" t="str">
        <f t="shared" si="504"/>
        <v/>
      </c>
      <c r="OC173" s="43" t="str">
        <f t="shared" si="505"/>
        <v/>
      </c>
      <c r="OD173" s="43" t="str">
        <f t="shared" si="506"/>
        <v/>
      </c>
      <c r="OE173" s="43" t="str">
        <f t="shared" si="507"/>
        <v/>
      </c>
      <c r="OF173" s="43" t="str">
        <f t="shared" si="508"/>
        <v/>
      </c>
      <c r="OG173" s="43" t="str">
        <f t="shared" si="509"/>
        <v/>
      </c>
      <c r="OH173" s="43" t="str">
        <f t="shared" si="510"/>
        <v/>
      </c>
      <c r="OI173" s="43" t="str">
        <f t="shared" si="511"/>
        <v/>
      </c>
      <c r="OJ173" s="43" t="str">
        <f t="shared" si="512"/>
        <v/>
      </c>
      <c r="OK173" s="43" t="str">
        <f t="shared" si="513"/>
        <v/>
      </c>
      <c r="OL173" s="43" t="str">
        <f t="shared" si="514"/>
        <v/>
      </c>
      <c r="OM173" s="43" t="str">
        <f t="shared" si="515"/>
        <v/>
      </c>
      <c r="ON173" s="43" t="str">
        <f t="shared" si="516"/>
        <v/>
      </c>
      <c r="OO173" s="43" t="str">
        <f t="shared" si="517"/>
        <v/>
      </c>
      <c r="OP173" s="43" t="str">
        <f t="shared" si="518"/>
        <v/>
      </c>
      <c r="OQ173" s="43" t="str">
        <f t="shared" si="519"/>
        <v/>
      </c>
      <c r="OR173" s="43" t="str">
        <f t="shared" si="520"/>
        <v/>
      </c>
      <c r="OS173" s="43" t="str">
        <f t="shared" si="521"/>
        <v/>
      </c>
      <c r="OT173" s="43" t="str">
        <f t="shared" si="522"/>
        <v/>
      </c>
      <c r="OU173" s="43" t="str">
        <f t="shared" si="523"/>
        <v/>
      </c>
      <c r="OV173" s="110" t="str">
        <f t="shared" si="524"/>
        <v/>
      </c>
      <c r="OW173" s="43" t="str">
        <f t="shared" si="525"/>
        <v>BAJO PESO</v>
      </c>
      <c r="OX173" s="43" t="str">
        <f t="shared" si="526"/>
        <v/>
      </c>
      <c r="OY173" s="43" t="str">
        <f t="shared" si="527"/>
        <v/>
      </c>
      <c r="OZ173" s="43" t="str">
        <f t="shared" si="528"/>
        <v/>
      </c>
      <c r="PA173" s="43" t="str">
        <f t="shared" si="529"/>
        <v/>
      </c>
      <c r="PB173" s="43" t="str">
        <f t="shared" si="530"/>
        <v/>
      </c>
      <c r="PC173" s="43" t="str">
        <f t="shared" si="531"/>
        <v/>
      </c>
      <c r="PD173" s="43" t="str">
        <f t="shared" si="532"/>
        <v/>
      </c>
      <c r="PE173" s="43" t="str">
        <f t="shared" si="533"/>
        <v/>
      </c>
      <c r="PF173" s="43" t="str">
        <f t="shared" si="534"/>
        <v/>
      </c>
      <c r="PG173" s="43" t="str">
        <f t="shared" si="535"/>
        <v/>
      </c>
      <c r="PH173" s="43" t="str">
        <f t="shared" si="536"/>
        <v/>
      </c>
      <c r="PI173" s="43">
        <f t="shared" si="537"/>
        <v>45</v>
      </c>
      <c r="PJ173" s="43" t="str">
        <f t="shared" si="538"/>
        <v/>
      </c>
      <c r="PK173" s="43" t="str">
        <f t="shared" si="539"/>
        <v/>
      </c>
      <c r="PL173" s="43" t="str">
        <f t="shared" si="540"/>
        <v/>
      </c>
      <c r="PM173" s="43" t="str">
        <f t="shared" si="541"/>
        <v/>
      </c>
      <c r="PN173" s="43" t="str">
        <f t="shared" si="542"/>
        <v/>
      </c>
      <c r="PO173" s="43" t="str">
        <f t="shared" si="543"/>
        <v/>
      </c>
      <c r="PP173" s="43" t="str">
        <f t="shared" si="544"/>
        <v/>
      </c>
      <c r="PQ173" s="43" t="str">
        <f t="shared" si="545"/>
        <v/>
      </c>
      <c r="PR173" s="43" t="str">
        <f t="shared" si="546"/>
        <v/>
      </c>
      <c r="PS173" s="43" t="str">
        <f t="shared" si="547"/>
        <v/>
      </c>
      <c r="PT173" s="43" t="str">
        <f t="shared" si="548"/>
        <v/>
      </c>
      <c r="PU173" s="43" t="str">
        <f t="shared" si="549"/>
        <v/>
      </c>
      <c r="PV173" s="43" t="str">
        <f t="shared" si="550"/>
        <v/>
      </c>
      <c r="PW173" s="43" t="str">
        <f t="shared" si="551"/>
        <v/>
      </c>
      <c r="PX173" s="43" t="str">
        <f t="shared" si="552"/>
        <v/>
      </c>
      <c r="PY173" s="43" t="str">
        <f t="shared" si="553"/>
        <v/>
      </c>
      <c r="PZ173" s="43" t="str">
        <f t="shared" si="554"/>
        <v/>
      </c>
      <c r="QA173" s="43" t="str">
        <f t="shared" si="555"/>
        <v/>
      </c>
      <c r="QB173" s="43" t="str">
        <f t="shared" si="556"/>
        <v/>
      </c>
      <c r="QC173" s="43" t="str">
        <f t="shared" si="557"/>
        <v/>
      </c>
      <c r="QD173" s="43" t="str">
        <f t="shared" si="558"/>
        <v/>
      </c>
      <c r="QE173" s="43" t="str">
        <f t="shared" si="559"/>
        <v/>
      </c>
      <c r="QF173" s="43" t="str">
        <f t="shared" si="560"/>
        <v/>
      </c>
      <c r="QG173" s="43" t="str">
        <f t="shared" si="561"/>
        <v/>
      </c>
      <c r="QH173" s="43" t="str">
        <f t="shared" si="562"/>
        <v/>
      </c>
      <c r="QI173" s="43" t="str">
        <f t="shared" si="563"/>
        <v/>
      </c>
      <c r="QJ173" s="43" t="str">
        <f t="shared" si="564"/>
        <v/>
      </c>
      <c r="QK173" s="43" t="str">
        <f t="shared" si="565"/>
        <v/>
      </c>
      <c r="QL173" s="43" t="str">
        <f t="shared" si="566"/>
        <v/>
      </c>
      <c r="QM173" s="43" t="str">
        <f t="shared" si="567"/>
        <v/>
      </c>
      <c r="QN173" s="43" t="str">
        <f t="shared" si="568"/>
        <v/>
      </c>
      <c r="QO173" s="43" t="str">
        <f t="shared" si="569"/>
        <v/>
      </c>
      <c r="QP173" s="43" t="str">
        <f t="shared" si="570"/>
        <v/>
      </c>
      <c r="QQ173" s="43" t="str">
        <f t="shared" si="571"/>
        <v/>
      </c>
      <c r="QR173" s="43" t="str">
        <f t="shared" si="672"/>
        <v>Mayor</v>
      </c>
      <c r="QS173" s="43"/>
      <c r="QT173" s="21" t="str">
        <f t="shared" si="572"/>
        <v/>
      </c>
      <c r="QU173" s="21" t="str">
        <f t="shared" si="573"/>
        <v/>
      </c>
      <c r="QV173" s="21" t="str">
        <f t="shared" si="574"/>
        <v/>
      </c>
      <c r="QW173" s="21" t="str">
        <f t="shared" si="575"/>
        <v/>
      </c>
      <c r="QX173" s="21" t="str">
        <f t="shared" si="576"/>
        <v/>
      </c>
      <c r="QY173" s="21" t="str">
        <f t="shared" si="577"/>
        <v/>
      </c>
      <c r="QZ173" s="21" t="str">
        <f t="shared" si="578"/>
        <v/>
      </c>
      <c r="RA173" s="21" t="str">
        <f t="shared" si="579"/>
        <v/>
      </c>
      <c r="RB173" s="21" t="str">
        <f t="shared" si="580"/>
        <v/>
      </c>
      <c r="RC173" s="21" t="str">
        <f t="shared" si="581"/>
        <v/>
      </c>
      <c r="RD173" s="21" t="str">
        <f t="shared" si="582"/>
        <v/>
      </c>
      <c r="RE173" s="21" t="str">
        <f t="shared" si="583"/>
        <v/>
      </c>
      <c r="RF173" s="21" t="str">
        <f t="shared" si="584"/>
        <v/>
      </c>
      <c r="RG173" s="21" t="str">
        <f t="shared" si="585"/>
        <v/>
      </c>
      <c r="RH173" s="21" t="str">
        <f t="shared" si="586"/>
        <v/>
      </c>
      <c r="RI173" s="21" t="str">
        <f t="shared" si="587"/>
        <v/>
      </c>
      <c r="RJ173" s="21" t="str">
        <f t="shared" si="588"/>
        <v/>
      </c>
      <c r="RK173" s="21" t="str">
        <f t="shared" si="589"/>
        <v/>
      </c>
      <c r="RL173" s="21" t="str">
        <f t="shared" si="590"/>
        <v/>
      </c>
      <c r="RM173" s="21" t="str">
        <f t="shared" si="591"/>
        <v/>
      </c>
      <c r="RN173" s="21" t="str">
        <f t="shared" si="592"/>
        <v/>
      </c>
      <c r="RO173" s="21" t="str">
        <f t="shared" si="593"/>
        <v/>
      </c>
      <c r="RP173" s="21" t="str">
        <f t="shared" si="594"/>
        <v/>
      </c>
      <c r="RQ173" s="21" t="str">
        <f t="shared" si="595"/>
        <v/>
      </c>
      <c r="RR173" s="21" t="str">
        <f t="shared" si="596"/>
        <v/>
      </c>
      <c r="RS173" s="21" t="str">
        <f t="shared" si="597"/>
        <v/>
      </c>
      <c r="RT173" s="21" t="str">
        <f t="shared" si="598"/>
        <v/>
      </c>
      <c r="RU173" s="21" t="str">
        <f t="shared" si="599"/>
        <v/>
      </c>
      <c r="RV173" s="21">
        <f t="shared" si="600"/>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3"/>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1"/>
        <v>38.583561643835615</v>
      </c>
      <c r="O174" s="22">
        <v>45065</v>
      </c>
      <c r="P174" s="214" t="str">
        <f t="shared" si="675"/>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2"/>
        <v>96.6</v>
      </c>
      <c r="BR174" s="223">
        <f t="shared" si="603"/>
        <v>44829.8</v>
      </c>
      <c r="BS174" s="224">
        <f t="shared" si="604"/>
        <v>10</v>
      </c>
      <c r="BT174" s="216" t="str">
        <f t="shared" si="605"/>
        <v>II TRIM</v>
      </c>
      <c r="BU174" s="214">
        <f t="shared" ca="1" si="606"/>
        <v>33.857142857142854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7"/>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8"/>
        <v>45154</v>
      </c>
      <c r="CL174" s="21">
        <v>63.5</v>
      </c>
      <c r="CM174" s="214">
        <f t="shared" si="609"/>
        <v>27.849655716854524</v>
      </c>
      <c r="CN174" s="216">
        <f t="shared" si="610"/>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9"/>
        <v/>
      </c>
      <c r="DA174" s="21">
        <v>100</v>
      </c>
      <c r="DB174" s="21">
        <v>60</v>
      </c>
      <c r="DC174" s="217" t="str">
        <f t="shared" si="611"/>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6"/>
        <v>PLANEAR PLAN DE PARTO</v>
      </c>
      <c r="DV174" s="226" t="str">
        <f t="shared" si="677"/>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2"/>
        <v>#REF!</v>
      </c>
      <c r="DY174" s="212">
        <f>IF(R174="","",IF(R174&gt;0,MAX(Tabla1[[#This Row],[FECHA C2]:[FECHA C13]],Tabla1[[#This Row],[FECHA CONSULTA PRIMERA VEZ PROGRAMA CPN ]])))</f>
        <v>45154</v>
      </c>
      <c r="DZ174" s="216">
        <f t="shared" si="613"/>
        <v>22</v>
      </c>
      <c r="EA174" s="222">
        <f>IF(R174&gt;0,SUM(COUNTA(DF174:DQ174)+COUNTA(Tabla1[[#This Row],[FECHA CONSULTA PRIMERA VEZ PROGRAMA CPN ]])),"")</f>
        <v>3</v>
      </c>
      <c r="EB174" s="222" t="str">
        <f t="shared" si="614"/>
        <v>NO</v>
      </c>
      <c r="EC174" s="214">
        <f t="shared" si="615"/>
        <v>9</v>
      </c>
      <c r="ED174" s="227">
        <f t="shared" si="616"/>
        <v>0.33333333333333331</v>
      </c>
      <c r="EE174" s="22">
        <v>45065</v>
      </c>
      <c r="EF174" s="22"/>
      <c r="EG174" s="22">
        <v>45065</v>
      </c>
      <c r="EH174" s="22"/>
      <c r="EI174" s="22">
        <v>45065</v>
      </c>
      <c r="EJ174" s="22"/>
      <c r="EK174" s="22"/>
      <c r="EL174" s="21"/>
      <c r="EM174" s="21">
        <v>16.100000000000001</v>
      </c>
      <c r="EN174" s="22">
        <v>45066</v>
      </c>
      <c r="EO174" s="222">
        <f t="shared" si="617"/>
        <v>10.142857142857142</v>
      </c>
      <c r="EP174" s="214" t="str">
        <f t="shared" si="618"/>
        <v>NO DAR SULFATO FERROSO</v>
      </c>
      <c r="EQ174" s="216" t="str">
        <f t="shared" si="619"/>
        <v>I TRIM</v>
      </c>
      <c r="ER174" s="24"/>
      <c r="ES174" s="22"/>
      <c r="ET174" s="29" t="str">
        <f t="shared" ca="1" si="678"/>
        <v>TOMA DE HEMOGLOBINA TARDÍA</v>
      </c>
      <c r="EU174" s="25" t="str">
        <f t="shared" si="620"/>
        <v/>
      </c>
      <c r="EV174" s="24" t="s">
        <v>1510</v>
      </c>
      <c r="EW174" s="24">
        <v>45066</v>
      </c>
      <c r="EX174" s="22"/>
      <c r="EY174" s="29">
        <f t="shared" si="693"/>
        <v>10.142857142857142</v>
      </c>
      <c r="EZ174" s="25" t="str">
        <f t="shared" si="694"/>
        <v>SIN RIESGO DE ISOINMUNIZACIÓN</v>
      </c>
      <c r="FA174" s="21">
        <v>72</v>
      </c>
      <c r="FB174" s="22">
        <v>45066</v>
      </c>
      <c r="FC174" s="29">
        <f t="shared" si="621"/>
        <v>10.142857142857142</v>
      </c>
      <c r="FD174" s="29"/>
      <c r="FE174" s="29"/>
      <c r="FF174" s="29"/>
      <c r="FG174" s="21" t="str">
        <f t="shared" ca="1" si="622"/>
        <v>TOMAR PTOG</v>
      </c>
      <c r="FH174" s="31"/>
      <c r="FI174" s="29" t="str">
        <f t="shared" si="623"/>
        <v>TOMAR EXAMEN</v>
      </c>
      <c r="FJ174" s="22" t="s">
        <v>867</v>
      </c>
      <c r="FK174" s="22">
        <v>45066</v>
      </c>
      <c r="FL174" s="29">
        <f t="shared" ca="1" si="624"/>
        <v>10.142857142857142</v>
      </c>
      <c r="FM174" s="22"/>
      <c r="FN174" s="32"/>
      <c r="FO174" s="29" t="str">
        <f t="shared" ca="1" si="679"/>
        <v>PIERDE TOMA DE TAMIZAJE</v>
      </c>
      <c r="FP174" s="22"/>
      <c r="FQ174" s="32"/>
      <c r="FR174" s="29" t="str">
        <f t="shared" ca="1" si="680"/>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5"/>
        <v>TOMAR EXAMEN</v>
      </c>
      <c r="FY174" s="22">
        <v>45066</v>
      </c>
      <c r="FZ174" s="22">
        <v>45066</v>
      </c>
      <c r="GA174" s="29">
        <f t="shared" ca="1" si="692"/>
        <v>10.142857142857142</v>
      </c>
      <c r="GB174" s="22"/>
      <c r="GC174" s="22"/>
      <c r="GD174" s="29" t="str">
        <f t="shared" ref="GD174:GD203" ca="1" si="732">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2"/>
        <v>EN RANGO PARA TOMAR EXAMEN</v>
      </c>
      <c r="GH174" s="22"/>
      <c r="GI174" s="29"/>
      <c r="GJ174" s="22"/>
      <c r="GK174" s="22"/>
      <c r="GL174" s="22"/>
      <c r="GM174" s="22"/>
      <c r="GN174" s="28" t="s">
        <v>869</v>
      </c>
      <c r="GO174" s="22">
        <v>45066</v>
      </c>
      <c r="GP174" s="29">
        <f t="shared" si="626"/>
        <v>10.142857142857142</v>
      </c>
      <c r="GQ174" s="28" t="s">
        <v>869</v>
      </c>
      <c r="GR174" s="28" t="s">
        <v>869</v>
      </c>
      <c r="GS174" s="22" t="str">
        <f t="shared" si="728"/>
        <v>CONTROL Igm</v>
      </c>
      <c r="GT174" s="22">
        <v>45066</v>
      </c>
      <c r="GU174" s="29">
        <f t="shared" si="628"/>
        <v>10.142857142857142</v>
      </c>
      <c r="GV174" s="21" t="str">
        <f t="shared" si="629"/>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30"/>
        <v>#REF!</v>
      </c>
      <c r="HI174" s="22" t="e">
        <f t="shared" ca="1" si="631"/>
        <v>#REF!</v>
      </c>
      <c r="HJ174" s="21" t="str">
        <f t="shared" ca="1" si="632"/>
        <v>*********************MULTIPARIDAD***RIESGO POR EDAD***************</v>
      </c>
      <c r="HK174" s="21" t="str">
        <f t="shared" si="633"/>
        <v>SIN ANTECEDENTES DE RIESGO</v>
      </c>
      <c r="HL174" s="24" t="str">
        <f t="shared" si="634"/>
        <v>APARENTEMENTE NORMAL</v>
      </c>
      <c r="HM174" s="21" t="e">
        <f t="shared" ca="1" si="635"/>
        <v>#REF!</v>
      </c>
      <c r="HN174" s="30" t="str">
        <f t="shared" si="683"/>
        <v>ACTIVA INGRESO A CPN</v>
      </c>
      <c r="HO174" s="21"/>
      <c r="HP174" s="21"/>
      <c r="HQ174" s="349">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6"/>
        <v>22.714285714285715</v>
      </c>
      <c r="IA174" s="26"/>
      <c r="IB174" s="26"/>
      <c r="IC174" s="111"/>
      <c r="ID174" s="22"/>
      <c r="IE174" s="22" t="str">
        <f t="shared" ca="1" si="637"/>
        <v>INASISTENTE</v>
      </c>
      <c r="IF174" s="22"/>
      <c r="IG174" s="22">
        <f t="shared" si="638"/>
        <v>45275</v>
      </c>
      <c r="IH174" s="29">
        <f t="shared" ca="1" si="639"/>
        <v>43</v>
      </c>
      <c r="II174" s="22" t="str">
        <f t="shared" ca="1" si="640"/>
        <v>PENDIENTE</v>
      </c>
      <c r="IJ174" s="22"/>
      <c r="IK174" s="21"/>
      <c r="IL174" s="21"/>
      <c r="IM174" s="34"/>
      <c r="IN174" s="22"/>
      <c r="IO174" s="21"/>
      <c r="IP174" s="29" t="str">
        <f t="shared" si="730"/>
        <v/>
      </c>
      <c r="IQ174" s="35"/>
      <c r="IR174" s="21"/>
      <c r="IS174" s="21"/>
      <c r="IT174" s="21"/>
      <c r="IU174" s="21"/>
      <c r="IV174" s="21"/>
      <c r="IW174" s="21"/>
      <c r="IX174" s="21"/>
      <c r="IY174" s="21"/>
      <c r="IZ174" s="21"/>
      <c r="JA174" s="21"/>
      <c r="JB174" s="30"/>
      <c r="JC174" s="21"/>
      <c r="JD174" s="36"/>
      <c r="JE174" s="21" t="str">
        <f t="shared" ref="JE174:JE193" si="733">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4">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5">IF(AND(JW174&lt;&gt;"",JW174&lt;IN174),"INCONSISTENCIA FECHA CONTROL",IF(AND(OR(IK174="Parto",IK174="Cesarea"),JW174&gt;0,IN174&gt;0),SUM(JW174-IN174),IF(AND(OR(IK174="Parto",IK174="Cesarea"),JW174="",IN174&gt;0),"INASISTENTE","")))</f>
        <v/>
      </c>
      <c r="JY174" s="33"/>
      <c r="JZ174" s="28" t="str">
        <f t="shared" ref="JZ174:JZ193" si="736">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7"/>
        <v>0</v>
      </c>
      <c r="MI174" s="43" t="str">
        <f t="shared" si="698"/>
        <v/>
      </c>
      <c r="MJ174" s="43" t="str">
        <f t="shared" si="699"/>
        <v/>
      </c>
      <c r="MK174" s="43">
        <f t="shared" si="700"/>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701"/>
        <v>10</v>
      </c>
      <c r="MN174" s="43">
        <f t="shared" si="702"/>
        <v>5</v>
      </c>
      <c r="MO174" s="43">
        <f t="shared" si="703"/>
        <v>2023</v>
      </c>
      <c r="MP174" s="43" t="str">
        <f t="shared" si="704"/>
        <v>II TRIMESTRE AÑO</v>
      </c>
      <c r="MQ174" s="43">
        <f t="shared" si="705"/>
        <v>37.552014892685058</v>
      </c>
      <c r="MR174" s="43">
        <f t="shared" si="706"/>
        <v>2</v>
      </c>
      <c r="MS174" s="43" t="str">
        <f t="shared" si="707"/>
        <v xml:space="preserve"> DE 35 A 39 AÑOS</v>
      </c>
      <c r="MT174" s="43">
        <f t="shared" si="708"/>
        <v>0</v>
      </c>
      <c r="MU174" s="43">
        <f t="shared" si="709"/>
        <v>2</v>
      </c>
      <c r="MV174" s="43">
        <f t="shared" si="710"/>
        <v>0</v>
      </c>
      <c r="MW174" s="43">
        <f t="shared" si="711"/>
        <v>0</v>
      </c>
      <c r="MX174" s="43" t="str">
        <f t="shared" si="712"/>
        <v/>
      </c>
      <c r="MY174" s="43" t="str">
        <f t="shared" ref="MY174:MY193" ca="1" si="737">IF(AND(AND(BU174&gt;40.9,BU174&lt;43),IN174=""),1,"")</f>
        <v/>
      </c>
      <c r="MZ174" s="43" t="str">
        <f t="shared" si="713"/>
        <v/>
      </c>
      <c r="NA174" s="43" t="str">
        <f t="shared" si="714"/>
        <v/>
      </c>
      <c r="NB174" s="43" t="str">
        <f t="shared" si="715"/>
        <v/>
      </c>
      <c r="NC174" s="43" t="str">
        <f t="shared" si="716"/>
        <v/>
      </c>
      <c r="ND174" s="43">
        <f t="shared" ca="1" si="717"/>
        <v>4</v>
      </c>
      <c r="NE174" s="43">
        <f>IF(OR(O174&gt;0,R174&gt;0),SUM(COUNTIF(Tabla1[[#This Row],[AÑOS AL INICIO5 CPN]],"&gt;=40"),COUNTIF(AS174,"0"),COUNTIF(AR174,"SI"),COUNTIF(CC174,"SI"),COUNTIF(BQ174,"&gt;119"),COUNTIF(CI174,"&gt;=35")),"")</f>
        <v>0</v>
      </c>
      <c r="NF174" s="43" t="str">
        <f t="shared" si="718"/>
        <v/>
      </c>
      <c r="NG174" s="43">
        <f t="shared" si="719"/>
        <v>0</v>
      </c>
      <c r="NH174" s="43">
        <f t="shared" si="720"/>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21"/>
        <v>X</v>
      </c>
      <c r="NM174" s="43" t="str">
        <f t="shared" si="695"/>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2"/>
        <v>I TRIM</v>
      </c>
      <c r="NQ174" s="21" t="str">
        <f t="shared" si="731"/>
        <v/>
      </c>
      <c r="NR174" s="21">
        <f t="shared" ref="NR174:NR193" ca="1" si="738">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3"/>
        <v>1</v>
      </c>
      <c r="NT174" s="21">
        <f t="shared" ca="1" si="724"/>
        <v>1</v>
      </c>
      <c r="NU174" s="21" t="str">
        <f t="shared" ca="1" si="725"/>
        <v>INCOMPLETO</v>
      </c>
      <c r="NV174" s="21" t="str">
        <f t="shared" ca="1" si="726"/>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7"/>
        <v>SIN VACUNAR</v>
      </c>
      <c r="NY174" s="43">
        <f>ROW(Tabla1[[#This Row],['# DE TAMIZAJES SIFILIS TOMADOS ]])</f>
        <v>174</v>
      </c>
      <c r="NZ174" s="43">
        <f t="shared" si="502"/>
        <v>10</v>
      </c>
      <c r="OA174" s="43" t="str">
        <f t="shared" si="503"/>
        <v/>
      </c>
      <c r="OB174" s="43" t="str">
        <f t="shared" si="504"/>
        <v>SOBREPESO</v>
      </c>
      <c r="OC174" s="43" t="str">
        <f t="shared" si="505"/>
        <v/>
      </c>
      <c r="OD174" s="43" t="str">
        <f t="shared" si="506"/>
        <v/>
      </c>
      <c r="OE174" s="43" t="str">
        <f t="shared" si="507"/>
        <v/>
      </c>
      <c r="OF174" s="43" t="str">
        <f t="shared" si="508"/>
        <v/>
      </c>
      <c r="OG174" s="43" t="str">
        <f t="shared" si="509"/>
        <v/>
      </c>
      <c r="OH174" s="43" t="str">
        <f t="shared" si="510"/>
        <v/>
      </c>
      <c r="OI174" s="43" t="str">
        <f t="shared" si="511"/>
        <v/>
      </c>
      <c r="OJ174" s="43" t="str">
        <f t="shared" si="512"/>
        <v/>
      </c>
      <c r="OK174" s="43" t="str">
        <f t="shared" si="513"/>
        <v/>
      </c>
      <c r="OL174" s="43" t="str">
        <f t="shared" si="514"/>
        <v/>
      </c>
      <c r="OM174" s="43" t="str">
        <f t="shared" si="515"/>
        <v/>
      </c>
      <c r="ON174" s="43" t="str">
        <f t="shared" si="516"/>
        <v/>
      </c>
      <c r="OO174" s="43" t="str">
        <f t="shared" si="517"/>
        <v/>
      </c>
      <c r="OP174" s="43" t="str">
        <f t="shared" si="518"/>
        <v/>
      </c>
      <c r="OQ174" s="43" t="str">
        <f t="shared" si="519"/>
        <v/>
      </c>
      <c r="OR174" s="43" t="str">
        <f t="shared" si="520"/>
        <v/>
      </c>
      <c r="OS174" s="43" t="str">
        <f t="shared" si="521"/>
        <v/>
      </c>
      <c r="OT174" s="43" t="str">
        <f t="shared" si="522"/>
        <v/>
      </c>
      <c r="OU174" s="43" t="str">
        <f t="shared" si="523"/>
        <v/>
      </c>
      <c r="OV174" s="110" t="str">
        <f t="shared" si="524"/>
        <v/>
      </c>
      <c r="OW174" s="43" t="str">
        <f t="shared" si="525"/>
        <v/>
      </c>
      <c r="OX174" s="43" t="str">
        <f t="shared" si="526"/>
        <v/>
      </c>
      <c r="OY174" s="43" t="str">
        <f t="shared" si="527"/>
        <v/>
      </c>
      <c r="OZ174" s="43" t="str">
        <f t="shared" si="528"/>
        <v/>
      </c>
      <c r="PA174" s="43" t="str">
        <f t="shared" si="529"/>
        <v/>
      </c>
      <c r="PB174" s="43" t="str">
        <f t="shared" si="530"/>
        <v/>
      </c>
      <c r="PC174" s="43" t="str">
        <f t="shared" si="531"/>
        <v/>
      </c>
      <c r="PD174" s="43" t="str">
        <f t="shared" si="532"/>
        <v/>
      </c>
      <c r="PE174" s="43" t="str">
        <f t="shared" si="533"/>
        <v/>
      </c>
      <c r="PF174" s="43" t="str">
        <f t="shared" si="534"/>
        <v/>
      </c>
      <c r="PG174" s="43" t="str">
        <f t="shared" si="535"/>
        <v/>
      </c>
      <c r="PH174" s="43" t="str">
        <f t="shared" si="536"/>
        <v/>
      </c>
      <c r="PI174" s="43">
        <f t="shared" si="537"/>
        <v>22</v>
      </c>
      <c r="PJ174" s="43" t="str">
        <f t="shared" si="538"/>
        <v/>
      </c>
      <c r="PK174" s="43" t="str">
        <f t="shared" si="539"/>
        <v/>
      </c>
      <c r="PL174" s="43" t="str">
        <f t="shared" si="540"/>
        <v/>
      </c>
      <c r="PM174" s="43" t="str">
        <f t="shared" si="541"/>
        <v/>
      </c>
      <c r="PN174" s="43" t="str">
        <f t="shared" si="542"/>
        <v/>
      </c>
      <c r="PO174" s="43" t="str">
        <f t="shared" si="543"/>
        <v/>
      </c>
      <c r="PP174" s="43" t="str">
        <f t="shared" si="544"/>
        <v/>
      </c>
      <c r="PQ174" s="43" t="str">
        <f t="shared" si="545"/>
        <v/>
      </c>
      <c r="PR174" s="43" t="str">
        <f t="shared" si="546"/>
        <v/>
      </c>
      <c r="PS174" s="43" t="str">
        <f t="shared" si="547"/>
        <v/>
      </c>
      <c r="PT174" s="43" t="str">
        <f t="shared" si="548"/>
        <v/>
      </c>
      <c r="PU174" s="43" t="str">
        <f t="shared" si="549"/>
        <v/>
      </c>
      <c r="PV174" s="43" t="str">
        <f t="shared" si="550"/>
        <v/>
      </c>
      <c r="PW174" s="43" t="str">
        <f t="shared" si="551"/>
        <v>SOBREPESO</v>
      </c>
      <c r="PX174" s="43" t="str">
        <f t="shared" si="552"/>
        <v/>
      </c>
      <c r="PY174" s="43" t="str">
        <f t="shared" si="553"/>
        <v/>
      </c>
      <c r="PZ174" s="43" t="str">
        <f t="shared" si="554"/>
        <v/>
      </c>
      <c r="QA174" s="43" t="str">
        <f t="shared" si="555"/>
        <v/>
      </c>
      <c r="QB174" s="43" t="str">
        <f t="shared" si="556"/>
        <v/>
      </c>
      <c r="QC174" s="43" t="str">
        <f t="shared" si="557"/>
        <v/>
      </c>
      <c r="QD174" s="43" t="str">
        <f t="shared" si="558"/>
        <v/>
      </c>
      <c r="QE174" s="43" t="str">
        <f t="shared" si="559"/>
        <v/>
      </c>
      <c r="QF174" s="43" t="str">
        <f t="shared" si="560"/>
        <v/>
      </c>
      <c r="QG174" s="43" t="str">
        <f t="shared" si="561"/>
        <v/>
      </c>
      <c r="QH174" s="43" t="str">
        <f t="shared" si="562"/>
        <v/>
      </c>
      <c r="QI174" s="43" t="str">
        <f t="shared" si="563"/>
        <v/>
      </c>
      <c r="QJ174" s="43" t="str">
        <f t="shared" si="564"/>
        <v/>
      </c>
      <c r="QK174" s="43" t="str">
        <f t="shared" si="565"/>
        <v/>
      </c>
      <c r="QL174" s="43" t="str">
        <f t="shared" si="566"/>
        <v/>
      </c>
      <c r="QM174" s="43" t="str">
        <f t="shared" si="567"/>
        <v/>
      </c>
      <c r="QN174" s="43" t="str">
        <f t="shared" si="568"/>
        <v/>
      </c>
      <c r="QO174" s="43" t="str">
        <f t="shared" si="569"/>
        <v/>
      </c>
      <c r="QP174" s="43" t="str">
        <f t="shared" si="570"/>
        <v/>
      </c>
      <c r="QQ174" s="43" t="str">
        <f t="shared" si="571"/>
        <v/>
      </c>
      <c r="QR174" s="43">
        <f t="shared" si="672"/>
        <v>22</v>
      </c>
      <c r="QS174" s="43"/>
      <c r="QT174" s="21" t="str">
        <f t="shared" si="572"/>
        <v/>
      </c>
      <c r="QU174" s="21" t="str">
        <f t="shared" si="573"/>
        <v/>
      </c>
      <c r="QV174" s="21" t="str">
        <f t="shared" si="574"/>
        <v/>
      </c>
      <c r="QW174" s="21" t="str">
        <f t="shared" si="575"/>
        <v/>
      </c>
      <c r="QX174" s="21" t="str">
        <f t="shared" si="576"/>
        <v/>
      </c>
      <c r="QY174" s="21" t="str">
        <f t="shared" si="577"/>
        <v/>
      </c>
      <c r="QZ174" s="21" t="str">
        <f t="shared" si="578"/>
        <v/>
      </c>
      <c r="RA174" s="21" t="str">
        <f t="shared" si="579"/>
        <v/>
      </c>
      <c r="RB174" s="21" t="str">
        <f t="shared" si="580"/>
        <v/>
      </c>
      <c r="RC174" s="21" t="str">
        <f t="shared" si="581"/>
        <v>ALTO PARA EDAD GESTACIONAL</v>
      </c>
      <c r="RD174" s="21" t="str">
        <f t="shared" si="582"/>
        <v/>
      </c>
      <c r="RE174" s="21" t="str">
        <f t="shared" si="583"/>
        <v/>
      </c>
      <c r="RF174" s="21" t="str">
        <f t="shared" si="584"/>
        <v/>
      </c>
      <c r="RG174" s="21" t="str">
        <f t="shared" si="585"/>
        <v/>
      </c>
      <c r="RH174" s="21" t="str">
        <f t="shared" si="586"/>
        <v/>
      </c>
      <c r="RI174" s="21" t="str">
        <f t="shared" si="587"/>
        <v/>
      </c>
      <c r="RJ174" s="21" t="str">
        <f t="shared" si="588"/>
        <v/>
      </c>
      <c r="RK174" s="21" t="str">
        <f t="shared" si="589"/>
        <v/>
      </c>
      <c r="RL174" s="21" t="str">
        <f t="shared" si="590"/>
        <v/>
      </c>
      <c r="RM174" s="21" t="str">
        <f t="shared" si="591"/>
        <v/>
      </c>
      <c r="RN174" s="21" t="str">
        <f t="shared" si="592"/>
        <v/>
      </c>
      <c r="RO174" s="21" t="str">
        <f t="shared" si="593"/>
        <v/>
      </c>
      <c r="RP174" s="21" t="str">
        <f t="shared" si="594"/>
        <v/>
      </c>
      <c r="RQ174" s="21" t="str">
        <f t="shared" si="595"/>
        <v/>
      </c>
      <c r="RR174" s="21" t="str">
        <f t="shared" si="596"/>
        <v/>
      </c>
      <c r="RS174" s="21" t="str">
        <f t="shared" si="597"/>
        <v/>
      </c>
      <c r="RT174" s="21" t="str">
        <f t="shared" si="598"/>
        <v/>
      </c>
      <c r="RU174" s="21" t="str">
        <f t="shared" si="599"/>
        <v/>
      </c>
      <c r="RV174" s="21">
        <f t="shared" si="600"/>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3"/>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1"/>
        <v>36.394520547945206</v>
      </c>
      <c r="O175" s="22">
        <v>45065</v>
      </c>
      <c r="P175" s="214" t="str">
        <f t="shared" si="675"/>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2"/>
        <v>37.06666666666667</v>
      </c>
      <c r="BR175" s="223">
        <f t="shared" si="603"/>
        <v>45029.3</v>
      </c>
      <c r="BS175" s="224">
        <f t="shared" si="604"/>
        <v>5</v>
      </c>
      <c r="BT175" s="216" t="str">
        <f t="shared" si="605"/>
        <v>I TRIM</v>
      </c>
      <c r="BU175" s="214">
        <f t="shared" ca="1" si="606"/>
        <v>28.857142857142858</v>
      </c>
      <c r="BV175" s="25" t="s">
        <v>1478</v>
      </c>
      <c r="BW175" s="22">
        <v>45072</v>
      </c>
      <c r="BX175" s="28">
        <v>6.1</v>
      </c>
      <c r="BY175" s="28"/>
      <c r="BZ175" s="22"/>
      <c r="CA175" s="21"/>
      <c r="CB175" s="26"/>
      <c r="CC175" s="26"/>
      <c r="CD175" s="26"/>
      <c r="CE175" s="26"/>
      <c r="CF175" s="22" t="s">
        <v>1517</v>
      </c>
      <c r="CG175" s="21">
        <v>1.54</v>
      </c>
      <c r="CH175" s="21">
        <v>60</v>
      </c>
      <c r="CI175" s="214">
        <f t="shared" si="607"/>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8"/>
        <v>45139</v>
      </c>
      <c r="CL175" s="21">
        <v>63</v>
      </c>
      <c r="CM175" s="214">
        <f t="shared" si="609"/>
        <v>26.564344746162927</v>
      </c>
      <c r="CN175" s="216">
        <f t="shared" si="610"/>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9"/>
        <v/>
      </c>
      <c r="DA175" s="21">
        <v>100</v>
      </c>
      <c r="DB175" s="21">
        <v>60</v>
      </c>
      <c r="DC175" s="217" t="str">
        <f t="shared" si="611"/>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6"/>
        <v>PLANEAR PLAN DE PARTO</v>
      </c>
      <c r="DV175" s="226" t="str">
        <f t="shared" si="677"/>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2"/>
        <v>#REF!</v>
      </c>
      <c r="DY175" s="212">
        <f>IF(R175="","",IF(R175&gt;0,MAX(Tabla1[[#This Row],[FECHA C2]:[FECHA C13]],Tabla1[[#This Row],[FECHA CONSULTA PRIMERA VEZ PROGRAMA CPN ]])))</f>
        <v>45139</v>
      </c>
      <c r="DZ175" s="216">
        <f t="shared" si="613"/>
        <v>15</v>
      </c>
      <c r="EA175" s="222">
        <f>IF(R175&gt;0,SUM(COUNTA(DF175:DQ175)+COUNTA(Tabla1[[#This Row],[FECHA CONSULTA PRIMERA VEZ PROGRAMA CPN ]])),"")</f>
        <v>3</v>
      </c>
      <c r="EB175" s="222" t="str">
        <f t="shared" si="614"/>
        <v>NO</v>
      </c>
      <c r="EC175" s="214">
        <f t="shared" si="615"/>
        <v>10</v>
      </c>
      <c r="ED175" s="227">
        <f t="shared" si="616"/>
        <v>0.3</v>
      </c>
      <c r="EE175" s="22">
        <v>45065</v>
      </c>
      <c r="EF175" s="22">
        <v>45065</v>
      </c>
      <c r="EG175" s="22">
        <v>45065</v>
      </c>
      <c r="EH175" s="22"/>
      <c r="EI175" s="22">
        <v>45065</v>
      </c>
      <c r="EJ175" s="22"/>
      <c r="EK175" s="22"/>
      <c r="EL175" s="21"/>
      <c r="EM175" s="21">
        <v>14.1</v>
      </c>
      <c r="EN175" s="22">
        <v>45065</v>
      </c>
      <c r="EO175" s="222">
        <f t="shared" si="617"/>
        <v>5</v>
      </c>
      <c r="EP175" s="214" t="str">
        <f t="shared" si="618"/>
        <v>NO DAR SULFATO FERROSO</v>
      </c>
      <c r="EQ175" s="216" t="str">
        <f t="shared" si="619"/>
        <v>I TRIM</v>
      </c>
      <c r="ER175" s="24"/>
      <c r="ES175" s="22"/>
      <c r="ET175" s="29" t="str">
        <f t="shared" ca="1" si="678"/>
        <v>EN SEMANA 28 TOMA INMEDIATA DE EXAMEN</v>
      </c>
      <c r="EU175" s="25" t="str">
        <f t="shared" si="620"/>
        <v/>
      </c>
      <c r="EV175" s="24" t="s">
        <v>1510</v>
      </c>
      <c r="EW175" s="32">
        <v>45066</v>
      </c>
      <c r="EX175" s="22"/>
      <c r="EY175" s="29">
        <f t="shared" si="693"/>
        <v>5.1428571428571432</v>
      </c>
      <c r="EZ175" s="25" t="str">
        <f t="shared" si="694"/>
        <v>SIN RIESGO DE ISOINMUNIZACIÓN</v>
      </c>
      <c r="FA175" s="21">
        <v>80</v>
      </c>
      <c r="FB175" s="22">
        <v>45066</v>
      </c>
      <c r="FC175" s="29">
        <f t="shared" si="621"/>
        <v>5.1428571428571432</v>
      </c>
      <c r="FD175" s="29"/>
      <c r="FE175" s="29"/>
      <c r="FF175" s="29"/>
      <c r="FG175" s="21" t="str">
        <f t="shared" ca="1" si="622"/>
        <v>TOMAR PTOG</v>
      </c>
      <c r="FH175" s="31"/>
      <c r="FI175" s="29" t="str">
        <f t="shared" si="623"/>
        <v>TOMAR EXAMEN</v>
      </c>
      <c r="FJ175" s="22" t="s">
        <v>867</v>
      </c>
      <c r="FK175" s="22">
        <v>45066</v>
      </c>
      <c r="FL175" s="29">
        <f t="shared" ca="1" si="624"/>
        <v>5.1428571428571432</v>
      </c>
      <c r="FM175" s="22"/>
      <c r="FN175" s="32"/>
      <c r="FO175" s="29" t="str">
        <f t="shared" ca="1" si="679"/>
        <v>PIERDE TOMA DE TAMIZAJE</v>
      </c>
      <c r="FP175" s="22"/>
      <c r="FQ175" s="32"/>
      <c r="FR175" s="29" t="str">
        <f t="shared" ca="1" si="680"/>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5"/>
        <v>TOMAR EXAMEN</v>
      </c>
      <c r="FY175" s="22">
        <v>45066</v>
      </c>
      <c r="FZ175" s="22">
        <v>45066</v>
      </c>
      <c r="GA175" s="29">
        <f t="shared" ca="1" si="692"/>
        <v>5.1428571428571432</v>
      </c>
      <c r="GB175" s="22"/>
      <c r="GC175" s="22"/>
      <c r="GD175" s="29" t="str">
        <f t="shared" ca="1" si="732"/>
        <v>PIERDE TOMA DE TAMIZAJE</v>
      </c>
      <c r="GE175" s="22"/>
      <c r="GF175" s="22"/>
      <c r="GG175" s="29" t="str">
        <f t="shared" ca="1" si="682"/>
        <v>EN RANGO PARA TOMAR EXAMEN</v>
      </c>
      <c r="GH175" s="22"/>
      <c r="GI175" s="29"/>
      <c r="GJ175" s="22"/>
      <c r="GK175" s="22"/>
      <c r="GL175" s="22"/>
      <c r="GM175" s="22"/>
      <c r="GN175" s="28" t="s">
        <v>869</v>
      </c>
      <c r="GO175" s="22">
        <v>45066</v>
      </c>
      <c r="GP175" s="29">
        <f t="shared" si="626"/>
        <v>5.1428571428571432</v>
      </c>
      <c r="GQ175" s="28" t="s">
        <v>869</v>
      </c>
      <c r="GR175" s="28" t="s">
        <v>869</v>
      </c>
      <c r="GS175" s="22" t="str">
        <f t="shared" si="728"/>
        <v>CONTROL Igm</v>
      </c>
      <c r="GT175" s="22">
        <v>45066</v>
      </c>
      <c r="GU175" s="29">
        <f t="shared" si="628"/>
        <v>5.1428571428571432</v>
      </c>
      <c r="GV175" s="21" t="str">
        <f t="shared" si="629"/>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30"/>
        <v>#REF!</v>
      </c>
      <c r="HI175" s="22" t="e">
        <f t="shared" ca="1" si="631"/>
        <v>#REF!</v>
      </c>
      <c r="HJ175" s="21" t="str">
        <f t="shared" ca="1" si="632"/>
        <v>*********************MULTIPARIDAD***RIESGO POR EDAD***************</v>
      </c>
      <c r="HK175" s="21" t="str">
        <f t="shared" si="633"/>
        <v>SIN ANTECEDENTES DE RIESGO</v>
      </c>
      <c r="HL175" s="24" t="str">
        <f t="shared" si="634"/>
        <v>APARENTEMENTE NORMAL</v>
      </c>
      <c r="HM175" s="21" t="e">
        <f t="shared" ca="1" si="635"/>
        <v>#REF!</v>
      </c>
      <c r="HN175" s="30" t="str">
        <f t="shared" si="683"/>
        <v>ACTIVA INGRESO A CPN</v>
      </c>
      <c r="HO175" s="21"/>
      <c r="HP175" s="21"/>
      <c r="HQ175" s="349">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6"/>
        <v>5.8571428571428568</v>
      </c>
      <c r="IA175" s="26"/>
      <c r="IB175" s="26"/>
      <c r="IC175" s="111"/>
      <c r="ID175" s="22"/>
      <c r="IE175" s="22" t="str">
        <f t="shared" ca="1" si="637"/>
        <v>INASISTENTE</v>
      </c>
      <c r="IF175" s="22"/>
      <c r="IG175" s="22">
        <f t="shared" si="638"/>
        <v>45310</v>
      </c>
      <c r="IH175" s="29">
        <f t="shared" ca="1" si="639"/>
        <v>78</v>
      </c>
      <c r="II175" s="22" t="str">
        <f t="shared" ca="1" si="640"/>
        <v>PENDIENTE</v>
      </c>
      <c r="IJ175" s="22"/>
      <c r="IK175" s="21"/>
      <c r="IL175" s="21"/>
      <c r="IM175" s="34"/>
      <c r="IN175" s="22"/>
      <c r="IO175" s="21"/>
      <c r="IP175" s="29" t="str">
        <f t="shared" si="730"/>
        <v/>
      </c>
      <c r="IQ175" s="35"/>
      <c r="IR175" s="21"/>
      <c r="IS175" s="21"/>
      <c r="IT175" s="21"/>
      <c r="IU175" s="21"/>
      <c r="IV175" s="21"/>
      <c r="IW175" s="21"/>
      <c r="IX175" s="21"/>
      <c r="IY175" s="21"/>
      <c r="IZ175" s="21"/>
      <c r="JA175" s="21"/>
      <c r="JB175" s="30"/>
      <c r="JC175" s="21"/>
      <c r="JD175" s="36"/>
      <c r="JE175" s="21" t="str">
        <f t="shared" si="733"/>
        <v/>
      </c>
      <c r="JF175" s="30"/>
      <c r="JG175" s="21"/>
      <c r="JH175" s="21"/>
      <c r="JI175" s="21"/>
      <c r="JJ175" s="30"/>
      <c r="JK175" s="22"/>
      <c r="JL175" s="22"/>
      <c r="JM175" s="21"/>
      <c r="JN175" s="36"/>
      <c r="JO175" s="21" t="str">
        <f t="shared" si="734"/>
        <v/>
      </c>
      <c r="JP175" s="22"/>
      <c r="JQ175" s="21"/>
      <c r="JR175" s="21"/>
      <c r="JS175" s="21"/>
      <c r="JT175" s="30"/>
      <c r="JU175" s="22"/>
      <c r="JV175" s="22"/>
      <c r="JW175" s="33"/>
      <c r="JX175" s="28" t="str">
        <f t="shared" si="735"/>
        <v/>
      </c>
      <c r="JY175" s="33"/>
      <c r="JZ175" s="28" t="str">
        <f t="shared" si="736"/>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7"/>
        <v>0</v>
      </c>
      <c r="MI175" s="43" t="str">
        <f t="shared" si="698"/>
        <v/>
      </c>
      <c r="MJ175" s="43" t="str">
        <f t="shared" si="699"/>
        <v/>
      </c>
      <c r="MK175" s="43">
        <f t="shared" si="700"/>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701"/>
        <v>5</v>
      </c>
      <c r="MN175" s="43">
        <f t="shared" si="702"/>
        <v>5</v>
      </c>
      <c r="MO175" s="43">
        <f t="shared" si="703"/>
        <v>2023</v>
      </c>
      <c r="MP175" s="43" t="str">
        <f t="shared" si="704"/>
        <v>II TRIMESTRE AÑO</v>
      </c>
      <c r="MQ175" s="43">
        <f t="shared" si="705"/>
        <v>35.394765659220319</v>
      </c>
      <c r="MR175" s="43">
        <f t="shared" si="706"/>
        <v>2</v>
      </c>
      <c r="MS175" s="43" t="str">
        <f t="shared" si="707"/>
        <v xml:space="preserve"> DE 35 A 39 AÑOS</v>
      </c>
      <c r="MT175" s="43">
        <f t="shared" si="708"/>
        <v>0</v>
      </c>
      <c r="MU175" s="43">
        <f t="shared" si="709"/>
        <v>2</v>
      </c>
      <c r="MV175" s="43">
        <f t="shared" si="710"/>
        <v>0</v>
      </c>
      <c r="MW175" s="43">
        <f t="shared" si="711"/>
        <v>0</v>
      </c>
      <c r="MX175" s="43" t="str">
        <f t="shared" si="712"/>
        <v/>
      </c>
      <c r="MY175" s="43" t="str">
        <f t="shared" ca="1" si="737"/>
        <v/>
      </c>
      <c r="MZ175" s="43" t="str">
        <f t="shared" si="713"/>
        <v/>
      </c>
      <c r="NA175" s="43" t="str">
        <f t="shared" si="714"/>
        <v/>
      </c>
      <c r="NB175" s="43" t="str">
        <f t="shared" si="715"/>
        <v/>
      </c>
      <c r="NC175" s="43" t="str">
        <f t="shared" si="716"/>
        <v/>
      </c>
      <c r="ND175" s="43">
        <f t="shared" ca="1" si="717"/>
        <v>4</v>
      </c>
      <c r="NE175" s="43">
        <f>IF(OR(O175&gt;0,R175&gt;0),SUM(COUNTIF(Tabla1[[#This Row],[AÑOS AL INICIO5 CPN]],"&gt;=40"),COUNTIF(AS175,"0"),COUNTIF(AR175,"SI"),COUNTIF(CC175,"SI"),COUNTIF(BQ175,"&gt;119"),COUNTIF(CI175,"&gt;=35")),"")</f>
        <v>0</v>
      </c>
      <c r="NF175" s="43" t="str">
        <f t="shared" si="718"/>
        <v/>
      </c>
      <c r="NG175" s="43">
        <f t="shared" si="719"/>
        <v>0</v>
      </c>
      <c r="NH175" s="43">
        <f t="shared" si="720"/>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21"/>
        <v>X</v>
      </c>
      <c r="NM175" s="43" t="str">
        <f t="shared" si="695"/>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2"/>
        <v>I TRIM</v>
      </c>
      <c r="NQ175" s="21" t="str">
        <f t="shared" si="731"/>
        <v/>
      </c>
      <c r="NR175" s="21">
        <f t="shared" ca="1" si="738"/>
        <v>3</v>
      </c>
      <c r="NS175" s="205">
        <f t="shared" ca="1" si="723"/>
        <v>1</v>
      </c>
      <c r="NT175" s="21">
        <f t="shared" ca="1" si="724"/>
        <v>1</v>
      </c>
      <c r="NU175" s="21" t="str">
        <f t="shared" ca="1" si="725"/>
        <v>INCOMPLETO</v>
      </c>
      <c r="NV175" s="21" t="str">
        <f t="shared" ca="1" si="726"/>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7"/>
        <v>SIN VACUNAR</v>
      </c>
      <c r="NY175" s="43">
        <f>ROW(Tabla1[[#This Row],['# DE TAMIZAJES SIFILIS TOMADOS ]])</f>
        <v>175</v>
      </c>
      <c r="NZ175" s="43" t="str">
        <f t="shared" si="502"/>
        <v>Menor</v>
      </c>
      <c r="OA175" s="43" t="str">
        <f t="shared" si="503"/>
        <v>SOBREPESO</v>
      </c>
      <c r="OB175" s="43" t="str">
        <f t="shared" si="504"/>
        <v/>
      </c>
      <c r="OC175" s="43" t="str">
        <f t="shared" si="505"/>
        <v/>
      </c>
      <c r="OD175" s="43" t="str">
        <f t="shared" si="506"/>
        <v/>
      </c>
      <c r="OE175" s="43" t="str">
        <f t="shared" si="507"/>
        <v/>
      </c>
      <c r="OF175" s="43" t="str">
        <f t="shared" si="508"/>
        <v/>
      </c>
      <c r="OG175" s="43" t="str">
        <f t="shared" si="509"/>
        <v/>
      </c>
      <c r="OH175" s="43" t="str">
        <f t="shared" si="510"/>
        <v/>
      </c>
      <c r="OI175" s="43" t="str">
        <f t="shared" si="511"/>
        <v/>
      </c>
      <c r="OJ175" s="43" t="str">
        <f t="shared" si="512"/>
        <v/>
      </c>
      <c r="OK175" s="43" t="str">
        <f t="shared" si="513"/>
        <v/>
      </c>
      <c r="OL175" s="43" t="str">
        <f t="shared" si="514"/>
        <v/>
      </c>
      <c r="OM175" s="43" t="str">
        <f t="shared" si="515"/>
        <v/>
      </c>
      <c r="ON175" s="43" t="str">
        <f t="shared" si="516"/>
        <v/>
      </c>
      <c r="OO175" s="43" t="str">
        <f t="shared" si="517"/>
        <v/>
      </c>
      <c r="OP175" s="43" t="str">
        <f t="shared" si="518"/>
        <v/>
      </c>
      <c r="OQ175" s="43" t="str">
        <f t="shared" si="519"/>
        <v/>
      </c>
      <c r="OR175" s="43" t="str">
        <f t="shared" si="520"/>
        <v/>
      </c>
      <c r="OS175" s="43" t="str">
        <f t="shared" si="521"/>
        <v/>
      </c>
      <c r="OT175" s="43" t="str">
        <f t="shared" si="522"/>
        <v/>
      </c>
      <c r="OU175" s="43" t="str">
        <f t="shared" si="523"/>
        <v/>
      </c>
      <c r="OV175" s="110" t="str">
        <f t="shared" si="524"/>
        <v/>
      </c>
      <c r="OW175" s="43" t="str">
        <f t="shared" si="525"/>
        <v/>
      </c>
      <c r="OX175" s="43" t="str">
        <f t="shared" si="526"/>
        <v/>
      </c>
      <c r="OY175" s="43" t="str">
        <f t="shared" si="527"/>
        <v/>
      </c>
      <c r="OZ175" s="43" t="str">
        <f t="shared" si="528"/>
        <v/>
      </c>
      <c r="PA175" s="43" t="str">
        <f t="shared" si="529"/>
        <v/>
      </c>
      <c r="PB175" s="43" t="str">
        <f t="shared" si="530"/>
        <v/>
      </c>
      <c r="PC175" s="43" t="str">
        <f t="shared" si="531"/>
        <v/>
      </c>
      <c r="PD175" s="43" t="str">
        <f t="shared" si="532"/>
        <v/>
      </c>
      <c r="PE175" s="43" t="str">
        <f t="shared" si="533"/>
        <v/>
      </c>
      <c r="PF175" s="43" t="str">
        <f t="shared" si="534"/>
        <v/>
      </c>
      <c r="PG175" s="43" t="str">
        <f t="shared" si="535"/>
        <v/>
      </c>
      <c r="PH175" s="43" t="str">
        <f t="shared" si="536"/>
        <v/>
      </c>
      <c r="PI175" s="43">
        <f t="shared" si="537"/>
        <v>15</v>
      </c>
      <c r="PJ175" s="43" t="str">
        <f t="shared" si="538"/>
        <v/>
      </c>
      <c r="PK175" s="43" t="str">
        <f t="shared" si="539"/>
        <v/>
      </c>
      <c r="PL175" s="43" t="str">
        <f t="shared" si="540"/>
        <v/>
      </c>
      <c r="PM175" s="43" t="str">
        <f t="shared" si="541"/>
        <v/>
      </c>
      <c r="PN175" s="43" t="str">
        <f t="shared" si="542"/>
        <v/>
      </c>
      <c r="PO175" s="43" t="str">
        <f t="shared" si="543"/>
        <v/>
      </c>
      <c r="PP175" s="43" t="str">
        <f t="shared" si="544"/>
        <v>SOBREPESO</v>
      </c>
      <c r="PQ175" s="43" t="str">
        <f t="shared" si="545"/>
        <v/>
      </c>
      <c r="PR175" s="43" t="str">
        <f t="shared" si="546"/>
        <v/>
      </c>
      <c r="PS175" s="43" t="str">
        <f t="shared" si="547"/>
        <v/>
      </c>
      <c r="PT175" s="43" t="str">
        <f t="shared" si="548"/>
        <v/>
      </c>
      <c r="PU175" s="43" t="str">
        <f t="shared" si="549"/>
        <v/>
      </c>
      <c r="PV175" s="43" t="str">
        <f t="shared" si="550"/>
        <v/>
      </c>
      <c r="PW175" s="43" t="str">
        <f t="shared" si="551"/>
        <v/>
      </c>
      <c r="PX175" s="43" t="str">
        <f t="shared" si="552"/>
        <v/>
      </c>
      <c r="PY175" s="43" t="str">
        <f t="shared" si="553"/>
        <v/>
      </c>
      <c r="PZ175" s="43" t="str">
        <f t="shared" si="554"/>
        <v/>
      </c>
      <c r="QA175" s="43" t="str">
        <f t="shared" si="555"/>
        <v/>
      </c>
      <c r="QB175" s="43" t="str">
        <f t="shared" si="556"/>
        <v/>
      </c>
      <c r="QC175" s="43" t="str">
        <f t="shared" si="557"/>
        <v/>
      </c>
      <c r="QD175" s="43" t="str">
        <f t="shared" si="558"/>
        <v/>
      </c>
      <c r="QE175" s="43" t="str">
        <f t="shared" si="559"/>
        <v/>
      </c>
      <c r="QF175" s="43" t="str">
        <f t="shared" si="560"/>
        <v/>
      </c>
      <c r="QG175" s="43" t="str">
        <f t="shared" si="561"/>
        <v/>
      </c>
      <c r="QH175" s="43" t="str">
        <f t="shared" si="562"/>
        <v/>
      </c>
      <c r="QI175" s="43" t="str">
        <f t="shared" si="563"/>
        <v/>
      </c>
      <c r="QJ175" s="43" t="str">
        <f t="shared" si="564"/>
        <v/>
      </c>
      <c r="QK175" s="43" t="str">
        <f t="shared" si="565"/>
        <v/>
      </c>
      <c r="QL175" s="43" t="str">
        <f t="shared" si="566"/>
        <v/>
      </c>
      <c r="QM175" s="43" t="str">
        <f t="shared" si="567"/>
        <v/>
      </c>
      <c r="QN175" s="43" t="str">
        <f t="shared" si="568"/>
        <v/>
      </c>
      <c r="QO175" s="43" t="str">
        <f t="shared" si="569"/>
        <v/>
      </c>
      <c r="QP175" s="43" t="str">
        <f t="shared" si="570"/>
        <v/>
      </c>
      <c r="QQ175" s="43" t="str">
        <f t="shared" si="571"/>
        <v/>
      </c>
      <c r="QR175" s="43">
        <f t="shared" si="672"/>
        <v>15</v>
      </c>
      <c r="QS175" s="43"/>
      <c r="QT175" s="21" t="str">
        <f t="shared" si="572"/>
        <v/>
      </c>
      <c r="QU175" s="21" t="str">
        <f t="shared" si="573"/>
        <v/>
      </c>
      <c r="QV175" s="21" t="str">
        <f t="shared" si="574"/>
        <v>ALTO PARA EDAD GESTACIONAL</v>
      </c>
      <c r="QW175" s="21" t="str">
        <f t="shared" si="575"/>
        <v/>
      </c>
      <c r="QX175" s="21" t="str">
        <f t="shared" si="576"/>
        <v/>
      </c>
      <c r="QY175" s="21" t="str">
        <f t="shared" si="577"/>
        <v/>
      </c>
      <c r="QZ175" s="21" t="str">
        <f t="shared" si="578"/>
        <v/>
      </c>
      <c r="RA175" s="21" t="str">
        <f t="shared" si="579"/>
        <v/>
      </c>
      <c r="RB175" s="21" t="str">
        <f t="shared" si="580"/>
        <v/>
      </c>
      <c r="RC175" s="21" t="str">
        <f t="shared" si="581"/>
        <v/>
      </c>
      <c r="RD175" s="21" t="str">
        <f t="shared" si="582"/>
        <v/>
      </c>
      <c r="RE175" s="21" t="str">
        <f t="shared" si="583"/>
        <v/>
      </c>
      <c r="RF175" s="21" t="str">
        <f t="shared" si="584"/>
        <v/>
      </c>
      <c r="RG175" s="21" t="str">
        <f t="shared" si="585"/>
        <v/>
      </c>
      <c r="RH175" s="21" t="str">
        <f t="shared" si="586"/>
        <v/>
      </c>
      <c r="RI175" s="21" t="str">
        <f t="shared" si="587"/>
        <v/>
      </c>
      <c r="RJ175" s="21" t="str">
        <f t="shared" si="588"/>
        <v/>
      </c>
      <c r="RK175" s="21" t="str">
        <f t="shared" si="589"/>
        <v/>
      </c>
      <c r="RL175" s="21" t="str">
        <f t="shared" si="590"/>
        <v/>
      </c>
      <c r="RM175" s="21" t="str">
        <f t="shared" si="591"/>
        <v/>
      </c>
      <c r="RN175" s="21" t="str">
        <f t="shared" si="592"/>
        <v/>
      </c>
      <c r="RO175" s="21" t="str">
        <f t="shared" si="593"/>
        <v/>
      </c>
      <c r="RP175" s="21" t="str">
        <f t="shared" si="594"/>
        <v/>
      </c>
      <c r="RQ175" s="21" t="str">
        <f t="shared" si="595"/>
        <v/>
      </c>
      <c r="RR175" s="21" t="str">
        <f t="shared" si="596"/>
        <v/>
      </c>
      <c r="RS175" s="21" t="str">
        <f t="shared" si="597"/>
        <v/>
      </c>
      <c r="RT175" s="21" t="str">
        <f t="shared" si="598"/>
        <v/>
      </c>
      <c r="RU175" s="21" t="str">
        <f t="shared" si="599"/>
        <v/>
      </c>
      <c r="RV175" s="21">
        <f t="shared" si="600"/>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3"/>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1"/>
        <v>29.479452054794521</v>
      </c>
      <c r="O176" s="22">
        <v>45065</v>
      </c>
      <c r="P176" s="214" t="str">
        <f t="shared" si="675"/>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2"/>
        <v>59.666666666666664</v>
      </c>
      <c r="BR176" s="223">
        <f t="shared" si="603"/>
        <v>45011.6</v>
      </c>
      <c r="BS176" s="224">
        <f t="shared" si="604"/>
        <v>6.7142857142857144</v>
      </c>
      <c r="BT176" s="216" t="str">
        <f t="shared" si="605"/>
        <v>I TRIM</v>
      </c>
      <c r="BU176" s="214">
        <f t="shared" ca="1" si="606"/>
        <v>30.571428571428573</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7"/>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8"/>
        <v>45153</v>
      </c>
      <c r="CL176" s="21">
        <v>67.5</v>
      </c>
      <c r="CM176" s="214">
        <f t="shared" si="609"/>
        <v>27.384478072132744</v>
      </c>
      <c r="CN176" s="216">
        <f t="shared" si="610"/>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9"/>
        <v/>
      </c>
      <c r="DA176" s="21">
        <v>100</v>
      </c>
      <c r="DB176" s="21">
        <v>60</v>
      </c>
      <c r="DC176" s="217" t="str">
        <f t="shared" si="611"/>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6"/>
        <v>PLANEAR PLAN DE PARTO</v>
      </c>
      <c r="DV176" s="226" t="str">
        <f t="shared" si="677"/>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2"/>
        <v>#REF!</v>
      </c>
      <c r="DY176" s="212">
        <f>IF(R176="","",IF(R176&gt;0,MAX(Tabla1[[#This Row],[FECHA C2]:[FECHA C13]],Tabla1[[#This Row],[FECHA CONSULTA PRIMERA VEZ PROGRAMA CPN ]])))</f>
        <v>45153</v>
      </c>
      <c r="DZ176" s="216">
        <f t="shared" si="613"/>
        <v>19</v>
      </c>
      <c r="EA176" s="222">
        <f>IF(R176&gt;0,SUM(COUNTA(DF176:DQ176)+COUNTA(Tabla1[[#This Row],[FECHA CONSULTA PRIMERA VEZ PROGRAMA CPN ]])),"")</f>
        <v>4</v>
      </c>
      <c r="EB176" s="222" t="str">
        <f t="shared" si="614"/>
        <v>SI</v>
      </c>
      <c r="EC176" s="214">
        <f t="shared" si="615"/>
        <v>10</v>
      </c>
      <c r="ED176" s="227">
        <f t="shared" si="616"/>
        <v>0.4</v>
      </c>
      <c r="EE176" s="22">
        <v>45065</v>
      </c>
      <c r="EF176" s="22">
        <v>45073</v>
      </c>
      <c r="EG176" s="22">
        <v>45065</v>
      </c>
      <c r="EH176" s="22"/>
      <c r="EI176" s="22">
        <v>45065</v>
      </c>
      <c r="EJ176" s="22">
        <v>45083</v>
      </c>
      <c r="EK176" s="22"/>
      <c r="EL176" s="21"/>
      <c r="EM176" s="21">
        <v>14.2</v>
      </c>
      <c r="EN176" s="22">
        <v>45066</v>
      </c>
      <c r="EO176" s="222">
        <f t="shared" si="617"/>
        <v>6.8571428571428568</v>
      </c>
      <c r="EP176" s="214" t="str">
        <f t="shared" si="618"/>
        <v>NO DAR SULFATO FERROSO</v>
      </c>
      <c r="EQ176" s="216" t="str">
        <f t="shared" si="619"/>
        <v>I TRIM</v>
      </c>
      <c r="ER176" s="24"/>
      <c r="ES176" s="22"/>
      <c r="ET176" s="29" t="str">
        <f t="shared" ca="1" si="678"/>
        <v>EN SEMANA 28 TOMA INMEDIATA DE EXAMEN</v>
      </c>
      <c r="EU176" s="25" t="str">
        <f t="shared" si="620"/>
        <v/>
      </c>
      <c r="EV176" s="24" t="s">
        <v>1510</v>
      </c>
      <c r="EW176" s="24">
        <v>45066</v>
      </c>
      <c r="EX176" s="22"/>
      <c r="EY176" s="29">
        <f t="shared" si="693"/>
        <v>6.8571428571428568</v>
      </c>
      <c r="EZ176" s="25" t="str">
        <f t="shared" si="694"/>
        <v>SIN RIESGO DE ISOINMUNIZACIÓN</v>
      </c>
      <c r="FA176" s="21">
        <v>76</v>
      </c>
      <c r="FB176" s="22">
        <v>45066</v>
      </c>
      <c r="FC176" s="29">
        <f t="shared" si="621"/>
        <v>6.8571428571428568</v>
      </c>
      <c r="FD176" s="29"/>
      <c r="FE176" s="29"/>
      <c r="FF176" s="29"/>
      <c r="FG176" s="21" t="str">
        <f t="shared" ca="1" si="622"/>
        <v>TOMAR PTOG</v>
      </c>
      <c r="FH176" s="31"/>
      <c r="FI176" s="29" t="str">
        <f t="shared" si="623"/>
        <v>TOMAR EXAMEN</v>
      </c>
      <c r="FJ176" s="22" t="s">
        <v>867</v>
      </c>
      <c r="FK176" s="22">
        <v>45066</v>
      </c>
      <c r="FL176" s="29">
        <f t="shared" ca="1" si="624"/>
        <v>6.8571428571428568</v>
      </c>
      <c r="FM176" s="22"/>
      <c r="FN176" s="32"/>
      <c r="FO176" s="29" t="str">
        <f t="shared" ca="1" si="679"/>
        <v>PIERDE TOMA DE TAMIZAJE</v>
      </c>
      <c r="FP176" s="22"/>
      <c r="FQ176" s="32"/>
      <c r="FR176" s="29" t="str">
        <f t="shared" ca="1" si="680"/>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5"/>
        <v>TOMAR EXAMEN</v>
      </c>
      <c r="FY176" s="22">
        <v>45066</v>
      </c>
      <c r="FZ176" s="22">
        <v>45066</v>
      </c>
      <c r="GA176" s="29">
        <f t="shared" ca="1" si="692"/>
        <v>6.8571428571428568</v>
      </c>
      <c r="GB176" s="22"/>
      <c r="GC176" s="22"/>
      <c r="GD176" s="29" t="str">
        <f t="shared" ca="1" si="732"/>
        <v>PIERDE TOMA DE TAMIZAJE</v>
      </c>
      <c r="GE176" s="22"/>
      <c r="GF176" s="22"/>
      <c r="GG176" s="29" t="str">
        <f t="shared" ca="1" si="682"/>
        <v>EN RANGO PARA TOMAR EXAMEN</v>
      </c>
      <c r="GH176" s="22"/>
      <c r="GI176" s="29"/>
      <c r="GJ176" s="22"/>
      <c r="GK176" s="22"/>
      <c r="GL176" s="22"/>
      <c r="GM176" s="22"/>
      <c r="GN176" s="28" t="s">
        <v>869</v>
      </c>
      <c r="GO176" s="22">
        <v>45066</v>
      </c>
      <c r="GP176" s="29">
        <f t="shared" si="626"/>
        <v>6.8571428571428568</v>
      </c>
      <c r="GQ176" s="28" t="s">
        <v>869</v>
      </c>
      <c r="GR176" s="28" t="s">
        <v>869</v>
      </c>
      <c r="GS176" s="22" t="str">
        <f t="shared" si="728"/>
        <v>CONTROL Igm</v>
      </c>
      <c r="GT176" s="22">
        <v>45066</v>
      </c>
      <c r="GU176" s="29">
        <f t="shared" si="628"/>
        <v>6.8571428571428568</v>
      </c>
      <c r="GV176" s="21" t="str">
        <f t="shared" si="629"/>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30"/>
        <v>#REF!</v>
      </c>
      <c r="HI176" s="22" t="e">
        <f t="shared" ca="1" si="631"/>
        <v>#REF!</v>
      </c>
      <c r="HJ176" s="21" t="str">
        <f t="shared" ca="1" si="632"/>
        <v>**********************MULTIPARIDAD*****************</v>
      </c>
      <c r="HK176" s="21" t="str">
        <f t="shared" si="633"/>
        <v>SIN ANTECEDENTES DE RIESGO</v>
      </c>
      <c r="HL176" s="24" t="str">
        <f t="shared" si="634"/>
        <v>APARENTEMENTE NORMAL</v>
      </c>
      <c r="HM176" s="21" t="e">
        <f t="shared" ca="1" si="635"/>
        <v>#REF!</v>
      </c>
      <c r="HN176" s="30" t="str">
        <f t="shared" si="683"/>
        <v>ACTIVA INGRESO A CPN</v>
      </c>
      <c r="HO176" s="21"/>
      <c r="HP176" s="21"/>
      <c r="HQ176" s="349">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6"/>
        <v>PENDIENTE CONSULTA</v>
      </c>
      <c r="IA176" s="26"/>
      <c r="IB176" s="26"/>
      <c r="IC176" s="111"/>
      <c r="ID176" s="22"/>
      <c r="IE176" s="22" t="str">
        <f t="shared" ca="1" si="637"/>
        <v>INASISTENTE</v>
      </c>
      <c r="IF176" s="22"/>
      <c r="IG176" s="22">
        <f t="shared" si="638"/>
        <v>45298</v>
      </c>
      <c r="IH176" s="29">
        <f t="shared" ca="1" si="639"/>
        <v>66</v>
      </c>
      <c r="II176" s="22" t="str">
        <f t="shared" ca="1" si="640"/>
        <v>PENDIENTE</v>
      </c>
      <c r="IJ176" s="22"/>
      <c r="IK176" s="21"/>
      <c r="IL176" s="21"/>
      <c r="IM176" s="34"/>
      <c r="IN176" s="22"/>
      <c r="IO176" s="21"/>
      <c r="IP176" s="29" t="str">
        <f t="shared" si="730"/>
        <v/>
      </c>
      <c r="IQ176" s="35"/>
      <c r="IR176" s="21"/>
      <c r="IS176" s="21"/>
      <c r="IT176" s="21"/>
      <c r="IU176" s="21"/>
      <c r="IV176" s="21"/>
      <c r="IW176" s="21"/>
      <c r="IX176" s="21"/>
      <c r="IY176" s="21"/>
      <c r="IZ176" s="21"/>
      <c r="JA176" s="21"/>
      <c r="JB176" s="30"/>
      <c r="JC176" s="21"/>
      <c r="JD176" s="36"/>
      <c r="JE176" s="21" t="str">
        <f t="shared" si="733"/>
        <v/>
      </c>
      <c r="JF176" s="30"/>
      <c r="JG176" s="21"/>
      <c r="JH176" s="21"/>
      <c r="JI176" s="21"/>
      <c r="JJ176" s="30"/>
      <c r="JK176" s="22"/>
      <c r="JL176" s="22"/>
      <c r="JM176" s="21"/>
      <c r="JN176" s="36"/>
      <c r="JO176" s="21" t="str">
        <f t="shared" si="734"/>
        <v/>
      </c>
      <c r="JP176" s="22"/>
      <c r="JQ176" s="21"/>
      <c r="JR176" s="21"/>
      <c r="JS176" s="21"/>
      <c r="JT176" s="30"/>
      <c r="JU176" s="22"/>
      <c r="JV176" s="22"/>
      <c r="JW176" s="33"/>
      <c r="JX176" s="28" t="str">
        <f t="shared" si="735"/>
        <v/>
      </c>
      <c r="JY176" s="33"/>
      <c r="JZ176" s="28" t="str">
        <f t="shared" si="736"/>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7"/>
        <v>0</v>
      </c>
      <c r="MI176" s="43" t="str">
        <f t="shared" si="698"/>
        <v/>
      </c>
      <c r="MJ176" s="43" t="str">
        <f t="shared" si="699"/>
        <v/>
      </c>
      <c r="MK176" s="43">
        <f t="shared" si="700"/>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701"/>
        <v>6.7142857142857144</v>
      </c>
      <c r="MN176" s="43">
        <f t="shared" si="702"/>
        <v>5</v>
      </c>
      <c r="MO176" s="43">
        <f t="shared" si="703"/>
        <v>2023</v>
      </c>
      <c r="MP176" s="43" t="str">
        <f t="shared" si="704"/>
        <v>II TRIMESTRE AÑO</v>
      </c>
      <c r="MQ176" s="43">
        <f t="shared" si="705"/>
        <v>28.583552343407792</v>
      </c>
      <c r="MR176" s="43">
        <f t="shared" si="706"/>
        <v>0</v>
      </c>
      <c r="MS176" s="43" t="str">
        <f t="shared" si="707"/>
        <v xml:space="preserve"> DE 25 A 29 AÑOS</v>
      </c>
      <c r="MT176" s="43">
        <f t="shared" si="708"/>
        <v>0</v>
      </c>
      <c r="MU176" s="43">
        <f t="shared" si="709"/>
        <v>1</v>
      </c>
      <c r="MV176" s="43">
        <f t="shared" si="710"/>
        <v>0</v>
      </c>
      <c r="MW176" s="43">
        <f t="shared" si="711"/>
        <v>0</v>
      </c>
      <c r="MX176" s="43" t="str">
        <f t="shared" si="712"/>
        <v/>
      </c>
      <c r="MY176" s="43" t="str">
        <f t="shared" ca="1" si="737"/>
        <v/>
      </c>
      <c r="MZ176" s="43" t="str">
        <f t="shared" si="713"/>
        <v/>
      </c>
      <c r="NA176" s="43" t="str">
        <f t="shared" si="714"/>
        <v/>
      </c>
      <c r="NB176" s="43" t="str">
        <f t="shared" si="715"/>
        <v/>
      </c>
      <c r="NC176" s="43" t="str">
        <f t="shared" si="716"/>
        <v/>
      </c>
      <c r="ND176" s="43">
        <f t="shared" ca="1" si="717"/>
        <v>1</v>
      </c>
      <c r="NE176" s="43">
        <f>IF(OR(O176&gt;0,R176&gt;0),SUM(COUNTIF(Tabla1[[#This Row],[AÑOS AL INICIO5 CPN]],"&gt;=40"),COUNTIF(AS176,"0"),COUNTIF(AR176,"SI"),COUNTIF(CC176,"SI"),COUNTIF(BQ176,"&gt;119"),COUNTIF(CI176,"&gt;=35")),"")</f>
        <v>0</v>
      </c>
      <c r="NF176" s="43" t="str">
        <f t="shared" si="718"/>
        <v/>
      </c>
      <c r="NG176" s="43">
        <f t="shared" si="719"/>
        <v>0</v>
      </c>
      <c r="NH176" s="43">
        <f t="shared" si="720"/>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21"/>
        <v>18</v>
      </c>
      <c r="NM176" s="43" t="str">
        <f t="shared" si="695"/>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2"/>
        <v>I TRIM</v>
      </c>
      <c r="NQ176" s="21" t="str">
        <f t="shared" si="731"/>
        <v/>
      </c>
      <c r="NR176" s="21">
        <f t="shared" ca="1" si="738"/>
        <v>3</v>
      </c>
      <c r="NS176" s="205">
        <f t="shared" ca="1" si="723"/>
        <v>1</v>
      </c>
      <c r="NT176" s="21">
        <f t="shared" ca="1" si="724"/>
        <v>1</v>
      </c>
      <c r="NU176" s="21" t="str">
        <f t="shared" ca="1" si="725"/>
        <v>INCOMPLETO</v>
      </c>
      <c r="NV176" s="21" t="str">
        <f t="shared" ca="1" si="726"/>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7"/>
        <v>SIN VACUNAR</v>
      </c>
      <c r="NY176" s="43">
        <f>ROW(Tabla1[[#This Row],['# DE TAMIZAJES SIFILIS TOMADOS ]])</f>
        <v>176</v>
      </c>
      <c r="NZ176" s="43" t="str">
        <f t="shared" si="502"/>
        <v>Menor</v>
      </c>
      <c r="OA176" s="43" t="str">
        <f t="shared" si="503"/>
        <v>SOBREPESO</v>
      </c>
      <c r="OB176" s="43" t="str">
        <f t="shared" si="504"/>
        <v/>
      </c>
      <c r="OC176" s="43" t="str">
        <f t="shared" si="505"/>
        <v/>
      </c>
      <c r="OD176" s="43" t="str">
        <f t="shared" si="506"/>
        <v/>
      </c>
      <c r="OE176" s="43" t="str">
        <f t="shared" si="507"/>
        <v/>
      </c>
      <c r="OF176" s="43" t="str">
        <f t="shared" si="508"/>
        <v/>
      </c>
      <c r="OG176" s="43" t="str">
        <f t="shared" si="509"/>
        <v/>
      </c>
      <c r="OH176" s="43" t="str">
        <f t="shared" si="510"/>
        <v/>
      </c>
      <c r="OI176" s="43" t="str">
        <f t="shared" si="511"/>
        <v/>
      </c>
      <c r="OJ176" s="43" t="str">
        <f t="shared" si="512"/>
        <v/>
      </c>
      <c r="OK176" s="43" t="str">
        <f t="shared" si="513"/>
        <v/>
      </c>
      <c r="OL176" s="43" t="str">
        <f t="shared" si="514"/>
        <v/>
      </c>
      <c r="OM176" s="43" t="str">
        <f t="shared" si="515"/>
        <v/>
      </c>
      <c r="ON176" s="43" t="str">
        <f t="shared" si="516"/>
        <v/>
      </c>
      <c r="OO176" s="43" t="str">
        <f t="shared" si="517"/>
        <v/>
      </c>
      <c r="OP176" s="43" t="str">
        <f t="shared" si="518"/>
        <v/>
      </c>
      <c r="OQ176" s="43" t="str">
        <f t="shared" si="519"/>
        <v/>
      </c>
      <c r="OR176" s="43" t="str">
        <f t="shared" si="520"/>
        <v/>
      </c>
      <c r="OS176" s="43" t="str">
        <f t="shared" si="521"/>
        <v/>
      </c>
      <c r="OT176" s="43" t="str">
        <f t="shared" si="522"/>
        <v/>
      </c>
      <c r="OU176" s="43" t="str">
        <f t="shared" si="523"/>
        <v/>
      </c>
      <c r="OV176" s="110" t="str">
        <f t="shared" si="524"/>
        <v/>
      </c>
      <c r="OW176" s="43" t="str">
        <f t="shared" si="525"/>
        <v/>
      </c>
      <c r="OX176" s="43" t="str">
        <f t="shared" si="526"/>
        <v/>
      </c>
      <c r="OY176" s="43" t="str">
        <f t="shared" si="527"/>
        <v/>
      </c>
      <c r="OZ176" s="43" t="str">
        <f t="shared" si="528"/>
        <v/>
      </c>
      <c r="PA176" s="43" t="str">
        <f t="shared" si="529"/>
        <v/>
      </c>
      <c r="PB176" s="43" t="str">
        <f t="shared" si="530"/>
        <v/>
      </c>
      <c r="PC176" s="43" t="str">
        <f t="shared" si="531"/>
        <v/>
      </c>
      <c r="PD176" s="43" t="str">
        <f t="shared" si="532"/>
        <v/>
      </c>
      <c r="PE176" s="43" t="str">
        <f t="shared" si="533"/>
        <v/>
      </c>
      <c r="PF176" s="43" t="str">
        <f t="shared" si="534"/>
        <v/>
      </c>
      <c r="PG176" s="43" t="str">
        <f t="shared" si="535"/>
        <v/>
      </c>
      <c r="PH176" s="43" t="str">
        <f t="shared" si="536"/>
        <v/>
      </c>
      <c r="PI176" s="43">
        <f t="shared" si="537"/>
        <v>19</v>
      </c>
      <c r="PJ176" s="43" t="str">
        <f t="shared" si="538"/>
        <v/>
      </c>
      <c r="PK176" s="43" t="str">
        <f t="shared" si="539"/>
        <v/>
      </c>
      <c r="PL176" s="43" t="str">
        <f t="shared" si="540"/>
        <v/>
      </c>
      <c r="PM176" s="43" t="str">
        <f t="shared" si="541"/>
        <v/>
      </c>
      <c r="PN176" s="43" t="str">
        <f t="shared" si="542"/>
        <v/>
      </c>
      <c r="PO176" s="43" t="str">
        <f t="shared" si="543"/>
        <v/>
      </c>
      <c r="PP176" s="43" t="str">
        <f t="shared" si="544"/>
        <v/>
      </c>
      <c r="PQ176" s="43" t="str">
        <f t="shared" si="545"/>
        <v/>
      </c>
      <c r="PR176" s="43" t="str">
        <f t="shared" si="546"/>
        <v/>
      </c>
      <c r="PS176" s="43" t="str">
        <f t="shared" si="547"/>
        <v/>
      </c>
      <c r="PT176" s="43" t="str">
        <f t="shared" si="548"/>
        <v>SOBREPESO</v>
      </c>
      <c r="PU176" s="43" t="str">
        <f t="shared" si="549"/>
        <v/>
      </c>
      <c r="PV176" s="43" t="str">
        <f t="shared" si="550"/>
        <v/>
      </c>
      <c r="PW176" s="43" t="str">
        <f t="shared" si="551"/>
        <v/>
      </c>
      <c r="PX176" s="43" t="str">
        <f t="shared" si="552"/>
        <v/>
      </c>
      <c r="PY176" s="43" t="str">
        <f t="shared" si="553"/>
        <v/>
      </c>
      <c r="PZ176" s="43" t="str">
        <f t="shared" si="554"/>
        <v/>
      </c>
      <c r="QA176" s="43" t="str">
        <f t="shared" si="555"/>
        <v/>
      </c>
      <c r="QB176" s="43" t="str">
        <f t="shared" si="556"/>
        <v/>
      </c>
      <c r="QC176" s="43" t="str">
        <f t="shared" si="557"/>
        <v/>
      </c>
      <c r="QD176" s="43" t="str">
        <f t="shared" si="558"/>
        <v/>
      </c>
      <c r="QE176" s="43" t="str">
        <f t="shared" si="559"/>
        <v/>
      </c>
      <c r="QF176" s="43" t="str">
        <f t="shared" si="560"/>
        <v/>
      </c>
      <c r="QG176" s="43" t="str">
        <f t="shared" si="561"/>
        <v/>
      </c>
      <c r="QH176" s="43" t="str">
        <f t="shared" si="562"/>
        <v/>
      </c>
      <c r="QI176" s="43" t="str">
        <f t="shared" si="563"/>
        <v/>
      </c>
      <c r="QJ176" s="43" t="str">
        <f t="shared" si="564"/>
        <v/>
      </c>
      <c r="QK176" s="43" t="str">
        <f t="shared" si="565"/>
        <v/>
      </c>
      <c r="QL176" s="43" t="str">
        <f t="shared" si="566"/>
        <v/>
      </c>
      <c r="QM176" s="43" t="str">
        <f t="shared" si="567"/>
        <v/>
      </c>
      <c r="QN176" s="43" t="str">
        <f t="shared" si="568"/>
        <v/>
      </c>
      <c r="QO176" s="43" t="str">
        <f t="shared" si="569"/>
        <v/>
      </c>
      <c r="QP176" s="43" t="str">
        <f t="shared" si="570"/>
        <v/>
      </c>
      <c r="QQ176" s="43" t="str">
        <f t="shared" si="571"/>
        <v/>
      </c>
      <c r="QR176" s="43">
        <f t="shared" si="672"/>
        <v>19</v>
      </c>
      <c r="QS176" s="43"/>
      <c r="QT176" s="21" t="str">
        <f t="shared" si="572"/>
        <v/>
      </c>
      <c r="QU176" s="21" t="str">
        <f t="shared" si="573"/>
        <v/>
      </c>
      <c r="QV176" s="21" t="str">
        <f t="shared" si="574"/>
        <v/>
      </c>
      <c r="QW176" s="21" t="str">
        <f t="shared" si="575"/>
        <v/>
      </c>
      <c r="QX176" s="21" t="str">
        <f t="shared" si="576"/>
        <v/>
      </c>
      <c r="QY176" s="21" t="str">
        <f t="shared" si="577"/>
        <v/>
      </c>
      <c r="QZ176" s="21" t="str">
        <f t="shared" si="578"/>
        <v>ALTO PARA EDAD GESTACIONAL</v>
      </c>
      <c r="RA176" s="21" t="str">
        <f t="shared" si="579"/>
        <v/>
      </c>
      <c r="RB176" s="21" t="str">
        <f t="shared" si="580"/>
        <v/>
      </c>
      <c r="RC176" s="21" t="str">
        <f t="shared" si="581"/>
        <v/>
      </c>
      <c r="RD176" s="21" t="str">
        <f t="shared" si="582"/>
        <v/>
      </c>
      <c r="RE176" s="21" t="str">
        <f t="shared" si="583"/>
        <v/>
      </c>
      <c r="RF176" s="21" t="str">
        <f t="shared" si="584"/>
        <v/>
      </c>
      <c r="RG176" s="21" t="str">
        <f t="shared" si="585"/>
        <v/>
      </c>
      <c r="RH176" s="21" t="str">
        <f t="shared" si="586"/>
        <v/>
      </c>
      <c r="RI176" s="21" t="str">
        <f t="shared" si="587"/>
        <v/>
      </c>
      <c r="RJ176" s="21" t="str">
        <f t="shared" si="588"/>
        <v/>
      </c>
      <c r="RK176" s="21" t="str">
        <f t="shared" si="589"/>
        <v/>
      </c>
      <c r="RL176" s="21" t="str">
        <f t="shared" si="590"/>
        <v/>
      </c>
      <c r="RM176" s="21" t="str">
        <f t="shared" si="591"/>
        <v/>
      </c>
      <c r="RN176" s="21" t="str">
        <f t="shared" si="592"/>
        <v/>
      </c>
      <c r="RO176" s="21" t="str">
        <f t="shared" si="593"/>
        <v/>
      </c>
      <c r="RP176" s="21" t="str">
        <f t="shared" si="594"/>
        <v/>
      </c>
      <c r="RQ176" s="21" t="str">
        <f t="shared" si="595"/>
        <v/>
      </c>
      <c r="RR176" s="21" t="str">
        <f t="shared" si="596"/>
        <v/>
      </c>
      <c r="RS176" s="21" t="str">
        <f t="shared" si="597"/>
        <v/>
      </c>
      <c r="RT176" s="21" t="str">
        <f t="shared" si="598"/>
        <v/>
      </c>
      <c r="RU176" s="21" t="str">
        <f t="shared" si="599"/>
        <v/>
      </c>
      <c r="RV176" s="21">
        <f t="shared" si="600"/>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3"/>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1"/>
        <v>41.509589041095893</v>
      </c>
      <c r="O177" s="22">
        <v>45065</v>
      </c>
      <c r="P177" s="214" t="str">
        <f t="shared" si="675"/>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2"/>
        <v>83.15</v>
      </c>
      <c r="BR177" s="223">
        <f t="shared" si="603"/>
        <v>44990.5</v>
      </c>
      <c r="BS177" s="224">
        <f t="shared" si="604"/>
        <v>10.642857142857142</v>
      </c>
      <c r="BT177" s="216" t="str">
        <f t="shared" si="605"/>
        <v>II TRIM</v>
      </c>
      <c r="BU177" s="214">
        <f t="shared" ca="1" si="606"/>
        <v>34.5</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7"/>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8"/>
        <v>45112</v>
      </c>
      <c r="CL177" s="21">
        <v>63.6</v>
      </c>
      <c r="CM177" s="214">
        <f t="shared" si="609"/>
        <v>29.43218103567958</v>
      </c>
      <c r="CN177" s="216">
        <f t="shared" si="610"/>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9"/>
        <v/>
      </c>
      <c r="DA177" s="21">
        <v>110</v>
      </c>
      <c r="DB177" s="21">
        <v>60</v>
      </c>
      <c r="DC177" s="217" t="str">
        <f t="shared" si="611"/>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6"/>
        <v>PLANEAR PLAN DE PARTO</v>
      </c>
      <c r="DV177" s="226" t="str">
        <f t="shared" si="677"/>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2"/>
        <v>#REF!</v>
      </c>
      <c r="DY177" s="212">
        <f>IF(R177="","",IF(R177&gt;0,MAX(Tabla1[[#This Row],[FECHA C2]:[FECHA C13]],Tabla1[[#This Row],[FECHA CONSULTA PRIMERA VEZ PROGRAMA CPN ]])))</f>
        <v>45112</v>
      </c>
      <c r="DZ177" s="216">
        <f t="shared" si="613"/>
        <v>17</v>
      </c>
      <c r="EA177" s="222">
        <f>IF(R177&gt;0,SUM(COUNTA(DF177:DQ177)+COUNTA(Tabla1[[#This Row],[FECHA CONSULTA PRIMERA VEZ PROGRAMA CPN ]])),"")</f>
        <v>2</v>
      </c>
      <c r="EB177" s="222" t="str">
        <f t="shared" si="614"/>
        <v>NO</v>
      </c>
      <c r="EC177" s="214">
        <f t="shared" si="615"/>
        <v>9</v>
      </c>
      <c r="ED177" s="227">
        <f t="shared" si="616"/>
        <v>0.22222222222222221</v>
      </c>
      <c r="EE177" s="22">
        <v>45065</v>
      </c>
      <c r="EF177" s="22">
        <v>45072</v>
      </c>
      <c r="EG177" s="22">
        <v>45065</v>
      </c>
      <c r="EH177" s="22">
        <v>45079</v>
      </c>
      <c r="EI177" s="22">
        <v>45065</v>
      </c>
      <c r="EJ177" s="22"/>
      <c r="EK177" s="22"/>
      <c r="EL177" s="21"/>
      <c r="EM177" s="21">
        <v>15</v>
      </c>
      <c r="EN177" s="22">
        <v>45072</v>
      </c>
      <c r="EO177" s="222">
        <f t="shared" si="617"/>
        <v>11.642857142857142</v>
      </c>
      <c r="EP177" s="214" t="str">
        <f t="shared" si="618"/>
        <v>NO DAR SULFATO FERROSO</v>
      </c>
      <c r="EQ177" s="216" t="str">
        <f t="shared" si="619"/>
        <v>I TRIM</v>
      </c>
      <c r="ER177" s="24"/>
      <c r="ES177" s="22"/>
      <c r="ET177" s="29" t="str">
        <f t="shared" ca="1" si="678"/>
        <v>TOMA DE HEMOGLOBINA TARDÍA</v>
      </c>
      <c r="EU177" s="25" t="str">
        <f t="shared" si="620"/>
        <v/>
      </c>
      <c r="EV177" s="24" t="s">
        <v>1510</v>
      </c>
      <c r="EW177" s="32">
        <v>45072</v>
      </c>
      <c r="EX177" s="22"/>
      <c r="EY177" s="29">
        <f t="shared" si="693"/>
        <v>11.642857142857142</v>
      </c>
      <c r="EZ177" s="25" t="str">
        <f t="shared" si="694"/>
        <v>SIN RIESGO DE ISOINMUNIZACIÓN</v>
      </c>
      <c r="FA177" s="21">
        <v>66</v>
      </c>
      <c r="FB177" s="22">
        <v>45062</v>
      </c>
      <c r="FC177" s="29">
        <f t="shared" si="621"/>
        <v>10.214285714285714</v>
      </c>
      <c r="FD177" s="29"/>
      <c r="FE177" s="29"/>
      <c r="FF177" s="29"/>
      <c r="FG177" s="21" t="str">
        <f t="shared" ca="1" si="622"/>
        <v>TOMAR PTOG</v>
      </c>
      <c r="FH177" s="31"/>
      <c r="FI177" s="29" t="str">
        <f t="shared" si="623"/>
        <v>TOMAR EXAMEN</v>
      </c>
      <c r="FJ177" s="22" t="s">
        <v>867</v>
      </c>
      <c r="FK177" s="32">
        <v>45072</v>
      </c>
      <c r="FL177" s="29">
        <f t="shared" ca="1" si="624"/>
        <v>11.642857142857142</v>
      </c>
      <c r="FM177" s="22"/>
      <c r="FN177" s="32"/>
      <c r="FO177" s="29" t="str">
        <f t="shared" ca="1" si="679"/>
        <v>PIERDE TOMA DE TAMIZAJE</v>
      </c>
      <c r="FP177" s="22"/>
      <c r="FQ177" s="32"/>
      <c r="FR177" s="29" t="str">
        <f t="shared" ca="1" si="680"/>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5"/>
        <v>TOMAR EXAMEN</v>
      </c>
      <c r="FY177" s="22" t="s">
        <v>868</v>
      </c>
      <c r="FZ177" s="22">
        <v>45072</v>
      </c>
      <c r="GA177" s="29">
        <f t="shared" ca="1" si="692"/>
        <v>11.642857142857142</v>
      </c>
      <c r="GB177" s="22"/>
      <c r="GC177" s="22"/>
      <c r="GD177" s="29" t="str">
        <f t="shared" ca="1" si="732"/>
        <v>PIERDE TOMA DE TAMIZAJE</v>
      </c>
      <c r="GE177" s="22"/>
      <c r="GF177" s="22"/>
      <c r="GG177" s="29" t="str">
        <f t="shared" ca="1" si="682"/>
        <v>EN RANGO PARA TOMAR EXAMEN</v>
      </c>
      <c r="GH177" s="22"/>
      <c r="GI177" s="29"/>
      <c r="GJ177" s="22"/>
      <c r="GK177" s="22"/>
      <c r="GL177" s="22"/>
      <c r="GM177" s="22"/>
      <c r="GN177" s="28" t="s">
        <v>869</v>
      </c>
      <c r="GO177" s="22">
        <v>45072</v>
      </c>
      <c r="GP177" s="29">
        <f t="shared" si="626"/>
        <v>11.642857142857142</v>
      </c>
      <c r="GQ177" s="28" t="s">
        <v>869</v>
      </c>
      <c r="GR177" s="28" t="s">
        <v>869</v>
      </c>
      <c r="GS177" s="22" t="str">
        <f t="shared" si="728"/>
        <v>CONTROL Igm</v>
      </c>
      <c r="GT177" s="22">
        <v>45072</v>
      </c>
      <c r="GU177" s="29">
        <f t="shared" si="628"/>
        <v>15</v>
      </c>
      <c r="GV177" s="21" t="str">
        <f t="shared" si="629"/>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30"/>
        <v>#REF!</v>
      </c>
      <c r="HI177" s="22" t="str">
        <f t="shared" si="631"/>
        <v>ALTO RIESGO</v>
      </c>
      <c r="HJ177" s="21" t="str">
        <f t="shared" ca="1" si="632"/>
        <v>*ANTECEDENTE PREECLAMPSIA***ANTECEDENTE TRABAJO DE PARTO PROLONGADO*****************MULTIPARIDAD***RIESGO POR EDAD*CESAREAS PREVIAS**************</v>
      </c>
      <c r="HK177" s="21" t="str">
        <f t="shared" si="633"/>
        <v>RIESGO ALTO DE COMPLICACIONES HIPERTENSIVAS VER MANEJO GUIA SUMINISTRO ASA Y CALCIO</v>
      </c>
      <c r="HL177" s="24" t="str">
        <f t="shared" si="634"/>
        <v>APARENTEMENTE NORMAL</v>
      </c>
      <c r="HM177" s="21" t="e">
        <f t="shared" ca="1" si="635"/>
        <v>#REF!</v>
      </c>
      <c r="HN177" s="30" t="str">
        <f t="shared" si="683"/>
        <v>ACTIVA INGRESO A CPN</v>
      </c>
      <c r="HO177" s="21"/>
      <c r="HP177" s="21"/>
      <c r="HQ177" s="349">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6"/>
        <v>10.642857142857142</v>
      </c>
      <c r="IA177" s="26"/>
      <c r="IB177" s="26"/>
      <c r="IC177" s="111"/>
      <c r="ID177" s="22"/>
      <c r="IE177" s="22" t="str">
        <f t="shared" ca="1" si="637"/>
        <v>INASISTENTE</v>
      </c>
      <c r="IF177" s="22"/>
      <c r="IG177" s="22">
        <f t="shared" si="638"/>
        <v>45270.5</v>
      </c>
      <c r="IH177" s="29">
        <f t="shared" ca="1" si="639"/>
        <v>38.5</v>
      </c>
      <c r="II177" s="22" t="str">
        <f t="shared" ca="1" si="640"/>
        <v>PENDIENTE</v>
      </c>
      <c r="IJ177" s="22"/>
      <c r="IK177" s="21"/>
      <c r="IL177" s="21"/>
      <c r="IM177" s="34"/>
      <c r="IN177" s="22"/>
      <c r="IO177" s="21"/>
      <c r="IP177" s="29" t="str">
        <f t="shared" si="730"/>
        <v/>
      </c>
      <c r="IQ177" s="35"/>
      <c r="IR177" s="21"/>
      <c r="IS177" s="21"/>
      <c r="IT177" s="21"/>
      <c r="IU177" s="21"/>
      <c r="IV177" s="21"/>
      <c r="IW177" s="21"/>
      <c r="IX177" s="21"/>
      <c r="IY177" s="21"/>
      <c r="IZ177" s="21"/>
      <c r="JA177" s="21"/>
      <c r="JB177" s="30"/>
      <c r="JC177" s="21"/>
      <c r="JD177" s="36"/>
      <c r="JE177" s="21" t="str">
        <f t="shared" si="733"/>
        <v/>
      </c>
      <c r="JF177" s="30"/>
      <c r="JG177" s="21"/>
      <c r="JH177" s="21"/>
      <c r="JI177" s="21"/>
      <c r="JJ177" s="30"/>
      <c r="JK177" s="22"/>
      <c r="JL177" s="22"/>
      <c r="JM177" s="21"/>
      <c r="JN177" s="36"/>
      <c r="JO177" s="21" t="str">
        <f t="shared" si="734"/>
        <v/>
      </c>
      <c r="JP177" s="22"/>
      <c r="JQ177" s="21"/>
      <c r="JR177" s="21"/>
      <c r="JS177" s="21"/>
      <c r="JT177" s="30"/>
      <c r="JU177" s="22"/>
      <c r="JV177" s="22"/>
      <c r="JW177" s="33"/>
      <c r="JX177" s="28" t="str">
        <f t="shared" si="735"/>
        <v/>
      </c>
      <c r="JY177" s="33"/>
      <c r="JZ177" s="28" t="str">
        <f t="shared" si="736"/>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7"/>
        <v>0</v>
      </c>
      <c r="MI177" s="43" t="str">
        <f t="shared" si="698"/>
        <v/>
      </c>
      <c r="MJ177" s="43" t="str">
        <f t="shared" si="699"/>
        <v/>
      </c>
      <c r="MK177" s="43">
        <f t="shared" si="700"/>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701"/>
        <v>10.642857142857142</v>
      </c>
      <c r="MN177" s="43">
        <f t="shared" si="702"/>
        <v>5</v>
      </c>
      <c r="MO177" s="43">
        <f t="shared" si="703"/>
        <v>2023</v>
      </c>
      <c r="MP177" s="43" t="str">
        <f t="shared" si="704"/>
        <v>II TRIMESTRE AÑO</v>
      </c>
      <c r="MQ177" s="43">
        <f t="shared" si="705"/>
        <v>40.431997371879106</v>
      </c>
      <c r="MR177" s="43">
        <f t="shared" si="706"/>
        <v>2</v>
      </c>
      <c r="MS177" s="43" t="str">
        <f t="shared" si="707"/>
        <v xml:space="preserve"> DE 40 Y MAS</v>
      </c>
      <c r="MT177" s="43">
        <f t="shared" si="708"/>
        <v>0</v>
      </c>
      <c r="MU177" s="43">
        <f t="shared" si="709"/>
        <v>2</v>
      </c>
      <c r="MV177" s="43">
        <f t="shared" si="710"/>
        <v>1</v>
      </c>
      <c r="MW177" s="43">
        <f t="shared" si="711"/>
        <v>0</v>
      </c>
      <c r="MX177" s="43" t="str">
        <f t="shared" si="712"/>
        <v/>
      </c>
      <c r="MY177" s="43" t="str">
        <f t="shared" ca="1" si="737"/>
        <v/>
      </c>
      <c r="MZ177" s="43" t="str">
        <f t="shared" si="713"/>
        <v/>
      </c>
      <c r="NA177" s="43" t="str">
        <f t="shared" si="714"/>
        <v/>
      </c>
      <c r="NB177" s="43" t="str">
        <f t="shared" si="715"/>
        <v/>
      </c>
      <c r="NC177" s="43" t="str">
        <f t="shared" si="716"/>
        <v/>
      </c>
      <c r="ND177" s="43">
        <f t="shared" ca="1" si="717"/>
        <v>8</v>
      </c>
      <c r="NE177" s="43">
        <f>IF(OR(O177&gt;0,R177&gt;0),SUM(COUNTIF(Tabla1[[#This Row],[AÑOS AL INICIO5 CPN]],"&gt;=40"),COUNTIF(AS177,"0"),COUNTIF(AR177,"SI"),COUNTIF(CC177,"SI"),COUNTIF(BQ177,"&gt;119"),COUNTIF(CI177,"&gt;=35")),"")</f>
        <v>2</v>
      </c>
      <c r="NF177" s="43" t="str">
        <f t="shared" si="718"/>
        <v/>
      </c>
      <c r="NG177" s="43">
        <f t="shared" si="719"/>
        <v>0</v>
      </c>
      <c r="NH177" s="43">
        <f t="shared" si="720"/>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21"/>
        <v>X</v>
      </c>
      <c r="NM177" s="43" t="str">
        <f t="shared" si="695"/>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2"/>
        <v>I TRIM</v>
      </c>
      <c r="NQ177" s="21" t="str">
        <f t="shared" si="731"/>
        <v/>
      </c>
      <c r="NR177" s="21">
        <f t="shared" ca="1" si="738"/>
        <v>3</v>
      </c>
      <c r="NS177" s="205">
        <f t="shared" ca="1" si="723"/>
        <v>1</v>
      </c>
      <c r="NT177" s="21">
        <f t="shared" ca="1" si="724"/>
        <v>1</v>
      </c>
      <c r="NU177" s="21" t="str">
        <f t="shared" ca="1" si="725"/>
        <v>INCOMPLETO</v>
      </c>
      <c r="NV177" s="21" t="str">
        <f t="shared" ca="1" si="726"/>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7"/>
        <v>SIN VACUNAR</v>
      </c>
      <c r="NY177" s="43">
        <f>ROW(Tabla1[[#This Row],['# DE TAMIZAJES SIFILIS TOMADOS ]])</f>
        <v>177</v>
      </c>
      <c r="NZ177" s="43">
        <f t="shared" si="502"/>
        <v>10</v>
      </c>
      <c r="OA177" s="43" t="str">
        <f t="shared" si="503"/>
        <v/>
      </c>
      <c r="OB177" s="43" t="str">
        <f t="shared" si="504"/>
        <v>SOBREPESO</v>
      </c>
      <c r="OC177" s="43" t="str">
        <f t="shared" si="505"/>
        <v/>
      </c>
      <c r="OD177" s="43" t="str">
        <f t="shared" si="506"/>
        <v/>
      </c>
      <c r="OE177" s="43" t="str">
        <f t="shared" si="507"/>
        <v/>
      </c>
      <c r="OF177" s="43" t="str">
        <f t="shared" si="508"/>
        <v/>
      </c>
      <c r="OG177" s="43" t="str">
        <f t="shared" si="509"/>
        <v/>
      </c>
      <c r="OH177" s="43" t="str">
        <f t="shared" si="510"/>
        <v/>
      </c>
      <c r="OI177" s="43" t="str">
        <f t="shared" si="511"/>
        <v/>
      </c>
      <c r="OJ177" s="43" t="str">
        <f t="shared" si="512"/>
        <v/>
      </c>
      <c r="OK177" s="43" t="str">
        <f t="shared" si="513"/>
        <v/>
      </c>
      <c r="OL177" s="43" t="str">
        <f t="shared" si="514"/>
        <v/>
      </c>
      <c r="OM177" s="43" t="str">
        <f t="shared" si="515"/>
        <v/>
      </c>
      <c r="ON177" s="43" t="str">
        <f t="shared" si="516"/>
        <v/>
      </c>
      <c r="OO177" s="43" t="str">
        <f t="shared" si="517"/>
        <v/>
      </c>
      <c r="OP177" s="43" t="str">
        <f t="shared" si="518"/>
        <v/>
      </c>
      <c r="OQ177" s="43" t="str">
        <f t="shared" si="519"/>
        <v/>
      </c>
      <c r="OR177" s="43" t="str">
        <f t="shared" si="520"/>
        <v/>
      </c>
      <c r="OS177" s="43" t="str">
        <f t="shared" si="521"/>
        <v/>
      </c>
      <c r="OT177" s="43" t="str">
        <f t="shared" si="522"/>
        <v/>
      </c>
      <c r="OU177" s="43" t="str">
        <f t="shared" si="523"/>
        <v/>
      </c>
      <c r="OV177" s="110" t="str">
        <f t="shared" si="524"/>
        <v/>
      </c>
      <c r="OW177" s="43" t="str">
        <f t="shared" si="525"/>
        <v/>
      </c>
      <c r="OX177" s="43" t="str">
        <f t="shared" si="526"/>
        <v/>
      </c>
      <c r="OY177" s="43" t="str">
        <f t="shared" si="527"/>
        <v/>
      </c>
      <c r="OZ177" s="43" t="str">
        <f t="shared" si="528"/>
        <v/>
      </c>
      <c r="PA177" s="43" t="str">
        <f t="shared" si="529"/>
        <v/>
      </c>
      <c r="PB177" s="43" t="str">
        <f t="shared" si="530"/>
        <v/>
      </c>
      <c r="PC177" s="43" t="str">
        <f t="shared" si="531"/>
        <v/>
      </c>
      <c r="PD177" s="43" t="str">
        <f t="shared" si="532"/>
        <v/>
      </c>
      <c r="PE177" s="43" t="str">
        <f t="shared" si="533"/>
        <v/>
      </c>
      <c r="PF177" s="43" t="str">
        <f t="shared" si="534"/>
        <v/>
      </c>
      <c r="PG177" s="43" t="str">
        <f t="shared" si="535"/>
        <v/>
      </c>
      <c r="PH177" s="43" t="str">
        <f t="shared" si="536"/>
        <v/>
      </c>
      <c r="PI177" s="43">
        <f t="shared" si="537"/>
        <v>17</v>
      </c>
      <c r="PJ177" s="43" t="str">
        <f t="shared" si="538"/>
        <v/>
      </c>
      <c r="PK177" s="43" t="str">
        <f t="shared" si="539"/>
        <v/>
      </c>
      <c r="PL177" s="43" t="str">
        <f t="shared" si="540"/>
        <v/>
      </c>
      <c r="PM177" s="43" t="str">
        <f t="shared" si="541"/>
        <v/>
      </c>
      <c r="PN177" s="43" t="str">
        <f t="shared" si="542"/>
        <v/>
      </c>
      <c r="PO177" s="43" t="str">
        <f t="shared" si="543"/>
        <v/>
      </c>
      <c r="PP177" s="43" t="str">
        <f t="shared" si="544"/>
        <v/>
      </c>
      <c r="PQ177" s="43" t="str">
        <f t="shared" si="545"/>
        <v/>
      </c>
      <c r="PR177" s="43" t="str">
        <f t="shared" si="546"/>
        <v>SOBREPESO</v>
      </c>
      <c r="PS177" s="43" t="str">
        <f t="shared" si="547"/>
        <v/>
      </c>
      <c r="PT177" s="43" t="str">
        <f t="shared" si="548"/>
        <v/>
      </c>
      <c r="PU177" s="43" t="str">
        <f t="shared" si="549"/>
        <v/>
      </c>
      <c r="PV177" s="43" t="str">
        <f t="shared" si="550"/>
        <v/>
      </c>
      <c r="PW177" s="43" t="str">
        <f t="shared" si="551"/>
        <v/>
      </c>
      <c r="PX177" s="43" t="str">
        <f t="shared" si="552"/>
        <v/>
      </c>
      <c r="PY177" s="43" t="str">
        <f t="shared" si="553"/>
        <v/>
      </c>
      <c r="PZ177" s="43" t="str">
        <f t="shared" si="554"/>
        <v/>
      </c>
      <c r="QA177" s="43" t="str">
        <f t="shared" si="555"/>
        <v/>
      </c>
      <c r="QB177" s="43" t="str">
        <f t="shared" si="556"/>
        <v/>
      </c>
      <c r="QC177" s="43" t="str">
        <f t="shared" si="557"/>
        <v/>
      </c>
      <c r="QD177" s="43" t="str">
        <f t="shared" si="558"/>
        <v/>
      </c>
      <c r="QE177" s="43" t="str">
        <f t="shared" si="559"/>
        <v/>
      </c>
      <c r="QF177" s="43" t="str">
        <f t="shared" si="560"/>
        <v/>
      </c>
      <c r="QG177" s="43" t="str">
        <f t="shared" si="561"/>
        <v/>
      </c>
      <c r="QH177" s="43" t="str">
        <f t="shared" si="562"/>
        <v/>
      </c>
      <c r="QI177" s="43" t="str">
        <f t="shared" si="563"/>
        <v/>
      </c>
      <c r="QJ177" s="43" t="str">
        <f t="shared" si="564"/>
        <v/>
      </c>
      <c r="QK177" s="43" t="str">
        <f t="shared" si="565"/>
        <v/>
      </c>
      <c r="QL177" s="43" t="str">
        <f t="shared" si="566"/>
        <v/>
      </c>
      <c r="QM177" s="43" t="str">
        <f t="shared" si="567"/>
        <v/>
      </c>
      <c r="QN177" s="43" t="str">
        <f t="shared" si="568"/>
        <v/>
      </c>
      <c r="QO177" s="43" t="str">
        <f t="shared" si="569"/>
        <v/>
      </c>
      <c r="QP177" s="43" t="str">
        <f t="shared" si="570"/>
        <v/>
      </c>
      <c r="QQ177" s="43" t="str">
        <f t="shared" si="571"/>
        <v/>
      </c>
      <c r="QR177" s="43">
        <f t="shared" si="672"/>
        <v>17</v>
      </c>
      <c r="QS177" s="43"/>
      <c r="QT177" s="21" t="str">
        <f t="shared" si="572"/>
        <v/>
      </c>
      <c r="QU177" s="21" t="str">
        <f t="shared" si="573"/>
        <v/>
      </c>
      <c r="QV177" s="21" t="str">
        <f t="shared" si="574"/>
        <v/>
      </c>
      <c r="QW177" s="21" t="str">
        <f t="shared" si="575"/>
        <v/>
      </c>
      <c r="QX177" s="21" t="str">
        <f t="shared" si="576"/>
        <v/>
      </c>
      <c r="QY177" s="21" t="str">
        <f t="shared" si="577"/>
        <v/>
      </c>
      <c r="QZ177" s="21" t="str">
        <f t="shared" si="578"/>
        <v/>
      </c>
      <c r="RA177" s="21" t="str">
        <f t="shared" si="579"/>
        <v/>
      </c>
      <c r="RB177" s="21" t="str">
        <f t="shared" si="580"/>
        <v/>
      </c>
      <c r="RC177" s="21" t="str">
        <f t="shared" si="581"/>
        <v/>
      </c>
      <c r="RD177" s="21" t="str">
        <f t="shared" si="582"/>
        <v/>
      </c>
      <c r="RE177" s="21" t="str">
        <f t="shared" si="583"/>
        <v/>
      </c>
      <c r="RF177" s="21" t="str">
        <f t="shared" si="584"/>
        <v/>
      </c>
      <c r="RG177" s="21" t="str">
        <f t="shared" si="585"/>
        <v/>
      </c>
      <c r="RH177" s="21" t="str">
        <f t="shared" si="586"/>
        <v/>
      </c>
      <c r="RI177" s="21" t="str">
        <f t="shared" si="587"/>
        <v/>
      </c>
      <c r="RJ177" s="21" t="str">
        <f t="shared" si="588"/>
        <v/>
      </c>
      <c r="RK177" s="21" t="str">
        <f t="shared" si="589"/>
        <v/>
      </c>
      <c r="RL177" s="21" t="str">
        <f t="shared" si="590"/>
        <v/>
      </c>
      <c r="RM177" s="21" t="str">
        <f t="shared" si="591"/>
        <v/>
      </c>
      <c r="RN177" s="21" t="str">
        <f t="shared" si="592"/>
        <v/>
      </c>
      <c r="RO177" s="21" t="str">
        <f t="shared" si="593"/>
        <v/>
      </c>
      <c r="RP177" s="21" t="str">
        <f t="shared" si="594"/>
        <v/>
      </c>
      <c r="RQ177" s="21" t="str">
        <f t="shared" si="595"/>
        <v/>
      </c>
      <c r="RR177" s="21" t="str">
        <f t="shared" si="596"/>
        <v/>
      </c>
      <c r="RS177" s="21" t="str">
        <f t="shared" si="597"/>
        <v/>
      </c>
      <c r="RT177" s="21" t="str">
        <f t="shared" si="598"/>
        <v/>
      </c>
      <c r="RU177" s="21" t="str">
        <f t="shared" si="599"/>
        <v/>
      </c>
      <c r="RV177" s="21">
        <f t="shared" si="600"/>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3"/>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1"/>
        <v>24.473972602739725</v>
      </c>
      <c r="O178" s="22">
        <v>45065</v>
      </c>
      <c r="P178" s="214" t="str">
        <f t="shared" si="675"/>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2"/>
        <v>0</v>
      </c>
      <c r="BR178" s="223" t="str">
        <f t="shared" si="603"/>
        <v/>
      </c>
      <c r="BS178" s="224">
        <f t="shared" si="604"/>
        <v>8.4285714285714288</v>
      </c>
      <c r="BT178" s="216" t="str">
        <f t="shared" si="605"/>
        <v>I TRIM</v>
      </c>
      <c r="BU178" s="214">
        <f t="shared" ca="1" si="606"/>
        <v>32.285714285714285</v>
      </c>
      <c r="BV178" s="25"/>
      <c r="BW178" s="22"/>
      <c r="BX178" s="28"/>
      <c r="BY178" s="28"/>
      <c r="BZ178" s="22"/>
      <c r="CA178" s="21"/>
      <c r="CB178" s="26"/>
      <c r="CC178" s="26"/>
      <c r="CD178" s="26"/>
      <c r="CE178" s="26"/>
      <c r="CF178" s="22" t="s">
        <v>1517</v>
      </c>
      <c r="CG178" s="21">
        <v>1.53</v>
      </c>
      <c r="CH178" s="21">
        <v>82</v>
      </c>
      <c r="CI178" s="214">
        <f t="shared" si="607"/>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8"/>
        <v>45065</v>
      </c>
      <c r="CL178" s="21">
        <v>82</v>
      </c>
      <c r="CM178" s="214">
        <f t="shared" si="609"/>
        <v>35.029262249562137</v>
      </c>
      <c r="CN178" s="216">
        <f t="shared" si="610"/>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9"/>
        <v/>
      </c>
      <c r="DA178" s="21">
        <v>120</v>
      </c>
      <c r="DB178" s="21">
        <v>60</v>
      </c>
      <c r="DC178" s="217" t="str">
        <f t="shared" si="611"/>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6"/>
        <v>PLANEAR PLAN DE PARTO</v>
      </c>
      <c r="DV178" s="226" t="str">
        <f t="shared" si="677"/>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2"/>
        <v>#REF!</v>
      </c>
      <c r="DY178" s="212">
        <f>IF(R178="","",IF(R178&gt;0,MAX(Tabla1[[#This Row],[FECHA C2]:[FECHA C13]],Tabla1[[#This Row],[FECHA CONSULTA PRIMERA VEZ PROGRAMA CPN ]])))</f>
        <v>45065</v>
      </c>
      <c r="DZ178" s="216">
        <f t="shared" si="613"/>
        <v>8</v>
      </c>
      <c r="EA178" s="222">
        <f>IF(R178&gt;0,SUM(COUNTA(DF178:DQ178)+COUNTA(Tabla1[[#This Row],[FECHA CONSULTA PRIMERA VEZ PROGRAMA CPN ]])),"")</f>
        <v>1</v>
      </c>
      <c r="EB178" s="222" t="str">
        <f t="shared" si="614"/>
        <v>NO</v>
      </c>
      <c r="EC178" s="214">
        <f t="shared" si="615"/>
        <v>9</v>
      </c>
      <c r="ED178" s="227">
        <f t="shared" si="616"/>
        <v>0.1111111111111111</v>
      </c>
      <c r="EE178" s="22">
        <v>45065</v>
      </c>
      <c r="EF178" s="22"/>
      <c r="EG178" s="22">
        <v>45065</v>
      </c>
      <c r="EH178" s="22"/>
      <c r="EI178" s="22">
        <v>45065</v>
      </c>
      <c r="EJ178" s="22"/>
      <c r="EK178" s="22"/>
      <c r="EL178" s="21"/>
      <c r="EM178" s="21">
        <v>14.6</v>
      </c>
      <c r="EN178" s="22">
        <v>45071</v>
      </c>
      <c r="EO178" s="222">
        <f t="shared" si="617"/>
        <v>9.2857142857142865</v>
      </c>
      <c r="EP178" s="214" t="str">
        <f t="shared" si="618"/>
        <v>NO DAR SULFATO FERROSO</v>
      </c>
      <c r="EQ178" s="216" t="str">
        <f t="shared" si="619"/>
        <v>I TRIM</v>
      </c>
      <c r="ER178" s="24"/>
      <c r="ES178" s="22"/>
      <c r="ET178" s="29" t="str">
        <f t="shared" ca="1" si="678"/>
        <v>TOMA DE HEMOGLOBINA TARDÍA</v>
      </c>
      <c r="EU178" s="25" t="str">
        <f t="shared" si="620"/>
        <v/>
      </c>
      <c r="EV178" s="24" t="s">
        <v>1510</v>
      </c>
      <c r="EW178" s="24">
        <v>45066</v>
      </c>
      <c r="EX178" s="22"/>
      <c r="EY178" s="29">
        <f t="shared" si="693"/>
        <v>8.5714285714285712</v>
      </c>
      <c r="EZ178" s="25" t="str">
        <f t="shared" si="694"/>
        <v>SIN RIESGO DE ISOINMUNIZACIÓN</v>
      </c>
      <c r="FA178" s="21">
        <v>70</v>
      </c>
      <c r="FB178" s="22">
        <v>45066</v>
      </c>
      <c r="FC178" s="29">
        <f t="shared" si="621"/>
        <v>8.5714285714285712</v>
      </c>
      <c r="FD178" s="29"/>
      <c r="FE178" s="29"/>
      <c r="FF178" s="29"/>
      <c r="FG178" s="21" t="str">
        <f t="shared" ca="1" si="622"/>
        <v>TOMAR PTOG</v>
      </c>
      <c r="FH178" s="31"/>
      <c r="FI178" s="29" t="str">
        <f t="shared" si="623"/>
        <v>TOMAR EXAMEN</v>
      </c>
      <c r="FJ178" s="22" t="s">
        <v>867</v>
      </c>
      <c r="FK178" s="22">
        <v>45066</v>
      </c>
      <c r="FL178" s="29">
        <f t="shared" ca="1" si="624"/>
        <v>8.5714285714285712</v>
      </c>
      <c r="FM178" s="22"/>
      <c r="FN178" s="32"/>
      <c r="FO178" s="29" t="str">
        <f t="shared" ca="1" si="679"/>
        <v>PIERDE TOMA DE TAMIZAJE</v>
      </c>
      <c r="FP178" s="22"/>
      <c r="FQ178" s="32"/>
      <c r="FR178" s="29" t="str">
        <f t="shared" ca="1" si="680"/>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5"/>
        <v>TOMAR EXAMEN</v>
      </c>
      <c r="FY178" s="22">
        <v>45065</v>
      </c>
      <c r="FZ178" s="22">
        <v>45065</v>
      </c>
      <c r="GA178" s="29">
        <f t="shared" ca="1" si="692"/>
        <v>8.4285714285714288</v>
      </c>
      <c r="GB178" s="22"/>
      <c r="GC178" s="22"/>
      <c r="GD178" s="29" t="str">
        <f t="shared" ca="1" si="732"/>
        <v>PIERDE TOMA DE TAMIZAJE</v>
      </c>
      <c r="GE178" s="22"/>
      <c r="GF178" s="22"/>
      <c r="GG178" s="29" t="str">
        <f t="shared" ca="1" si="682"/>
        <v>EN RANGO PARA TOMAR EXAMEN</v>
      </c>
      <c r="GH178" s="22"/>
      <c r="GI178" s="29"/>
      <c r="GJ178" s="22"/>
      <c r="GK178" s="22"/>
      <c r="GL178" s="22"/>
      <c r="GM178" s="22"/>
      <c r="GN178" s="28" t="s">
        <v>869</v>
      </c>
      <c r="GO178" s="22">
        <v>45071</v>
      </c>
      <c r="GP178" s="29">
        <f t="shared" si="626"/>
        <v>9.2857142857142865</v>
      </c>
      <c r="GQ178" s="28" t="s">
        <v>869</v>
      </c>
      <c r="GR178" s="28" t="s">
        <v>869</v>
      </c>
      <c r="GS178" s="22" t="str">
        <f t="shared" si="728"/>
        <v>CONTROL Igm</v>
      </c>
      <c r="GT178" s="22">
        <v>45066</v>
      </c>
      <c r="GU178" s="29">
        <f t="shared" si="628"/>
        <v>8.5714285714285712</v>
      </c>
      <c r="GV178" s="21" t="str">
        <f t="shared" si="629"/>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30"/>
        <v>#REF!</v>
      </c>
      <c r="HI178" s="22" t="e">
        <f t="shared" ca="1" si="631"/>
        <v>#REF!</v>
      </c>
      <c r="HJ178" s="21" t="str">
        <f t="shared" ca="1" si="632"/>
        <v>***************************************</v>
      </c>
      <c r="HK178" s="21" t="str">
        <f t="shared" si="633"/>
        <v>SIN ANTECEDENTES DE RIESGO</v>
      </c>
      <c r="HL178" s="24" t="str">
        <f t="shared" si="634"/>
        <v>APARENTEMENTE NORMAL</v>
      </c>
      <c r="HM178" s="21" t="e">
        <f t="shared" ca="1" si="635"/>
        <v>#REF!</v>
      </c>
      <c r="HN178" s="30" t="str">
        <f t="shared" si="683"/>
        <v>ACTIVA INGRESO A CPN</v>
      </c>
      <c r="HO178" s="21"/>
      <c r="HP178" s="21"/>
      <c r="HQ178" s="349"/>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6"/>
        <v>PENDIENTE CONSULTA</v>
      </c>
      <c r="IA178" s="26"/>
      <c r="IB178" s="26"/>
      <c r="IC178" s="111"/>
      <c r="ID178" s="22"/>
      <c r="IE178" s="22" t="str">
        <f t="shared" ca="1" si="637"/>
        <v>INASISTENTE</v>
      </c>
      <c r="IF178" s="22"/>
      <c r="IG178" s="22">
        <f t="shared" si="638"/>
        <v>45286</v>
      </c>
      <c r="IH178" s="29">
        <f t="shared" ca="1" si="639"/>
        <v>54</v>
      </c>
      <c r="II178" s="22" t="str">
        <f t="shared" ca="1" si="640"/>
        <v>PENDIENTE</v>
      </c>
      <c r="IJ178" s="22"/>
      <c r="IK178" s="21"/>
      <c r="IL178" s="21"/>
      <c r="IM178" s="34"/>
      <c r="IN178" s="22"/>
      <c r="IO178" s="21"/>
      <c r="IP178" s="29" t="str">
        <f t="shared" si="730"/>
        <v/>
      </c>
      <c r="IQ178" s="35"/>
      <c r="IR178" s="21"/>
      <c r="IS178" s="21"/>
      <c r="IT178" s="21"/>
      <c r="IU178" s="21"/>
      <c r="IV178" s="21"/>
      <c r="IW178" s="21"/>
      <c r="IX178" s="21"/>
      <c r="IY178" s="21"/>
      <c r="IZ178" s="21"/>
      <c r="JA178" s="21"/>
      <c r="JB178" s="30"/>
      <c r="JC178" s="21"/>
      <c r="JD178" s="36"/>
      <c r="JE178" s="21" t="str">
        <f t="shared" si="733"/>
        <v/>
      </c>
      <c r="JF178" s="30"/>
      <c r="JG178" s="21"/>
      <c r="JH178" s="21"/>
      <c r="JI178" s="21"/>
      <c r="JJ178" s="30"/>
      <c r="JK178" s="22"/>
      <c r="JL178" s="22"/>
      <c r="JM178" s="21"/>
      <c r="JN178" s="36"/>
      <c r="JO178" s="21" t="str">
        <f t="shared" si="734"/>
        <v/>
      </c>
      <c r="JP178" s="22"/>
      <c r="JQ178" s="21"/>
      <c r="JR178" s="21"/>
      <c r="JS178" s="21"/>
      <c r="JT178" s="30"/>
      <c r="JU178" s="22"/>
      <c r="JV178" s="22"/>
      <c r="JW178" s="33"/>
      <c r="JX178" s="28" t="str">
        <f t="shared" si="735"/>
        <v/>
      </c>
      <c r="JY178" s="33"/>
      <c r="JZ178" s="28" t="str">
        <f t="shared" si="736"/>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7"/>
        <v>0</v>
      </c>
      <c r="MI178" s="43" t="str">
        <f t="shared" si="698"/>
        <v/>
      </c>
      <c r="MJ178" s="43" t="str">
        <f t="shared" si="699"/>
        <v/>
      </c>
      <c r="MK178" s="43">
        <f t="shared" si="700"/>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701"/>
        <v>8.4285714285714288</v>
      </c>
      <c r="MN178" s="43">
        <f t="shared" si="702"/>
        <v>5</v>
      </c>
      <c r="MO178" s="43">
        <f t="shared" si="703"/>
        <v>2023</v>
      </c>
      <c r="MP178" s="43" t="str">
        <f t="shared" si="704"/>
        <v>II TRIMESTRE AÑO</v>
      </c>
      <c r="MQ178" s="43">
        <f t="shared" si="705"/>
        <v>23.653088042049934</v>
      </c>
      <c r="MR178" s="43">
        <f t="shared" si="706"/>
        <v>0</v>
      </c>
      <c r="MS178" s="43" t="str">
        <f t="shared" si="707"/>
        <v xml:space="preserve"> DE 20 A 24 AÑOS</v>
      </c>
      <c r="MT178" s="43">
        <f t="shared" si="708"/>
        <v>0</v>
      </c>
      <c r="MU178" s="43">
        <f t="shared" si="709"/>
        <v>0</v>
      </c>
      <c r="MV178" s="43">
        <f t="shared" si="710"/>
        <v>0</v>
      </c>
      <c r="MW178" s="43">
        <f t="shared" si="711"/>
        <v>0</v>
      </c>
      <c r="MX178" s="43" t="str">
        <f t="shared" si="712"/>
        <v/>
      </c>
      <c r="MY178" s="43" t="str">
        <f t="shared" ca="1" si="737"/>
        <v/>
      </c>
      <c r="MZ178" s="43" t="str">
        <f t="shared" si="713"/>
        <v/>
      </c>
      <c r="NA178" s="43" t="str">
        <f t="shared" si="714"/>
        <v/>
      </c>
      <c r="NB178" s="43" t="str">
        <f t="shared" si="715"/>
        <v/>
      </c>
      <c r="NC178" s="43" t="str">
        <f t="shared" si="716"/>
        <v/>
      </c>
      <c r="ND178" s="43">
        <f t="shared" ca="1" si="717"/>
        <v>0</v>
      </c>
      <c r="NE178" s="43">
        <f>IF(OR(O178&gt;0,R178&gt;0),SUM(COUNTIF(Tabla1[[#This Row],[AÑOS AL INICIO5 CPN]],"&gt;=40"),COUNTIF(AS178,"0"),COUNTIF(AR178,"SI"),COUNTIF(CC178,"SI"),COUNTIF(BQ178,"&gt;119"),COUNTIF(CI178,"&gt;=35")),"")</f>
        <v>1</v>
      </c>
      <c r="NF178" s="43" t="str">
        <f t="shared" si="718"/>
        <v/>
      </c>
      <c r="NG178" s="43">
        <f t="shared" si="719"/>
        <v>0</v>
      </c>
      <c r="NH178" s="43" t="str">
        <f t="shared" si="720"/>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21"/>
        <v>X</v>
      </c>
      <c r="NM178" s="43" t="str">
        <f t="shared" si="695"/>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2"/>
        <v>I TRIM</v>
      </c>
      <c r="NQ178" s="21" t="str">
        <f t="shared" si="731"/>
        <v/>
      </c>
      <c r="NR178" s="21">
        <f t="shared" ca="1" si="738"/>
        <v>3</v>
      </c>
      <c r="NS178" s="205">
        <f t="shared" ca="1" si="723"/>
        <v>1</v>
      </c>
      <c r="NT178" s="21">
        <f t="shared" ca="1" si="724"/>
        <v>1</v>
      </c>
      <c r="NU178" s="21" t="str">
        <f t="shared" ca="1" si="725"/>
        <v>INCOMPLETO</v>
      </c>
      <c r="NV178" s="21" t="str">
        <f t="shared" ca="1" si="726"/>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7"/>
        <v>SIN VACUNAR</v>
      </c>
      <c r="NY178" s="43">
        <f>ROW(Tabla1[[#This Row],['# DE TAMIZAJES SIFILIS TOMADOS ]])</f>
        <v>178</v>
      </c>
      <c r="NZ178" s="43" t="str">
        <f t="shared" si="502"/>
        <v>Menor</v>
      </c>
      <c r="OA178" s="43" t="str">
        <f t="shared" si="503"/>
        <v>OBESIDAD</v>
      </c>
      <c r="OB178" s="43" t="str">
        <f t="shared" si="504"/>
        <v/>
      </c>
      <c r="OC178" s="43" t="str">
        <f t="shared" si="505"/>
        <v/>
      </c>
      <c r="OD178" s="43" t="str">
        <f t="shared" si="506"/>
        <v/>
      </c>
      <c r="OE178" s="43" t="str">
        <f t="shared" si="507"/>
        <v/>
      </c>
      <c r="OF178" s="43" t="str">
        <f t="shared" si="508"/>
        <v/>
      </c>
      <c r="OG178" s="43" t="str">
        <f t="shared" si="509"/>
        <v/>
      </c>
      <c r="OH178" s="43" t="str">
        <f t="shared" si="510"/>
        <v/>
      </c>
      <c r="OI178" s="43" t="str">
        <f t="shared" si="511"/>
        <v/>
      </c>
      <c r="OJ178" s="43" t="str">
        <f t="shared" si="512"/>
        <v/>
      </c>
      <c r="OK178" s="43" t="str">
        <f t="shared" si="513"/>
        <v/>
      </c>
      <c r="OL178" s="43" t="str">
        <f t="shared" si="514"/>
        <v/>
      </c>
      <c r="OM178" s="43" t="str">
        <f t="shared" si="515"/>
        <v/>
      </c>
      <c r="ON178" s="43" t="str">
        <f t="shared" si="516"/>
        <v/>
      </c>
      <c r="OO178" s="43" t="str">
        <f t="shared" si="517"/>
        <v/>
      </c>
      <c r="OP178" s="43" t="str">
        <f t="shared" si="518"/>
        <v/>
      </c>
      <c r="OQ178" s="43" t="str">
        <f t="shared" si="519"/>
        <v/>
      </c>
      <c r="OR178" s="43" t="str">
        <f t="shared" si="520"/>
        <v/>
      </c>
      <c r="OS178" s="43" t="str">
        <f t="shared" si="521"/>
        <v/>
      </c>
      <c r="OT178" s="43" t="str">
        <f t="shared" si="522"/>
        <v/>
      </c>
      <c r="OU178" s="43" t="str">
        <f t="shared" si="523"/>
        <v/>
      </c>
      <c r="OV178" s="110" t="str">
        <f t="shared" si="524"/>
        <v/>
      </c>
      <c r="OW178" s="43" t="str">
        <f t="shared" si="525"/>
        <v/>
      </c>
      <c r="OX178" s="43" t="str">
        <f t="shared" si="526"/>
        <v/>
      </c>
      <c r="OY178" s="43" t="str">
        <f t="shared" si="527"/>
        <v/>
      </c>
      <c r="OZ178" s="43" t="str">
        <f t="shared" si="528"/>
        <v/>
      </c>
      <c r="PA178" s="43" t="str">
        <f t="shared" si="529"/>
        <v/>
      </c>
      <c r="PB178" s="43" t="str">
        <f t="shared" si="530"/>
        <v/>
      </c>
      <c r="PC178" s="43" t="str">
        <f t="shared" si="531"/>
        <v/>
      </c>
      <c r="PD178" s="43" t="str">
        <f t="shared" si="532"/>
        <v/>
      </c>
      <c r="PE178" s="43" t="str">
        <f t="shared" si="533"/>
        <v/>
      </c>
      <c r="PF178" s="43" t="str">
        <f t="shared" si="534"/>
        <v/>
      </c>
      <c r="PG178" s="43" t="str">
        <f t="shared" si="535"/>
        <v/>
      </c>
      <c r="PH178" s="43" t="str">
        <f t="shared" si="536"/>
        <v/>
      </c>
      <c r="PI178" s="43" t="str">
        <f t="shared" si="537"/>
        <v>Menor</v>
      </c>
      <c r="PJ178" s="43" t="str">
        <f t="shared" si="538"/>
        <v>OBESIDAD</v>
      </c>
      <c r="PK178" s="43" t="str">
        <f t="shared" si="539"/>
        <v/>
      </c>
      <c r="PL178" s="43" t="str">
        <f t="shared" si="540"/>
        <v/>
      </c>
      <c r="PM178" s="43" t="str">
        <f t="shared" si="541"/>
        <v/>
      </c>
      <c r="PN178" s="43" t="str">
        <f t="shared" si="542"/>
        <v/>
      </c>
      <c r="PO178" s="43" t="str">
        <f t="shared" si="543"/>
        <v/>
      </c>
      <c r="PP178" s="43" t="str">
        <f t="shared" si="544"/>
        <v/>
      </c>
      <c r="PQ178" s="43" t="str">
        <f t="shared" si="545"/>
        <v/>
      </c>
      <c r="PR178" s="43" t="str">
        <f t="shared" si="546"/>
        <v/>
      </c>
      <c r="PS178" s="43" t="str">
        <f t="shared" si="547"/>
        <v/>
      </c>
      <c r="PT178" s="43" t="str">
        <f t="shared" si="548"/>
        <v/>
      </c>
      <c r="PU178" s="43" t="str">
        <f t="shared" si="549"/>
        <v/>
      </c>
      <c r="PV178" s="43" t="str">
        <f t="shared" si="550"/>
        <v/>
      </c>
      <c r="PW178" s="43" t="str">
        <f t="shared" si="551"/>
        <v/>
      </c>
      <c r="PX178" s="43" t="str">
        <f t="shared" si="552"/>
        <v/>
      </c>
      <c r="PY178" s="43" t="str">
        <f t="shared" si="553"/>
        <v/>
      </c>
      <c r="PZ178" s="43" t="str">
        <f t="shared" si="554"/>
        <v/>
      </c>
      <c r="QA178" s="43" t="str">
        <f t="shared" si="555"/>
        <v/>
      </c>
      <c r="QB178" s="43" t="str">
        <f t="shared" si="556"/>
        <v/>
      </c>
      <c r="QC178" s="43" t="str">
        <f t="shared" si="557"/>
        <v/>
      </c>
      <c r="QD178" s="43" t="str">
        <f t="shared" si="558"/>
        <v/>
      </c>
      <c r="QE178" s="43" t="str">
        <f t="shared" si="559"/>
        <v/>
      </c>
      <c r="QF178" s="43" t="str">
        <f t="shared" si="560"/>
        <v/>
      </c>
      <c r="QG178" s="43" t="str">
        <f t="shared" si="561"/>
        <v/>
      </c>
      <c r="QH178" s="43" t="str">
        <f t="shared" si="562"/>
        <v/>
      </c>
      <c r="QI178" s="43" t="str">
        <f t="shared" si="563"/>
        <v/>
      </c>
      <c r="QJ178" s="43" t="str">
        <f t="shared" si="564"/>
        <v/>
      </c>
      <c r="QK178" s="43" t="str">
        <f t="shared" si="565"/>
        <v/>
      </c>
      <c r="QL178" s="43" t="str">
        <f t="shared" si="566"/>
        <v/>
      </c>
      <c r="QM178" s="43" t="str">
        <f t="shared" si="567"/>
        <v/>
      </c>
      <c r="QN178" s="43" t="str">
        <f t="shared" si="568"/>
        <v/>
      </c>
      <c r="QO178" s="43" t="str">
        <f t="shared" si="569"/>
        <v/>
      </c>
      <c r="QP178" s="43" t="str">
        <f t="shared" si="570"/>
        <v/>
      </c>
      <c r="QQ178" s="43" t="str">
        <f t="shared" si="571"/>
        <v/>
      </c>
      <c r="QR178" s="43" t="str">
        <f t="shared" si="672"/>
        <v>Menor</v>
      </c>
      <c r="QS178" s="43"/>
      <c r="QT178" s="21" t="str">
        <f t="shared" si="572"/>
        <v/>
      </c>
      <c r="QU178" s="21" t="str">
        <f t="shared" si="573"/>
        <v/>
      </c>
      <c r="QV178" s="21" t="str">
        <f t="shared" si="574"/>
        <v/>
      </c>
      <c r="QW178" s="21" t="str">
        <f t="shared" si="575"/>
        <v/>
      </c>
      <c r="QX178" s="21" t="str">
        <f t="shared" si="576"/>
        <v/>
      </c>
      <c r="QY178" s="21" t="str">
        <f t="shared" si="577"/>
        <v/>
      </c>
      <c r="QZ178" s="21" t="str">
        <f t="shared" si="578"/>
        <v/>
      </c>
      <c r="RA178" s="21" t="str">
        <f t="shared" si="579"/>
        <v/>
      </c>
      <c r="RB178" s="21" t="str">
        <f t="shared" si="580"/>
        <v/>
      </c>
      <c r="RC178" s="21" t="str">
        <f t="shared" si="581"/>
        <v/>
      </c>
      <c r="RD178" s="21" t="str">
        <f t="shared" si="582"/>
        <v/>
      </c>
      <c r="RE178" s="21" t="str">
        <f t="shared" si="583"/>
        <v/>
      </c>
      <c r="RF178" s="21" t="str">
        <f t="shared" si="584"/>
        <v/>
      </c>
      <c r="RG178" s="21" t="str">
        <f t="shared" si="585"/>
        <v/>
      </c>
      <c r="RH178" s="21" t="str">
        <f t="shared" si="586"/>
        <v/>
      </c>
      <c r="RI178" s="21" t="str">
        <f t="shared" si="587"/>
        <v/>
      </c>
      <c r="RJ178" s="21" t="str">
        <f t="shared" si="588"/>
        <v/>
      </c>
      <c r="RK178" s="21" t="str">
        <f t="shared" si="589"/>
        <v/>
      </c>
      <c r="RL178" s="21" t="str">
        <f t="shared" si="590"/>
        <v/>
      </c>
      <c r="RM178" s="21" t="str">
        <f t="shared" si="591"/>
        <v/>
      </c>
      <c r="RN178" s="21" t="str">
        <f t="shared" si="592"/>
        <v/>
      </c>
      <c r="RO178" s="21" t="str">
        <f t="shared" si="593"/>
        <v/>
      </c>
      <c r="RP178" s="21" t="str">
        <f t="shared" si="594"/>
        <v/>
      </c>
      <c r="RQ178" s="21" t="str">
        <f t="shared" si="595"/>
        <v/>
      </c>
      <c r="RR178" s="21" t="str">
        <f t="shared" si="596"/>
        <v/>
      </c>
      <c r="RS178" s="21" t="str">
        <f t="shared" si="597"/>
        <v/>
      </c>
      <c r="RT178" s="21" t="str">
        <f t="shared" si="598"/>
        <v/>
      </c>
      <c r="RU178" s="21" t="str">
        <f t="shared" si="599"/>
        <v/>
      </c>
      <c r="RV178" s="21">
        <f t="shared" si="600"/>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3"/>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1"/>
        <v>19.758904109589039</v>
      </c>
      <c r="O179" s="22">
        <v>45083</v>
      </c>
      <c r="P179" s="214" t="str">
        <f t="shared" si="675"/>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2"/>
        <v>0</v>
      </c>
      <c r="BR179" s="223">
        <f t="shared" si="603"/>
        <v>45051</v>
      </c>
      <c r="BS179" s="224">
        <f t="shared" si="604"/>
        <v>4.1428571428571432</v>
      </c>
      <c r="BT179" s="216" t="str">
        <f t="shared" si="605"/>
        <v>I TRIM</v>
      </c>
      <c r="BU179" s="214">
        <f t="shared" ca="1" si="606"/>
        <v>25.428571428571427</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7"/>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8"/>
        <v>45147</v>
      </c>
      <c r="CL179" s="21">
        <v>67.5</v>
      </c>
      <c r="CM179" s="214">
        <f t="shared" si="609"/>
        <v>26.367187499999996</v>
      </c>
      <c r="CN179" s="216">
        <f t="shared" si="610"/>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9"/>
        <v/>
      </c>
      <c r="DA179" s="21">
        <v>90</v>
      </c>
      <c r="DB179" s="21">
        <v>60</v>
      </c>
      <c r="DC179" s="217" t="str">
        <f t="shared" si="611"/>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6"/>
        <v>EN ESPERA</v>
      </c>
      <c r="DV179" s="226" t="str">
        <f t="shared" si="677"/>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2"/>
        <v>#REF!</v>
      </c>
      <c r="DY179" s="212">
        <f>IF(R179="","",IF(R179&gt;0,MAX(Tabla1[[#This Row],[FECHA C2]:[FECHA C13]],Tabla1[[#This Row],[FECHA CONSULTA PRIMERA VEZ PROGRAMA CPN ]])))</f>
        <v>45147</v>
      </c>
      <c r="DZ179" s="216">
        <f t="shared" si="613"/>
        <v>13</v>
      </c>
      <c r="EA179" s="222">
        <f>IF(R179&gt;0,SUM(COUNTA(DF179:DQ179)+COUNTA(Tabla1[[#This Row],[FECHA CONSULTA PRIMERA VEZ PROGRAMA CPN ]])),"")</f>
        <v>3</v>
      </c>
      <c r="EB179" s="222" t="str">
        <f t="shared" si="614"/>
        <v>NO</v>
      </c>
      <c r="EC179" s="214">
        <f t="shared" si="615"/>
        <v>10</v>
      </c>
      <c r="ED179" s="227">
        <f t="shared" si="616"/>
        <v>0.3</v>
      </c>
      <c r="EE179" s="22">
        <v>45083</v>
      </c>
      <c r="EF179" s="22">
        <v>45083</v>
      </c>
      <c r="EG179" s="22">
        <v>45083</v>
      </c>
      <c r="EH179" s="22">
        <v>45106</v>
      </c>
      <c r="EI179" s="22">
        <v>45083</v>
      </c>
      <c r="EJ179" s="22">
        <v>45106</v>
      </c>
      <c r="EK179" s="22">
        <v>45106</v>
      </c>
      <c r="EL179" s="21">
        <v>1</v>
      </c>
      <c r="EM179" s="21">
        <v>13.5</v>
      </c>
      <c r="EN179" s="22">
        <v>45111</v>
      </c>
      <c r="EO179" s="222">
        <f t="shared" si="617"/>
        <v>8.1428571428571423</v>
      </c>
      <c r="EP179" s="214" t="str">
        <f t="shared" si="618"/>
        <v>NORMAL- SUMINISTRAR SULFATO FERROSO</v>
      </c>
      <c r="EQ179" s="216" t="str">
        <f t="shared" si="619"/>
        <v>I TRIM</v>
      </c>
      <c r="ER179" s="24"/>
      <c r="ES179" s="22"/>
      <c r="ET179" s="29" t="str">
        <f t="shared" ca="1" si="678"/>
        <v>PROGRAMAR TOMA HEMOGLOBINA A SEM 28</v>
      </c>
      <c r="EU179" s="25" t="str">
        <f t="shared" si="620"/>
        <v/>
      </c>
      <c r="EV179" s="24" t="s">
        <v>1510</v>
      </c>
      <c r="EW179" s="32">
        <v>45105</v>
      </c>
      <c r="EX179" s="22"/>
      <c r="EY179" s="29">
        <f t="shared" si="693"/>
        <v>7.2857142857142856</v>
      </c>
      <c r="EZ179" s="25" t="str">
        <f t="shared" si="694"/>
        <v>SIN RIESGO DE ISOINMUNIZACIÓN</v>
      </c>
      <c r="FA179" s="21">
        <v>66</v>
      </c>
      <c r="FB179" s="22">
        <v>45111</v>
      </c>
      <c r="FC179" s="29">
        <f t="shared" si="621"/>
        <v>8.1428571428571423</v>
      </c>
      <c r="FD179" s="29"/>
      <c r="FE179" s="29"/>
      <c r="FF179" s="29"/>
      <c r="FG179" s="21" t="str">
        <f t="shared" ca="1" si="622"/>
        <v>TOMAR PTOG</v>
      </c>
      <c r="FH179" s="31"/>
      <c r="FI179" s="29" t="str">
        <f t="shared" si="623"/>
        <v>TOMAR EXAMEN</v>
      </c>
      <c r="FJ179" s="22" t="s">
        <v>867</v>
      </c>
      <c r="FK179" s="22">
        <v>45111</v>
      </c>
      <c r="FL179" s="29">
        <f t="shared" ca="1" si="624"/>
        <v>8.1428571428571423</v>
      </c>
      <c r="FM179" s="22"/>
      <c r="FN179" s="32"/>
      <c r="FO179" s="29" t="str">
        <f t="shared" ca="1" si="679"/>
        <v>TOMA INMEDIATA DE TAMIZAJE</v>
      </c>
      <c r="FP179" s="22"/>
      <c r="FQ179" s="32"/>
      <c r="FR179" s="29" t="str">
        <f t="shared" ca="1" si="680"/>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5"/>
        <v>TOMAR EXAMEN</v>
      </c>
      <c r="FY179" s="22" t="s">
        <v>868</v>
      </c>
      <c r="FZ179" s="22">
        <v>45111</v>
      </c>
      <c r="GA179" s="29">
        <f t="shared" ca="1" si="692"/>
        <v>8.1428571428571423</v>
      </c>
      <c r="GB179" s="22"/>
      <c r="GC179" s="22"/>
      <c r="GD179" s="29" t="str">
        <f t="shared" ca="1" si="732"/>
        <v>TOMA INMEDIATA DE TAMIZAJE</v>
      </c>
      <c r="GE179" s="22"/>
      <c r="GF179" s="22"/>
      <c r="GG179" s="29" t="str">
        <f t="shared" ca="1" si="682"/>
        <v>EN ESPERA-ESTÁ I TRIM O II TRIM</v>
      </c>
      <c r="GH179" s="22"/>
      <c r="GI179" s="29"/>
      <c r="GJ179" s="22"/>
      <c r="GK179" s="22"/>
      <c r="GL179" s="22"/>
      <c r="GM179" s="22"/>
      <c r="GN179" s="28" t="s">
        <v>869</v>
      </c>
      <c r="GO179" s="22">
        <v>45111</v>
      </c>
      <c r="GP179" s="29">
        <f t="shared" si="626"/>
        <v>8.1428571428571423</v>
      </c>
      <c r="GQ179" s="28"/>
      <c r="GR179" s="28" t="s">
        <v>869</v>
      </c>
      <c r="GS179" s="22" t="str">
        <f t="shared" si="728"/>
        <v/>
      </c>
      <c r="GT179" s="22">
        <v>45111</v>
      </c>
      <c r="GU179" s="29">
        <f t="shared" si="628"/>
        <v>8.1428571428571423</v>
      </c>
      <c r="GV179" s="21" t="str">
        <f t="shared" si="629"/>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30"/>
        <v>#REF!</v>
      </c>
      <c r="HI179" s="22" t="e">
        <f t="shared" ca="1" si="631"/>
        <v>#REF!</v>
      </c>
      <c r="HJ179" s="21" t="str">
        <f t="shared" ca="1" si="632"/>
        <v>**********************MULTIPARIDAD*****************</v>
      </c>
      <c r="HK179" s="21" t="str">
        <f t="shared" si="633"/>
        <v>SIN ANTECEDENTES DE RIESGO</v>
      </c>
      <c r="HL179" s="24" t="str">
        <f t="shared" si="634"/>
        <v>APARENTEMENTE NORMAL</v>
      </c>
      <c r="HM179" s="21" t="e">
        <f t="shared" ca="1" si="635"/>
        <v>#REF!</v>
      </c>
      <c r="HN179" s="30" t="str">
        <f t="shared" si="683"/>
        <v>ACTIVA INGRESO A CPN</v>
      </c>
      <c r="HO179" s="21"/>
      <c r="HP179" s="21"/>
      <c r="HQ179" s="349"/>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6"/>
        <v>PENDIENTE CONSULTA</v>
      </c>
      <c r="IA179" s="26"/>
      <c r="IB179" s="26"/>
      <c r="IC179" s="111"/>
      <c r="ID179" s="22"/>
      <c r="IE179" s="22" t="str">
        <f t="shared" ca="1" si="637"/>
        <v>PROGRAMAR APLICACION DE VACUNA</v>
      </c>
      <c r="IF179" s="22"/>
      <c r="IG179" s="22">
        <f t="shared" si="638"/>
        <v>45334</v>
      </c>
      <c r="IH179" s="29">
        <f t="shared" ca="1" si="639"/>
        <v>102</v>
      </c>
      <c r="II179" s="22" t="str">
        <f t="shared" ca="1" si="640"/>
        <v>PENDIENTE</v>
      </c>
      <c r="IJ179" s="22"/>
      <c r="IK179" s="21"/>
      <c r="IL179" s="21"/>
      <c r="IM179" s="34"/>
      <c r="IN179" s="22"/>
      <c r="IO179" s="21"/>
      <c r="IP179" s="29" t="str">
        <f t="shared" si="730"/>
        <v/>
      </c>
      <c r="IQ179" s="35"/>
      <c r="IR179" s="21"/>
      <c r="IS179" s="21"/>
      <c r="IT179" s="21"/>
      <c r="IU179" s="21"/>
      <c r="IV179" s="21"/>
      <c r="IW179" s="21"/>
      <c r="IX179" s="21"/>
      <c r="IY179" s="21"/>
      <c r="IZ179" s="21"/>
      <c r="JA179" s="21"/>
      <c r="JB179" s="30"/>
      <c r="JC179" s="21"/>
      <c r="JD179" s="36"/>
      <c r="JE179" s="21" t="str">
        <f t="shared" si="733"/>
        <v/>
      </c>
      <c r="JF179" s="30"/>
      <c r="JG179" s="21"/>
      <c r="JH179" s="21"/>
      <c r="JI179" s="21"/>
      <c r="JJ179" s="30"/>
      <c r="JK179" s="22"/>
      <c r="JL179" s="22"/>
      <c r="JM179" s="21"/>
      <c r="JN179" s="36"/>
      <c r="JO179" s="21" t="str">
        <f t="shared" si="734"/>
        <v/>
      </c>
      <c r="JP179" s="22"/>
      <c r="JQ179" s="21"/>
      <c r="JR179" s="21"/>
      <c r="JS179" s="21"/>
      <c r="JT179" s="30"/>
      <c r="JU179" s="22"/>
      <c r="JV179" s="22"/>
      <c r="JW179" s="33"/>
      <c r="JX179" s="28" t="str">
        <f t="shared" si="735"/>
        <v/>
      </c>
      <c r="JY179" s="33"/>
      <c r="JZ179" s="28" t="str">
        <f t="shared" si="736"/>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7"/>
        <v>0</v>
      </c>
      <c r="MI179" s="43" t="str">
        <f t="shared" si="698"/>
        <v/>
      </c>
      <c r="MJ179" s="43" t="str">
        <f t="shared" si="699"/>
        <v/>
      </c>
      <c r="MK179" s="43">
        <f t="shared" si="700"/>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701"/>
        <v>4.1428571428571432</v>
      </c>
      <c r="MN179" s="43">
        <f t="shared" si="702"/>
        <v>6</v>
      </c>
      <c r="MO179" s="43">
        <f t="shared" si="703"/>
        <v>2023</v>
      </c>
      <c r="MP179" s="43" t="str">
        <f t="shared" si="704"/>
        <v>II TRIMESTRE AÑO</v>
      </c>
      <c r="MQ179" s="43">
        <f t="shared" si="705"/>
        <v>19.062089356110381</v>
      </c>
      <c r="MR179" s="43">
        <f t="shared" si="706"/>
        <v>0</v>
      </c>
      <c r="MS179" s="43" t="str">
        <f t="shared" si="707"/>
        <v>DE 14 A 19AÑOS</v>
      </c>
      <c r="MT179" s="43">
        <f t="shared" si="708"/>
        <v>0</v>
      </c>
      <c r="MU179" s="43">
        <f t="shared" si="709"/>
        <v>1</v>
      </c>
      <c r="MV179" s="43">
        <f t="shared" si="710"/>
        <v>0</v>
      </c>
      <c r="MW179" s="43">
        <f t="shared" si="711"/>
        <v>0</v>
      </c>
      <c r="MX179" s="43" t="str">
        <f t="shared" si="712"/>
        <v/>
      </c>
      <c r="MY179" s="43" t="str">
        <f t="shared" ca="1" si="737"/>
        <v/>
      </c>
      <c r="MZ179" s="43" t="str">
        <f t="shared" si="713"/>
        <v/>
      </c>
      <c r="NA179" s="43" t="str">
        <f t="shared" si="714"/>
        <v/>
      </c>
      <c r="NB179" s="43" t="str">
        <f t="shared" si="715"/>
        <v/>
      </c>
      <c r="NC179" s="43" t="str">
        <f t="shared" si="716"/>
        <v/>
      </c>
      <c r="ND179" s="43">
        <f t="shared" ca="1" si="717"/>
        <v>1</v>
      </c>
      <c r="NE179" s="43">
        <f>IF(OR(O179&gt;0,R179&gt;0),SUM(COUNTIF(Tabla1[[#This Row],[AÑOS AL INICIO5 CPN]],"&gt;=40"),COUNTIF(AS179,"0"),COUNTIF(AR179,"SI"),COUNTIF(CC179,"SI"),COUNTIF(BQ179,"&gt;119"),COUNTIF(CI179,"&gt;=35")),"")</f>
        <v>1</v>
      </c>
      <c r="NF179" s="43" t="str">
        <f t="shared" si="718"/>
        <v/>
      </c>
      <c r="NG179" s="43">
        <f t="shared" si="719"/>
        <v>0</v>
      </c>
      <c r="NH179" s="43">
        <f t="shared" si="720"/>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21"/>
        <v>23</v>
      </c>
      <c r="NM179" s="43" t="str">
        <f t="shared" si="695"/>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2"/>
        <v>I TRIM</v>
      </c>
      <c r="NQ179" s="21" t="str">
        <f t="shared" si="731"/>
        <v/>
      </c>
      <c r="NR179" s="21">
        <f t="shared" ca="1" si="738"/>
        <v>2</v>
      </c>
      <c r="NS179" s="205">
        <f t="shared" ca="1" si="723"/>
        <v>1</v>
      </c>
      <c r="NT179" s="21">
        <f t="shared" ca="1" si="724"/>
        <v>1</v>
      </c>
      <c r="NU179" s="21" t="str">
        <f t="shared" ca="1" si="725"/>
        <v>INCOMPLETO</v>
      </c>
      <c r="NV179" s="21" t="str">
        <f t="shared" ca="1" si="726"/>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7"/>
        <v>SIN VACUNAR</v>
      </c>
      <c r="NY179" s="43">
        <f>ROW(Tabla1[[#This Row],['# DE TAMIZAJES SIFILIS TOMADOS ]])</f>
        <v>179</v>
      </c>
      <c r="NZ179" s="43" t="str">
        <f t="shared" si="502"/>
        <v>Menor</v>
      </c>
      <c r="OA179" s="43" t="str">
        <f t="shared" si="503"/>
        <v>SOBREPESO</v>
      </c>
      <c r="OB179" s="43" t="str">
        <f t="shared" si="504"/>
        <v/>
      </c>
      <c r="OC179" s="43" t="str">
        <f t="shared" si="505"/>
        <v/>
      </c>
      <c r="OD179" s="43" t="str">
        <f t="shared" si="506"/>
        <v/>
      </c>
      <c r="OE179" s="43" t="str">
        <f t="shared" si="507"/>
        <v/>
      </c>
      <c r="OF179" s="43" t="str">
        <f t="shared" si="508"/>
        <v/>
      </c>
      <c r="OG179" s="43" t="str">
        <f t="shared" si="509"/>
        <v/>
      </c>
      <c r="OH179" s="43" t="str">
        <f t="shared" si="510"/>
        <v/>
      </c>
      <c r="OI179" s="43" t="str">
        <f t="shared" si="511"/>
        <v/>
      </c>
      <c r="OJ179" s="43" t="str">
        <f t="shared" si="512"/>
        <v/>
      </c>
      <c r="OK179" s="43" t="str">
        <f t="shared" si="513"/>
        <v/>
      </c>
      <c r="OL179" s="43" t="str">
        <f t="shared" si="514"/>
        <v/>
      </c>
      <c r="OM179" s="43" t="str">
        <f t="shared" si="515"/>
        <v/>
      </c>
      <c r="ON179" s="43" t="str">
        <f t="shared" si="516"/>
        <v/>
      </c>
      <c r="OO179" s="43" t="str">
        <f t="shared" si="517"/>
        <v/>
      </c>
      <c r="OP179" s="43" t="str">
        <f t="shared" si="518"/>
        <v/>
      </c>
      <c r="OQ179" s="43" t="str">
        <f t="shared" si="519"/>
        <v/>
      </c>
      <c r="OR179" s="43" t="str">
        <f t="shared" si="520"/>
        <v/>
      </c>
      <c r="OS179" s="43" t="str">
        <f t="shared" si="521"/>
        <v/>
      </c>
      <c r="OT179" s="43" t="str">
        <f t="shared" si="522"/>
        <v/>
      </c>
      <c r="OU179" s="43" t="str">
        <f t="shared" si="523"/>
        <v/>
      </c>
      <c r="OV179" s="110" t="str">
        <f t="shared" si="524"/>
        <v/>
      </c>
      <c r="OW179" s="43" t="str">
        <f t="shared" si="525"/>
        <v/>
      </c>
      <c r="OX179" s="43" t="str">
        <f t="shared" si="526"/>
        <v/>
      </c>
      <c r="OY179" s="43" t="str">
        <f t="shared" si="527"/>
        <v/>
      </c>
      <c r="OZ179" s="43" t="str">
        <f t="shared" si="528"/>
        <v/>
      </c>
      <c r="PA179" s="43" t="str">
        <f t="shared" si="529"/>
        <v/>
      </c>
      <c r="PB179" s="43" t="str">
        <f t="shared" si="530"/>
        <v/>
      </c>
      <c r="PC179" s="43" t="str">
        <f t="shared" si="531"/>
        <v/>
      </c>
      <c r="PD179" s="43" t="str">
        <f t="shared" si="532"/>
        <v/>
      </c>
      <c r="PE179" s="43" t="str">
        <f t="shared" si="533"/>
        <v/>
      </c>
      <c r="PF179" s="43" t="str">
        <f t="shared" si="534"/>
        <v/>
      </c>
      <c r="PG179" s="43" t="str">
        <f t="shared" si="535"/>
        <v/>
      </c>
      <c r="PH179" s="43" t="str">
        <f t="shared" si="536"/>
        <v/>
      </c>
      <c r="PI179" s="43">
        <f t="shared" si="537"/>
        <v>13</v>
      </c>
      <c r="PJ179" s="43" t="str">
        <f t="shared" si="538"/>
        <v/>
      </c>
      <c r="PK179" s="43" t="str">
        <f t="shared" si="539"/>
        <v/>
      </c>
      <c r="PL179" s="43" t="str">
        <f t="shared" si="540"/>
        <v/>
      </c>
      <c r="PM179" s="43" t="str">
        <f t="shared" si="541"/>
        <v/>
      </c>
      <c r="PN179" s="43" t="str">
        <f t="shared" si="542"/>
        <v>SOBREPESO</v>
      </c>
      <c r="PO179" s="43" t="str">
        <f t="shared" si="543"/>
        <v/>
      </c>
      <c r="PP179" s="43" t="str">
        <f t="shared" si="544"/>
        <v/>
      </c>
      <c r="PQ179" s="43" t="str">
        <f t="shared" si="545"/>
        <v/>
      </c>
      <c r="PR179" s="43" t="str">
        <f t="shared" si="546"/>
        <v/>
      </c>
      <c r="PS179" s="43" t="str">
        <f t="shared" si="547"/>
        <v/>
      </c>
      <c r="PT179" s="43" t="str">
        <f t="shared" si="548"/>
        <v/>
      </c>
      <c r="PU179" s="43" t="str">
        <f t="shared" si="549"/>
        <v/>
      </c>
      <c r="PV179" s="43" t="str">
        <f t="shared" si="550"/>
        <v/>
      </c>
      <c r="PW179" s="43" t="str">
        <f t="shared" si="551"/>
        <v/>
      </c>
      <c r="PX179" s="43" t="str">
        <f t="shared" si="552"/>
        <v/>
      </c>
      <c r="PY179" s="43" t="str">
        <f t="shared" si="553"/>
        <v/>
      </c>
      <c r="PZ179" s="43" t="str">
        <f t="shared" si="554"/>
        <v/>
      </c>
      <c r="QA179" s="43" t="str">
        <f t="shared" si="555"/>
        <v/>
      </c>
      <c r="QB179" s="43" t="str">
        <f t="shared" si="556"/>
        <v/>
      </c>
      <c r="QC179" s="43" t="str">
        <f t="shared" si="557"/>
        <v/>
      </c>
      <c r="QD179" s="43" t="str">
        <f t="shared" si="558"/>
        <v/>
      </c>
      <c r="QE179" s="43" t="str">
        <f t="shared" si="559"/>
        <v/>
      </c>
      <c r="QF179" s="43" t="str">
        <f t="shared" si="560"/>
        <v/>
      </c>
      <c r="QG179" s="43" t="str">
        <f t="shared" si="561"/>
        <v/>
      </c>
      <c r="QH179" s="43" t="str">
        <f t="shared" si="562"/>
        <v/>
      </c>
      <c r="QI179" s="43" t="str">
        <f t="shared" si="563"/>
        <v/>
      </c>
      <c r="QJ179" s="43" t="str">
        <f t="shared" si="564"/>
        <v/>
      </c>
      <c r="QK179" s="43" t="str">
        <f t="shared" si="565"/>
        <v/>
      </c>
      <c r="QL179" s="43" t="str">
        <f t="shared" si="566"/>
        <v/>
      </c>
      <c r="QM179" s="43" t="str">
        <f t="shared" si="567"/>
        <v/>
      </c>
      <c r="QN179" s="43" t="str">
        <f t="shared" si="568"/>
        <v/>
      </c>
      <c r="QO179" s="43" t="str">
        <f t="shared" si="569"/>
        <v/>
      </c>
      <c r="QP179" s="43" t="str">
        <f t="shared" si="570"/>
        <v/>
      </c>
      <c r="QQ179" s="43" t="str">
        <f t="shared" si="571"/>
        <v/>
      </c>
      <c r="QR179" s="43">
        <f t="shared" si="672"/>
        <v>13</v>
      </c>
      <c r="QS179" s="43"/>
      <c r="QT179" s="21" t="str">
        <f t="shared" si="572"/>
        <v/>
      </c>
      <c r="QU179" s="21" t="str">
        <f t="shared" si="573"/>
        <v/>
      </c>
      <c r="QV179" s="21" t="str">
        <f t="shared" si="574"/>
        <v/>
      </c>
      <c r="QW179" s="21" t="str">
        <f t="shared" si="575"/>
        <v/>
      </c>
      <c r="QX179" s="21" t="str">
        <f t="shared" si="576"/>
        <v/>
      </c>
      <c r="QY179" s="21" t="str">
        <f t="shared" si="577"/>
        <v/>
      </c>
      <c r="QZ179" s="21" t="str">
        <f t="shared" si="578"/>
        <v/>
      </c>
      <c r="RA179" s="21" t="str">
        <f t="shared" si="579"/>
        <v/>
      </c>
      <c r="RB179" s="21" t="str">
        <f t="shared" si="580"/>
        <v/>
      </c>
      <c r="RC179" s="21" t="str">
        <f t="shared" si="581"/>
        <v/>
      </c>
      <c r="RD179" s="21" t="str">
        <f t="shared" si="582"/>
        <v/>
      </c>
      <c r="RE179" s="21" t="str">
        <f t="shared" si="583"/>
        <v/>
      </c>
      <c r="RF179" s="21" t="str">
        <f t="shared" si="584"/>
        <v/>
      </c>
      <c r="RG179" s="21" t="str">
        <f t="shared" si="585"/>
        <v/>
      </c>
      <c r="RH179" s="21" t="str">
        <f t="shared" si="586"/>
        <v/>
      </c>
      <c r="RI179" s="21" t="str">
        <f t="shared" si="587"/>
        <v/>
      </c>
      <c r="RJ179" s="21" t="str">
        <f t="shared" si="588"/>
        <v/>
      </c>
      <c r="RK179" s="21" t="str">
        <f t="shared" si="589"/>
        <v/>
      </c>
      <c r="RL179" s="21" t="str">
        <f t="shared" si="590"/>
        <v/>
      </c>
      <c r="RM179" s="21" t="str">
        <f t="shared" si="591"/>
        <v/>
      </c>
      <c r="RN179" s="21" t="str">
        <f t="shared" si="592"/>
        <v/>
      </c>
      <c r="RO179" s="21" t="str">
        <f t="shared" si="593"/>
        <v/>
      </c>
      <c r="RP179" s="21" t="str">
        <f t="shared" si="594"/>
        <v/>
      </c>
      <c r="RQ179" s="21" t="str">
        <f t="shared" si="595"/>
        <v/>
      </c>
      <c r="RR179" s="21" t="str">
        <f t="shared" si="596"/>
        <v/>
      </c>
      <c r="RS179" s="21" t="str">
        <f t="shared" si="597"/>
        <v/>
      </c>
      <c r="RT179" s="21" t="str">
        <f t="shared" si="598"/>
        <v/>
      </c>
      <c r="RU179" s="21" t="str">
        <f t="shared" si="599"/>
        <v/>
      </c>
      <c r="RV179" s="21">
        <f t="shared" si="600"/>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3"/>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1"/>
        <v>20.515068493150686</v>
      </c>
      <c r="O180" s="22">
        <v>45084</v>
      </c>
      <c r="P180" s="214" t="str">
        <f t="shared" si="675"/>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2"/>
        <v>0</v>
      </c>
      <c r="BR180" s="223">
        <f t="shared" si="603"/>
        <v>45021.599999999999</v>
      </c>
      <c r="BS180" s="224">
        <f t="shared" si="604"/>
        <v>8.4285714285714288</v>
      </c>
      <c r="BT180" s="216" t="str">
        <f t="shared" si="605"/>
        <v>DEFINIR CON ECO</v>
      </c>
      <c r="BU180" s="214">
        <f t="shared" ca="1" si="606"/>
        <v>29.571428571428573</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7"/>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8"/>
        <v>45147</v>
      </c>
      <c r="CL180" s="21">
        <v>43</v>
      </c>
      <c r="CM180" s="214">
        <f t="shared" si="609"/>
        <v>21.027923125825225</v>
      </c>
      <c r="CN180" s="216">
        <f t="shared" si="610"/>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9"/>
        <v/>
      </c>
      <c r="DA180" s="21">
        <v>90</v>
      </c>
      <c r="DB180" s="21">
        <v>60</v>
      </c>
      <c r="DC180" s="217" t="str">
        <f t="shared" si="611"/>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6"/>
        <v>PLANEAR PLAN DE PARTO</v>
      </c>
      <c r="DV180" s="226" t="str">
        <f t="shared" si="677"/>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2"/>
        <v>#REF!</v>
      </c>
      <c r="DY180" s="212">
        <f>IF(R180="","",IF(R180&gt;0,MAX(Tabla1[[#This Row],[FECHA C2]:[FECHA C13]],Tabla1[[#This Row],[FECHA CONSULTA PRIMERA VEZ PROGRAMA CPN ]])))</f>
        <v>45147</v>
      </c>
      <c r="DZ180" s="216">
        <f t="shared" si="613"/>
        <v>17</v>
      </c>
      <c r="EA180" s="222">
        <f>IF(R180&gt;0,SUM(COUNTA(DF180:DQ180)+COUNTA(Tabla1[[#This Row],[FECHA CONSULTA PRIMERA VEZ PROGRAMA CPN ]])),"")</f>
        <v>3</v>
      </c>
      <c r="EB180" s="222" t="str">
        <f t="shared" si="614"/>
        <v>NO</v>
      </c>
      <c r="EC180" s="214">
        <f t="shared" si="615"/>
        <v>9</v>
      </c>
      <c r="ED180" s="227">
        <f t="shared" si="616"/>
        <v>0.33333333333333331</v>
      </c>
      <c r="EE180" s="22">
        <v>45084</v>
      </c>
      <c r="EF180" s="22">
        <v>45084</v>
      </c>
      <c r="EG180" s="22">
        <v>45084</v>
      </c>
      <c r="EH180" s="22"/>
      <c r="EI180" s="22">
        <v>45084</v>
      </c>
      <c r="EJ180" s="22"/>
      <c r="EK180" s="22"/>
      <c r="EL180" s="21"/>
      <c r="EM180" s="21">
        <v>13.4</v>
      </c>
      <c r="EN180" s="22">
        <v>45087</v>
      </c>
      <c r="EO180" s="222">
        <f t="shared" si="617"/>
        <v>8.8571428571428577</v>
      </c>
      <c r="EP180" s="214" t="str">
        <f t="shared" si="618"/>
        <v>NORMAL- SUMINISTRAR SULFATO FERROSO</v>
      </c>
      <c r="EQ180" s="216" t="str">
        <f t="shared" si="619"/>
        <v>I TRIM</v>
      </c>
      <c r="ER180" s="24"/>
      <c r="ES180" s="22"/>
      <c r="ET180" s="29" t="str">
        <f t="shared" ca="1" si="678"/>
        <v>EN SEMANA 28 TOMA INMEDIATA DE EXAMEN</v>
      </c>
      <c r="EU180" s="25" t="str">
        <f t="shared" si="620"/>
        <v/>
      </c>
      <c r="EV180" s="24" t="s">
        <v>1510</v>
      </c>
      <c r="EW180" s="24">
        <v>45087</v>
      </c>
      <c r="EX180" s="22"/>
      <c r="EY180" s="29">
        <f t="shared" si="693"/>
        <v>8.8571428571428577</v>
      </c>
      <c r="EZ180" s="25" t="str">
        <f t="shared" si="694"/>
        <v>SIN RIESGO DE ISOINMUNIZACIÓN</v>
      </c>
      <c r="FA180" s="21">
        <v>60</v>
      </c>
      <c r="FB180" s="22">
        <v>45087</v>
      </c>
      <c r="FC180" s="29">
        <f t="shared" si="621"/>
        <v>8.8571428571428577</v>
      </c>
      <c r="FD180" s="29"/>
      <c r="FE180" s="29"/>
      <c r="FF180" s="29"/>
      <c r="FG180" s="21" t="str">
        <f t="shared" ca="1" si="622"/>
        <v>TOMAR PTOG</v>
      </c>
      <c r="FH180" s="31"/>
      <c r="FI180" s="29" t="str">
        <f t="shared" si="623"/>
        <v>TOMAR EXAMEN</v>
      </c>
      <c r="FJ180" s="22" t="s">
        <v>867</v>
      </c>
      <c r="FK180" s="22">
        <v>45087</v>
      </c>
      <c r="FL180" s="29">
        <f t="shared" ca="1" si="624"/>
        <v>8.8571428571428577</v>
      </c>
      <c r="FM180" s="22"/>
      <c r="FN180" s="32"/>
      <c r="FO180" s="29" t="str">
        <f t="shared" ca="1" si="679"/>
        <v>PIERDE TOMA DE TAMIZAJE</v>
      </c>
      <c r="FP180" s="22"/>
      <c r="FQ180" s="32"/>
      <c r="FR180" s="29" t="str">
        <f t="shared" ca="1" si="680"/>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5"/>
        <v>TOMAR EXAMEN</v>
      </c>
      <c r="FY180" s="22" t="s">
        <v>868</v>
      </c>
      <c r="FZ180" s="22">
        <v>45087</v>
      </c>
      <c r="GA180" s="29">
        <f t="shared" ca="1" si="692"/>
        <v>8.8571428571428577</v>
      </c>
      <c r="GB180" s="22"/>
      <c r="GC180" s="22"/>
      <c r="GD180" s="29" t="str">
        <f t="shared" ca="1" si="732"/>
        <v>PIERDE TOMA DE TAMIZAJE</v>
      </c>
      <c r="GE180" s="22"/>
      <c r="GF180" s="22"/>
      <c r="GG180" s="29" t="str">
        <f t="shared" ca="1" si="682"/>
        <v>EN RANGO PARA TOMAR EXAMEN</v>
      </c>
      <c r="GH180" s="22"/>
      <c r="GI180" s="29"/>
      <c r="GJ180" s="22"/>
      <c r="GK180" s="22"/>
      <c r="GL180" s="22"/>
      <c r="GM180" s="22"/>
      <c r="GN180" s="28" t="s">
        <v>869</v>
      </c>
      <c r="GO180" s="22">
        <v>45087</v>
      </c>
      <c r="GP180" s="29">
        <f t="shared" si="626"/>
        <v>8.8571428571428577</v>
      </c>
      <c r="GQ180" s="28" t="s">
        <v>869</v>
      </c>
      <c r="GR180" s="28" t="s">
        <v>869</v>
      </c>
      <c r="GS180" s="22" t="str">
        <f t="shared" si="728"/>
        <v>CONTROL Igm</v>
      </c>
      <c r="GT180" s="22">
        <v>45087</v>
      </c>
      <c r="GU180" s="29">
        <f t="shared" si="628"/>
        <v>8.8571428571428577</v>
      </c>
      <c r="GV180" s="21" t="str">
        <f t="shared" si="629"/>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30"/>
        <v>#REF!</v>
      </c>
      <c r="HI180" s="22" t="e">
        <f t="shared" ca="1" si="631"/>
        <v>#REF!</v>
      </c>
      <c r="HJ180" s="21" t="str">
        <f t="shared" ca="1" si="632"/>
        <v>***************************************</v>
      </c>
      <c r="HK180" s="21" t="str">
        <f t="shared" si="633"/>
        <v>SIN ANTECEDENTES DE RIESGO</v>
      </c>
      <c r="HL180" s="24" t="str">
        <f t="shared" si="634"/>
        <v>APARENTEMENTE NORMAL</v>
      </c>
      <c r="HM180" s="21" t="e">
        <f t="shared" ca="1" si="635"/>
        <v>#REF!</v>
      </c>
      <c r="HN180" s="30" t="str">
        <f t="shared" si="683"/>
        <v>ACTIVA INGRESO A CPN</v>
      </c>
      <c r="HO180" s="21"/>
      <c r="HP180" s="21"/>
      <c r="HQ180" s="349"/>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6"/>
        <v>PENDIENTE CONSULTA</v>
      </c>
      <c r="IA180" s="26"/>
      <c r="IB180" s="26"/>
      <c r="IC180" s="111"/>
      <c r="ID180" s="22"/>
      <c r="IE180" s="22" t="str">
        <f t="shared" ca="1" si="637"/>
        <v>INASISTENTE</v>
      </c>
      <c r="IF180" s="22"/>
      <c r="IG180" s="22">
        <f t="shared" si="638"/>
        <v>45305</v>
      </c>
      <c r="IH180" s="29">
        <f t="shared" ca="1" si="639"/>
        <v>73</v>
      </c>
      <c r="II180" s="22" t="str">
        <f t="shared" ca="1" si="640"/>
        <v>PENDIENTE</v>
      </c>
      <c r="IJ180" s="22"/>
      <c r="IK180" s="21"/>
      <c r="IL180" s="21"/>
      <c r="IM180" s="34"/>
      <c r="IN180" s="22"/>
      <c r="IO180" s="21"/>
      <c r="IP180" s="29" t="str">
        <f t="shared" si="730"/>
        <v/>
      </c>
      <c r="IQ180" s="35"/>
      <c r="IR180" s="21"/>
      <c r="IS180" s="21"/>
      <c r="IT180" s="21"/>
      <c r="IU180" s="21"/>
      <c r="IV180" s="21"/>
      <c r="IW180" s="21"/>
      <c r="IX180" s="21"/>
      <c r="IY180" s="21"/>
      <c r="IZ180" s="21"/>
      <c r="JA180" s="21"/>
      <c r="JB180" s="30"/>
      <c r="JC180" s="21"/>
      <c r="JD180" s="36"/>
      <c r="JE180" s="21" t="str">
        <f t="shared" si="733"/>
        <v/>
      </c>
      <c r="JF180" s="30"/>
      <c r="JG180" s="21"/>
      <c r="JH180" s="21"/>
      <c r="JI180" s="21"/>
      <c r="JJ180" s="30"/>
      <c r="JK180" s="22"/>
      <c r="JL180" s="22"/>
      <c r="JM180" s="21"/>
      <c r="JN180" s="36"/>
      <c r="JO180" s="21" t="str">
        <f t="shared" si="734"/>
        <v/>
      </c>
      <c r="JP180" s="22"/>
      <c r="JQ180" s="21"/>
      <c r="JR180" s="21"/>
      <c r="JS180" s="21"/>
      <c r="JT180" s="30"/>
      <c r="JU180" s="22"/>
      <c r="JV180" s="22"/>
      <c r="JW180" s="33"/>
      <c r="JX180" s="28" t="str">
        <f t="shared" si="735"/>
        <v/>
      </c>
      <c r="JY180" s="33"/>
      <c r="JZ180" s="28" t="str">
        <f t="shared" si="736"/>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7"/>
        <v>0</v>
      </c>
      <c r="MI180" s="43" t="str">
        <f t="shared" si="698"/>
        <v/>
      </c>
      <c r="MJ180" s="43" t="str">
        <f t="shared" si="699"/>
        <v/>
      </c>
      <c r="MK180" s="43">
        <f t="shared" si="700"/>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701"/>
        <v>8.4285714285714288</v>
      </c>
      <c r="MN180" s="43">
        <f t="shared" si="702"/>
        <v>6</v>
      </c>
      <c r="MO180" s="43">
        <f t="shared" si="703"/>
        <v>2023</v>
      </c>
      <c r="MP180" s="43" t="str">
        <f t="shared" si="704"/>
        <v>II TRIMESTRE AÑO</v>
      </c>
      <c r="MQ180" s="43">
        <f t="shared" si="705"/>
        <v>19.803985983355233</v>
      </c>
      <c r="MR180" s="43">
        <f t="shared" si="706"/>
        <v>0</v>
      </c>
      <c r="MS180" s="43" t="str">
        <f t="shared" si="707"/>
        <v>DE 14 A 19AÑOS</v>
      </c>
      <c r="MT180" s="43">
        <f t="shared" si="708"/>
        <v>0</v>
      </c>
      <c r="MU180" s="43">
        <f t="shared" si="709"/>
        <v>0</v>
      </c>
      <c r="MV180" s="43">
        <f t="shared" si="710"/>
        <v>0</v>
      </c>
      <c r="MW180" s="43">
        <f t="shared" si="711"/>
        <v>0</v>
      </c>
      <c r="MX180" s="43" t="str">
        <f t="shared" si="712"/>
        <v/>
      </c>
      <c r="MY180" s="43" t="str">
        <f t="shared" ca="1" si="737"/>
        <v/>
      </c>
      <c r="MZ180" s="43" t="str">
        <f t="shared" si="713"/>
        <v/>
      </c>
      <c r="NA180" s="43" t="str">
        <f t="shared" si="714"/>
        <v/>
      </c>
      <c r="NB180" s="43" t="str">
        <f t="shared" si="715"/>
        <v/>
      </c>
      <c r="NC180" s="43" t="str">
        <f t="shared" si="716"/>
        <v/>
      </c>
      <c r="ND180" s="43">
        <f t="shared" ca="1" si="717"/>
        <v>0</v>
      </c>
      <c r="NE180" s="43">
        <f>IF(OR(O180&gt;0,R180&gt;0),SUM(COUNTIF(Tabla1[[#This Row],[AÑOS AL INICIO5 CPN]],"&gt;=40"),COUNTIF(AS180,"0"),COUNTIF(AR180,"SI"),COUNTIF(CC180,"SI"),COUNTIF(BQ180,"&gt;119"),COUNTIF(CI180,"&gt;=35")),"")</f>
        <v>0</v>
      </c>
      <c r="NF180" s="43" t="str">
        <f t="shared" si="718"/>
        <v/>
      </c>
      <c r="NG180" s="43">
        <f t="shared" si="719"/>
        <v>0</v>
      </c>
      <c r="NH180" s="43">
        <f t="shared" si="720"/>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21"/>
        <v>X</v>
      </c>
      <c r="NM180" s="43" t="str">
        <f t="shared" si="695"/>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2"/>
        <v>DEFINIR CON ECO</v>
      </c>
      <c r="NQ180" s="21" t="str">
        <f t="shared" si="731"/>
        <v/>
      </c>
      <c r="NR180" s="21">
        <f t="shared" ca="1" si="738"/>
        <v>3</v>
      </c>
      <c r="NS180" s="205">
        <f t="shared" ca="1" si="723"/>
        <v>1</v>
      </c>
      <c r="NT180" s="21">
        <f t="shared" ca="1" si="724"/>
        <v>1</v>
      </c>
      <c r="NU180" s="21" t="str">
        <f t="shared" ca="1" si="725"/>
        <v>INCOMPLETO</v>
      </c>
      <c r="NV180" s="21" t="str">
        <f t="shared" ca="1" si="726"/>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7"/>
        <v>SIN VACUNAR</v>
      </c>
      <c r="NY180" s="43">
        <f>ROW(Tabla1[[#This Row],['# DE TAMIZAJES SIFILIS TOMADOS ]])</f>
        <v>180</v>
      </c>
      <c r="NZ180" s="43" t="str">
        <f t="shared" si="502"/>
        <v>Menor</v>
      </c>
      <c r="OA180" s="43" t="str">
        <f t="shared" si="503"/>
        <v>NORMAL</v>
      </c>
      <c r="OB180" s="43" t="str">
        <f t="shared" si="504"/>
        <v/>
      </c>
      <c r="OC180" s="43" t="str">
        <f t="shared" si="505"/>
        <v/>
      </c>
      <c r="OD180" s="43" t="str">
        <f t="shared" si="506"/>
        <v/>
      </c>
      <c r="OE180" s="43" t="str">
        <f t="shared" si="507"/>
        <v/>
      </c>
      <c r="OF180" s="43" t="str">
        <f t="shared" si="508"/>
        <v/>
      </c>
      <c r="OG180" s="43" t="str">
        <f t="shared" si="509"/>
        <v/>
      </c>
      <c r="OH180" s="43" t="str">
        <f t="shared" si="510"/>
        <v/>
      </c>
      <c r="OI180" s="43" t="str">
        <f t="shared" si="511"/>
        <v/>
      </c>
      <c r="OJ180" s="43" t="str">
        <f t="shared" si="512"/>
        <v/>
      </c>
      <c r="OK180" s="43" t="str">
        <f t="shared" si="513"/>
        <v/>
      </c>
      <c r="OL180" s="43" t="str">
        <f t="shared" si="514"/>
        <v/>
      </c>
      <c r="OM180" s="43" t="str">
        <f t="shared" si="515"/>
        <v/>
      </c>
      <c r="ON180" s="43" t="str">
        <f t="shared" si="516"/>
        <v/>
      </c>
      <c r="OO180" s="43" t="str">
        <f t="shared" si="517"/>
        <v/>
      </c>
      <c r="OP180" s="43" t="str">
        <f t="shared" si="518"/>
        <v/>
      </c>
      <c r="OQ180" s="43" t="str">
        <f t="shared" si="519"/>
        <v/>
      </c>
      <c r="OR180" s="43" t="str">
        <f t="shared" si="520"/>
        <v/>
      </c>
      <c r="OS180" s="43" t="str">
        <f t="shared" si="521"/>
        <v/>
      </c>
      <c r="OT180" s="43" t="str">
        <f t="shared" si="522"/>
        <v/>
      </c>
      <c r="OU180" s="43" t="str">
        <f t="shared" si="523"/>
        <v/>
      </c>
      <c r="OV180" s="110" t="str">
        <f t="shared" si="524"/>
        <v/>
      </c>
      <c r="OW180" s="43" t="str">
        <f t="shared" si="525"/>
        <v/>
      </c>
      <c r="OX180" s="43" t="str">
        <f t="shared" si="526"/>
        <v/>
      </c>
      <c r="OY180" s="43" t="str">
        <f t="shared" si="527"/>
        <v/>
      </c>
      <c r="OZ180" s="43" t="str">
        <f t="shared" si="528"/>
        <v/>
      </c>
      <c r="PA180" s="43" t="str">
        <f t="shared" si="529"/>
        <v/>
      </c>
      <c r="PB180" s="43" t="str">
        <f t="shared" si="530"/>
        <v/>
      </c>
      <c r="PC180" s="43" t="str">
        <f t="shared" si="531"/>
        <v/>
      </c>
      <c r="PD180" s="43" t="str">
        <f t="shared" si="532"/>
        <v/>
      </c>
      <c r="PE180" s="43" t="str">
        <f t="shared" si="533"/>
        <v/>
      </c>
      <c r="PF180" s="43" t="str">
        <f t="shared" si="534"/>
        <v/>
      </c>
      <c r="PG180" s="43" t="str">
        <f t="shared" si="535"/>
        <v/>
      </c>
      <c r="PH180" s="43" t="str">
        <f t="shared" si="536"/>
        <v/>
      </c>
      <c r="PI180" s="43">
        <f t="shared" si="537"/>
        <v>17</v>
      </c>
      <c r="PJ180" s="43" t="str">
        <f t="shared" si="538"/>
        <v/>
      </c>
      <c r="PK180" s="43" t="str">
        <f t="shared" si="539"/>
        <v/>
      </c>
      <c r="PL180" s="43" t="str">
        <f t="shared" si="540"/>
        <v/>
      </c>
      <c r="PM180" s="43" t="str">
        <f t="shared" si="541"/>
        <v/>
      </c>
      <c r="PN180" s="43" t="str">
        <f t="shared" si="542"/>
        <v/>
      </c>
      <c r="PO180" s="43" t="str">
        <f t="shared" si="543"/>
        <v/>
      </c>
      <c r="PP180" s="43" t="str">
        <f t="shared" si="544"/>
        <v/>
      </c>
      <c r="PQ180" s="43" t="str">
        <f t="shared" si="545"/>
        <v/>
      </c>
      <c r="PR180" s="43" t="str">
        <f t="shared" si="546"/>
        <v>BAJO PESO</v>
      </c>
      <c r="PS180" s="43" t="str">
        <f t="shared" si="547"/>
        <v/>
      </c>
      <c r="PT180" s="43" t="str">
        <f t="shared" si="548"/>
        <v/>
      </c>
      <c r="PU180" s="43" t="str">
        <f t="shared" si="549"/>
        <v/>
      </c>
      <c r="PV180" s="43" t="str">
        <f t="shared" si="550"/>
        <v/>
      </c>
      <c r="PW180" s="43" t="str">
        <f t="shared" si="551"/>
        <v/>
      </c>
      <c r="PX180" s="43" t="str">
        <f t="shared" si="552"/>
        <v/>
      </c>
      <c r="PY180" s="43" t="str">
        <f t="shared" si="553"/>
        <v/>
      </c>
      <c r="PZ180" s="43" t="str">
        <f t="shared" si="554"/>
        <v/>
      </c>
      <c r="QA180" s="43" t="str">
        <f t="shared" si="555"/>
        <v/>
      </c>
      <c r="QB180" s="43" t="str">
        <f t="shared" si="556"/>
        <v/>
      </c>
      <c r="QC180" s="43" t="str">
        <f t="shared" si="557"/>
        <v/>
      </c>
      <c r="QD180" s="43" t="str">
        <f t="shared" si="558"/>
        <v/>
      </c>
      <c r="QE180" s="43" t="str">
        <f t="shared" si="559"/>
        <v/>
      </c>
      <c r="QF180" s="43" t="str">
        <f t="shared" si="560"/>
        <v/>
      </c>
      <c r="QG180" s="43" t="str">
        <f t="shared" si="561"/>
        <v/>
      </c>
      <c r="QH180" s="43" t="str">
        <f t="shared" si="562"/>
        <v/>
      </c>
      <c r="QI180" s="43" t="str">
        <f t="shared" si="563"/>
        <v/>
      </c>
      <c r="QJ180" s="43" t="str">
        <f t="shared" si="564"/>
        <v/>
      </c>
      <c r="QK180" s="43" t="str">
        <f t="shared" si="565"/>
        <v/>
      </c>
      <c r="QL180" s="43" t="str">
        <f t="shared" si="566"/>
        <v/>
      </c>
      <c r="QM180" s="43" t="str">
        <f t="shared" si="567"/>
        <v/>
      </c>
      <c r="QN180" s="43" t="str">
        <f t="shared" si="568"/>
        <v/>
      </c>
      <c r="QO180" s="43" t="str">
        <f t="shared" si="569"/>
        <v/>
      </c>
      <c r="QP180" s="43" t="str">
        <f t="shared" si="570"/>
        <v/>
      </c>
      <c r="QQ180" s="43" t="str">
        <f t="shared" si="571"/>
        <v/>
      </c>
      <c r="QR180" s="43">
        <f t="shared" si="672"/>
        <v>17</v>
      </c>
      <c r="QS180" s="43"/>
      <c r="QT180" s="21" t="str">
        <f t="shared" si="572"/>
        <v/>
      </c>
      <c r="QU180" s="21" t="str">
        <f t="shared" si="573"/>
        <v/>
      </c>
      <c r="QV180" s="21" t="str">
        <f t="shared" si="574"/>
        <v/>
      </c>
      <c r="QW180" s="21" t="str">
        <f t="shared" si="575"/>
        <v/>
      </c>
      <c r="QX180" s="21" t="str">
        <f t="shared" si="576"/>
        <v>ADECUADO PARA EDAD GESTACIONAL</v>
      </c>
      <c r="QY180" s="21" t="str">
        <f t="shared" si="577"/>
        <v/>
      </c>
      <c r="QZ180" s="21" t="str">
        <f t="shared" si="578"/>
        <v/>
      </c>
      <c r="RA180" s="21" t="str">
        <f t="shared" si="579"/>
        <v/>
      </c>
      <c r="RB180" s="21" t="str">
        <f t="shared" si="580"/>
        <v/>
      </c>
      <c r="RC180" s="21" t="str">
        <f t="shared" si="581"/>
        <v/>
      </c>
      <c r="RD180" s="21" t="str">
        <f t="shared" si="582"/>
        <v/>
      </c>
      <c r="RE180" s="21" t="str">
        <f t="shared" si="583"/>
        <v/>
      </c>
      <c r="RF180" s="21" t="str">
        <f t="shared" si="584"/>
        <v/>
      </c>
      <c r="RG180" s="21" t="str">
        <f t="shared" si="585"/>
        <v/>
      </c>
      <c r="RH180" s="21" t="str">
        <f t="shared" si="586"/>
        <v/>
      </c>
      <c r="RI180" s="21" t="str">
        <f t="shared" si="587"/>
        <v/>
      </c>
      <c r="RJ180" s="21" t="str">
        <f t="shared" si="588"/>
        <v/>
      </c>
      <c r="RK180" s="21" t="str">
        <f t="shared" si="589"/>
        <v/>
      </c>
      <c r="RL180" s="21" t="str">
        <f t="shared" si="590"/>
        <v/>
      </c>
      <c r="RM180" s="21" t="str">
        <f t="shared" si="591"/>
        <v/>
      </c>
      <c r="RN180" s="21" t="str">
        <f t="shared" si="592"/>
        <v/>
      </c>
      <c r="RO180" s="21" t="str">
        <f t="shared" si="593"/>
        <v/>
      </c>
      <c r="RP180" s="21" t="str">
        <f t="shared" si="594"/>
        <v/>
      </c>
      <c r="RQ180" s="21" t="str">
        <f t="shared" si="595"/>
        <v/>
      </c>
      <c r="RR180" s="21" t="str">
        <f t="shared" si="596"/>
        <v/>
      </c>
      <c r="RS180" s="21" t="str">
        <f t="shared" si="597"/>
        <v/>
      </c>
      <c r="RT180" s="21" t="str">
        <f t="shared" si="598"/>
        <v/>
      </c>
      <c r="RU180" s="21" t="str">
        <f t="shared" si="599"/>
        <v/>
      </c>
      <c r="RV180" s="21">
        <f t="shared" si="600"/>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3"/>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1"/>
        <v>26.660273972602738</v>
      </c>
      <c r="O181" s="22">
        <v>45086</v>
      </c>
      <c r="P181" s="214" t="str">
        <f t="shared" si="675"/>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2"/>
        <v>60.9</v>
      </c>
      <c r="BR181" s="223">
        <f t="shared" si="603"/>
        <v>44999.9</v>
      </c>
      <c r="BS181" s="224">
        <f t="shared" si="604"/>
        <v>12.428571428571429</v>
      </c>
      <c r="BT181" s="216" t="str">
        <f t="shared" si="605"/>
        <v>II TRIM</v>
      </c>
      <c r="BU181" s="214">
        <f t="shared" ca="1" si="606"/>
        <v>33.285714285714285</v>
      </c>
      <c r="BV181" s="25" t="s">
        <v>988</v>
      </c>
      <c r="BW181" s="22">
        <v>45149</v>
      </c>
      <c r="BX181" s="28">
        <v>21.3</v>
      </c>
      <c r="BY181" s="28"/>
      <c r="BZ181" s="22"/>
      <c r="CA181" s="21"/>
      <c r="CB181" s="26"/>
      <c r="CC181" s="26"/>
      <c r="CD181" s="26"/>
      <c r="CE181" s="26"/>
      <c r="CF181" s="22" t="s">
        <v>1517</v>
      </c>
      <c r="CG181" s="21">
        <v>1.53</v>
      </c>
      <c r="CH181" s="21">
        <v>68.5</v>
      </c>
      <c r="CI181" s="214">
        <f t="shared" si="607"/>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8"/>
        <v>45126</v>
      </c>
      <c r="CL181" s="21">
        <v>70.7</v>
      </c>
      <c r="CM181" s="214">
        <f t="shared" si="609"/>
        <v>30.202059037122474</v>
      </c>
      <c r="CN181" s="216">
        <f t="shared" si="610"/>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9"/>
        <v/>
      </c>
      <c r="DA181" s="21">
        <v>100</v>
      </c>
      <c r="DB181" s="21">
        <v>60</v>
      </c>
      <c r="DC181" s="217" t="str">
        <f t="shared" si="611"/>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6"/>
        <v>PLANEAR PLAN DE PARTO</v>
      </c>
      <c r="DV181" s="226" t="str">
        <f t="shared" si="677"/>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2"/>
        <v>#REF!</v>
      </c>
      <c r="DY181" s="212">
        <f>IF(R181="","",IF(R181&gt;0,MAX(Tabla1[[#This Row],[FECHA C2]:[FECHA C13]],Tabla1[[#This Row],[FECHA CONSULTA PRIMERA VEZ PROGRAMA CPN ]])))</f>
        <v>45126</v>
      </c>
      <c r="DZ181" s="216">
        <f t="shared" si="613"/>
        <v>18</v>
      </c>
      <c r="EA181" s="222">
        <f>IF(R181&gt;0,SUM(COUNTA(DF181:DQ181)+COUNTA(Tabla1[[#This Row],[FECHA CONSULTA PRIMERA VEZ PROGRAMA CPN ]])),"")</f>
        <v>2</v>
      </c>
      <c r="EB181" s="222" t="str">
        <f t="shared" si="614"/>
        <v>NO</v>
      </c>
      <c r="EC181" s="214">
        <f t="shared" si="615"/>
        <v>8</v>
      </c>
      <c r="ED181" s="227">
        <f t="shared" si="616"/>
        <v>0.25</v>
      </c>
      <c r="EE181" s="22">
        <v>45086</v>
      </c>
      <c r="EF181" s="22">
        <v>45086</v>
      </c>
      <c r="EG181" s="22">
        <v>45086</v>
      </c>
      <c r="EH181" s="22"/>
      <c r="EI181" s="22">
        <v>45086</v>
      </c>
      <c r="EJ181" s="22"/>
      <c r="EK181" s="22"/>
      <c r="EL181" s="21"/>
      <c r="EM181" s="21">
        <v>13</v>
      </c>
      <c r="EN181" s="22">
        <v>45089</v>
      </c>
      <c r="EO181" s="222">
        <f t="shared" si="617"/>
        <v>12.857142857142858</v>
      </c>
      <c r="EP181" s="214" t="str">
        <f t="shared" si="618"/>
        <v>NORMAL- SUMINISTRAR SULFATO FERROSO</v>
      </c>
      <c r="EQ181" s="216" t="str">
        <f t="shared" si="619"/>
        <v>I TRIM</v>
      </c>
      <c r="ER181" s="24"/>
      <c r="ES181" s="22"/>
      <c r="ET181" s="29" t="str">
        <f t="shared" ca="1" si="678"/>
        <v>TOMA DE HEMOGLOBINA TARDÍA</v>
      </c>
      <c r="EU181" s="25" t="str">
        <f t="shared" si="620"/>
        <v/>
      </c>
      <c r="EV181" s="24" t="s">
        <v>1510</v>
      </c>
      <c r="EW181" s="24">
        <v>45089</v>
      </c>
      <c r="EX181" s="22"/>
      <c r="EY181" s="29">
        <f t="shared" si="693"/>
        <v>12.857142857142858</v>
      </c>
      <c r="EZ181" s="25" t="str">
        <f t="shared" si="694"/>
        <v>SIN RIESGO DE ISOINMUNIZACIÓN</v>
      </c>
      <c r="FA181" s="21">
        <v>92</v>
      </c>
      <c r="FB181" s="22">
        <v>45089</v>
      </c>
      <c r="FC181" s="29">
        <f t="shared" si="621"/>
        <v>12.857142857142858</v>
      </c>
      <c r="FD181" s="29"/>
      <c r="FE181" s="29"/>
      <c r="FF181" s="29"/>
      <c r="FG181" s="21" t="str">
        <f t="shared" ca="1" si="622"/>
        <v>TOMAR PTOG</v>
      </c>
      <c r="FH181" s="31"/>
      <c r="FI181" s="29" t="str">
        <f t="shared" si="623"/>
        <v>TOMAR EXAMEN</v>
      </c>
      <c r="FJ181" s="22" t="s">
        <v>867</v>
      </c>
      <c r="FK181" s="22">
        <v>45089</v>
      </c>
      <c r="FL181" s="29">
        <f t="shared" ca="1" si="624"/>
        <v>12.857142857142858</v>
      </c>
      <c r="FM181" s="22"/>
      <c r="FN181" s="32"/>
      <c r="FO181" s="29" t="str">
        <f t="shared" ca="1" si="679"/>
        <v>PIERDE TOMA DE TAMIZAJE</v>
      </c>
      <c r="FP181" s="22"/>
      <c r="FQ181" s="32"/>
      <c r="FR181" s="29" t="str">
        <f t="shared" ca="1" si="680"/>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5"/>
        <v>TOMAR EXAMEN</v>
      </c>
      <c r="FY181" s="22" t="s">
        <v>868</v>
      </c>
      <c r="FZ181" s="22">
        <v>45089</v>
      </c>
      <c r="GA181" s="29">
        <f t="shared" ca="1" si="692"/>
        <v>12.857142857142858</v>
      </c>
      <c r="GB181" s="22"/>
      <c r="GC181" s="22"/>
      <c r="GD181" s="29" t="str">
        <f t="shared" ca="1" si="732"/>
        <v>PIERDE TOMA DE TAMIZAJE</v>
      </c>
      <c r="GE181" s="22"/>
      <c r="GF181" s="22"/>
      <c r="GG181" s="29" t="str">
        <f t="shared" ca="1" si="682"/>
        <v>EN RANGO PARA TOMAR EXAMEN</v>
      </c>
      <c r="GH181" s="22"/>
      <c r="GI181" s="29"/>
      <c r="GJ181" s="22"/>
      <c r="GK181" s="22"/>
      <c r="GL181" s="22"/>
      <c r="GM181" s="22"/>
      <c r="GN181" s="28" t="s">
        <v>869</v>
      </c>
      <c r="GO181" s="22">
        <v>45089</v>
      </c>
      <c r="GP181" s="29">
        <f t="shared" si="626"/>
        <v>12.857142857142858</v>
      </c>
      <c r="GQ181" s="28" t="s">
        <v>869</v>
      </c>
      <c r="GR181" s="28" t="s">
        <v>869</v>
      </c>
      <c r="GS181" s="22" t="str">
        <f t="shared" si="728"/>
        <v>CONTROL Igm</v>
      </c>
      <c r="GT181" s="22">
        <v>45089</v>
      </c>
      <c r="GU181" s="29">
        <f t="shared" si="628"/>
        <v>12.857142857142858</v>
      </c>
      <c r="GV181" s="21" t="str">
        <f t="shared" si="629"/>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30"/>
        <v>#REF!</v>
      </c>
      <c r="HI181" s="22" t="e">
        <f t="shared" ca="1" si="631"/>
        <v>#REF!</v>
      </c>
      <c r="HJ181" s="21" t="str">
        <f t="shared" ca="1" si="632"/>
        <v>***************************************</v>
      </c>
      <c r="HK181" s="21" t="str">
        <f t="shared" si="633"/>
        <v>SIN ANTECEDENTES DE RIESGO</v>
      </c>
      <c r="HL181" s="24" t="str">
        <f t="shared" si="634"/>
        <v>APARENTEMENTE NORMAL</v>
      </c>
      <c r="HM181" s="21" t="e">
        <f t="shared" ca="1" si="635"/>
        <v>#REF!</v>
      </c>
      <c r="HN181" s="30" t="str">
        <f t="shared" si="683"/>
        <v>ACTIVA INGRESO A CPN</v>
      </c>
      <c r="HO181" s="21"/>
      <c r="HP181" s="21"/>
      <c r="HQ181" s="349"/>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6"/>
        <v>PENDIENTE CONSULTA</v>
      </c>
      <c r="IA181" s="26"/>
      <c r="IB181" s="26"/>
      <c r="IC181" s="111"/>
      <c r="ID181" s="22"/>
      <c r="IE181" s="22" t="str">
        <f t="shared" ca="1" si="637"/>
        <v>INASISTENTE</v>
      </c>
      <c r="IF181" s="22"/>
      <c r="IG181" s="22">
        <f t="shared" si="638"/>
        <v>45279</v>
      </c>
      <c r="IH181" s="29">
        <f t="shared" ca="1" si="639"/>
        <v>47</v>
      </c>
      <c r="II181" s="22" t="str">
        <f t="shared" ca="1" si="640"/>
        <v>PENDIENTE</v>
      </c>
      <c r="IJ181" s="22"/>
      <c r="IK181" s="21"/>
      <c r="IL181" s="21"/>
      <c r="IM181" s="34"/>
      <c r="IN181" s="22"/>
      <c r="IO181" s="21"/>
      <c r="IP181" s="29" t="str">
        <f t="shared" si="730"/>
        <v/>
      </c>
      <c r="IQ181" s="35"/>
      <c r="IR181" s="21"/>
      <c r="IS181" s="21"/>
      <c r="IT181" s="21"/>
      <c r="IU181" s="21"/>
      <c r="IV181" s="21"/>
      <c r="IW181" s="21"/>
      <c r="IX181" s="21"/>
      <c r="IY181" s="21"/>
      <c r="IZ181" s="21"/>
      <c r="JA181" s="21"/>
      <c r="JB181" s="30"/>
      <c r="JC181" s="21"/>
      <c r="JD181" s="36"/>
      <c r="JE181" s="21" t="str">
        <f t="shared" si="733"/>
        <v/>
      </c>
      <c r="JF181" s="30"/>
      <c r="JG181" s="21"/>
      <c r="JH181" s="21"/>
      <c r="JI181" s="21"/>
      <c r="JJ181" s="30"/>
      <c r="JK181" s="22"/>
      <c r="JL181" s="22"/>
      <c r="JM181" s="21"/>
      <c r="JN181" s="36"/>
      <c r="JO181" s="21" t="str">
        <f t="shared" si="734"/>
        <v/>
      </c>
      <c r="JP181" s="22"/>
      <c r="JQ181" s="21"/>
      <c r="JR181" s="21"/>
      <c r="JS181" s="21"/>
      <c r="JT181" s="30"/>
      <c r="JU181" s="22"/>
      <c r="JV181" s="22"/>
      <c r="JW181" s="33"/>
      <c r="JX181" s="28" t="str">
        <f t="shared" si="735"/>
        <v/>
      </c>
      <c r="JY181" s="33"/>
      <c r="JZ181" s="28" t="str">
        <f t="shared" si="736"/>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7"/>
        <v>0</v>
      </c>
      <c r="MI181" s="43" t="str">
        <f t="shared" si="698"/>
        <v/>
      </c>
      <c r="MJ181" s="43" t="str">
        <f t="shared" si="699"/>
        <v/>
      </c>
      <c r="MK181" s="43">
        <f t="shared" si="700"/>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701"/>
        <v>12.428571428571429</v>
      </c>
      <c r="MN181" s="43">
        <f t="shared" si="702"/>
        <v>6</v>
      </c>
      <c r="MO181" s="43">
        <f t="shared" si="703"/>
        <v>2023</v>
      </c>
      <c r="MP181" s="43" t="str">
        <f t="shared" si="704"/>
        <v>II TRIMESTRE AÑO</v>
      </c>
      <c r="MQ181" s="43">
        <f t="shared" si="705"/>
        <v>25.862352168199735</v>
      </c>
      <c r="MR181" s="43">
        <f t="shared" si="706"/>
        <v>0</v>
      </c>
      <c r="MS181" s="43" t="str">
        <f t="shared" si="707"/>
        <v xml:space="preserve"> DE 25 A 29 AÑOS</v>
      </c>
      <c r="MT181" s="43">
        <f t="shared" si="708"/>
        <v>0</v>
      </c>
      <c r="MU181" s="43">
        <f t="shared" si="709"/>
        <v>0</v>
      </c>
      <c r="MV181" s="43">
        <f t="shared" si="710"/>
        <v>0</v>
      </c>
      <c r="MW181" s="43">
        <f t="shared" si="711"/>
        <v>0</v>
      </c>
      <c r="MX181" s="43" t="str">
        <f t="shared" si="712"/>
        <v/>
      </c>
      <c r="MY181" s="43" t="str">
        <f t="shared" ca="1" si="737"/>
        <v/>
      </c>
      <c r="MZ181" s="43" t="str">
        <f t="shared" si="713"/>
        <v/>
      </c>
      <c r="NA181" s="43" t="str">
        <f t="shared" si="714"/>
        <v/>
      </c>
      <c r="NB181" s="43" t="str">
        <f t="shared" si="715"/>
        <v/>
      </c>
      <c r="NC181" s="43" t="str">
        <f t="shared" si="716"/>
        <v/>
      </c>
      <c r="ND181" s="43">
        <f t="shared" ca="1" si="717"/>
        <v>0</v>
      </c>
      <c r="NE181" s="43">
        <f>IF(OR(O181&gt;0,R181&gt;0),SUM(COUNTIF(Tabla1[[#This Row],[AÑOS AL INICIO5 CPN]],"&gt;=40"),COUNTIF(AS181,"0"),COUNTIF(AR181,"SI"),COUNTIF(CC181,"SI"),COUNTIF(BQ181,"&gt;119"),COUNTIF(CI181,"&gt;=35")),"")</f>
        <v>0</v>
      </c>
      <c r="NF181" s="43" t="str">
        <f t="shared" si="718"/>
        <v/>
      </c>
      <c r="NG181" s="43">
        <f t="shared" si="719"/>
        <v>0</v>
      </c>
      <c r="NH181" s="43">
        <f t="shared" si="720"/>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21"/>
        <v>X</v>
      </c>
      <c r="NM181" s="43" t="str">
        <f t="shared" si="695"/>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2"/>
        <v>II TRIM</v>
      </c>
      <c r="NQ181" s="21" t="str">
        <f t="shared" si="731"/>
        <v/>
      </c>
      <c r="NR181" s="21">
        <f t="shared" ca="1" si="738"/>
        <v>2</v>
      </c>
      <c r="NS181" s="205">
        <f t="shared" ca="1" si="723"/>
        <v>1</v>
      </c>
      <c r="NT181" s="21">
        <f t="shared" ca="1" si="724"/>
        <v>1</v>
      </c>
      <c r="NU181" s="21" t="str">
        <f t="shared" ca="1" si="725"/>
        <v>INCOMPLETO</v>
      </c>
      <c r="NV181" s="21" t="str">
        <f t="shared" ca="1" si="726"/>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7"/>
        <v>SIN VACUNAR</v>
      </c>
      <c r="NY181" s="43">
        <f>ROW(Tabla1[[#This Row],['# DE TAMIZAJES SIFILIS TOMADOS ]])</f>
        <v>181</v>
      </c>
      <c r="NZ181" s="43">
        <f t="shared" si="502"/>
        <v>12</v>
      </c>
      <c r="OA181" s="43" t="str">
        <f t="shared" si="503"/>
        <v/>
      </c>
      <c r="OB181" s="43" t="str">
        <f t="shared" si="504"/>
        <v/>
      </c>
      <c r="OC181" s="43" t="str">
        <f t="shared" si="505"/>
        <v/>
      </c>
      <c r="OD181" s="43" t="str">
        <f t="shared" si="506"/>
        <v>SOBREPESO</v>
      </c>
      <c r="OE181" s="43" t="str">
        <f t="shared" si="507"/>
        <v/>
      </c>
      <c r="OF181" s="43" t="str">
        <f t="shared" si="508"/>
        <v/>
      </c>
      <c r="OG181" s="43" t="str">
        <f t="shared" si="509"/>
        <v/>
      </c>
      <c r="OH181" s="43" t="str">
        <f t="shared" si="510"/>
        <v/>
      </c>
      <c r="OI181" s="43" t="str">
        <f t="shared" si="511"/>
        <v/>
      </c>
      <c r="OJ181" s="43" t="str">
        <f t="shared" si="512"/>
        <v/>
      </c>
      <c r="OK181" s="43" t="str">
        <f t="shared" si="513"/>
        <v/>
      </c>
      <c r="OL181" s="43" t="str">
        <f t="shared" si="514"/>
        <v/>
      </c>
      <c r="OM181" s="43" t="str">
        <f t="shared" si="515"/>
        <v/>
      </c>
      <c r="ON181" s="43" t="str">
        <f t="shared" si="516"/>
        <v/>
      </c>
      <c r="OO181" s="43" t="str">
        <f t="shared" si="517"/>
        <v/>
      </c>
      <c r="OP181" s="43" t="str">
        <f t="shared" si="518"/>
        <v/>
      </c>
      <c r="OQ181" s="43" t="str">
        <f t="shared" si="519"/>
        <v/>
      </c>
      <c r="OR181" s="43" t="str">
        <f t="shared" si="520"/>
        <v/>
      </c>
      <c r="OS181" s="43" t="str">
        <f t="shared" si="521"/>
        <v/>
      </c>
      <c r="OT181" s="43" t="str">
        <f t="shared" si="522"/>
        <v/>
      </c>
      <c r="OU181" s="43" t="str">
        <f t="shared" si="523"/>
        <v/>
      </c>
      <c r="OV181" s="110" t="str">
        <f t="shared" si="524"/>
        <v/>
      </c>
      <c r="OW181" s="43" t="str">
        <f t="shared" si="525"/>
        <v/>
      </c>
      <c r="OX181" s="43" t="str">
        <f t="shared" si="526"/>
        <v/>
      </c>
      <c r="OY181" s="43" t="str">
        <f t="shared" si="527"/>
        <v/>
      </c>
      <c r="OZ181" s="43" t="str">
        <f t="shared" si="528"/>
        <v/>
      </c>
      <c r="PA181" s="43" t="str">
        <f t="shared" si="529"/>
        <v/>
      </c>
      <c r="PB181" s="43" t="str">
        <f t="shared" si="530"/>
        <v/>
      </c>
      <c r="PC181" s="43" t="str">
        <f t="shared" si="531"/>
        <v/>
      </c>
      <c r="PD181" s="43" t="str">
        <f t="shared" si="532"/>
        <v/>
      </c>
      <c r="PE181" s="43" t="str">
        <f t="shared" si="533"/>
        <v/>
      </c>
      <c r="PF181" s="43" t="str">
        <f t="shared" si="534"/>
        <v/>
      </c>
      <c r="PG181" s="43" t="str">
        <f t="shared" si="535"/>
        <v/>
      </c>
      <c r="PH181" s="43" t="str">
        <f t="shared" si="536"/>
        <v/>
      </c>
      <c r="PI181" s="43">
        <f t="shared" si="537"/>
        <v>18</v>
      </c>
      <c r="PJ181" s="43" t="str">
        <f t="shared" si="538"/>
        <v/>
      </c>
      <c r="PK181" s="43" t="str">
        <f t="shared" si="539"/>
        <v/>
      </c>
      <c r="PL181" s="43" t="str">
        <f t="shared" si="540"/>
        <v/>
      </c>
      <c r="PM181" s="43" t="str">
        <f t="shared" si="541"/>
        <v/>
      </c>
      <c r="PN181" s="43" t="str">
        <f t="shared" si="542"/>
        <v/>
      </c>
      <c r="PO181" s="43" t="str">
        <f t="shared" si="543"/>
        <v/>
      </c>
      <c r="PP181" s="43" t="str">
        <f t="shared" si="544"/>
        <v/>
      </c>
      <c r="PQ181" s="43" t="str">
        <f t="shared" si="545"/>
        <v/>
      </c>
      <c r="PR181" s="43" t="str">
        <f t="shared" si="546"/>
        <v/>
      </c>
      <c r="PS181" s="43" t="str">
        <f t="shared" si="547"/>
        <v>SOBREPESO</v>
      </c>
      <c r="PT181" s="43" t="str">
        <f t="shared" si="548"/>
        <v/>
      </c>
      <c r="PU181" s="43" t="str">
        <f t="shared" si="549"/>
        <v/>
      </c>
      <c r="PV181" s="43" t="str">
        <f t="shared" si="550"/>
        <v/>
      </c>
      <c r="PW181" s="43" t="str">
        <f t="shared" si="551"/>
        <v/>
      </c>
      <c r="PX181" s="43" t="str">
        <f t="shared" si="552"/>
        <v/>
      </c>
      <c r="PY181" s="43" t="str">
        <f t="shared" si="553"/>
        <v/>
      </c>
      <c r="PZ181" s="43" t="str">
        <f t="shared" si="554"/>
        <v/>
      </c>
      <c r="QA181" s="43" t="str">
        <f t="shared" si="555"/>
        <v/>
      </c>
      <c r="QB181" s="43" t="str">
        <f t="shared" si="556"/>
        <v/>
      </c>
      <c r="QC181" s="43" t="str">
        <f t="shared" si="557"/>
        <v/>
      </c>
      <c r="QD181" s="43" t="str">
        <f t="shared" si="558"/>
        <v/>
      </c>
      <c r="QE181" s="43" t="str">
        <f t="shared" si="559"/>
        <v/>
      </c>
      <c r="QF181" s="43" t="str">
        <f t="shared" si="560"/>
        <v/>
      </c>
      <c r="QG181" s="43" t="str">
        <f t="shared" si="561"/>
        <v/>
      </c>
      <c r="QH181" s="43" t="str">
        <f t="shared" si="562"/>
        <v/>
      </c>
      <c r="QI181" s="43" t="str">
        <f t="shared" si="563"/>
        <v/>
      </c>
      <c r="QJ181" s="43" t="str">
        <f t="shared" si="564"/>
        <v/>
      </c>
      <c r="QK181" s="43" t="str">
        <f t="shared" si="565"/>
        <v/>
      </c>
      <c r="QL181" s="43" t="str">
        <f t="shared" si="566"/>
        <v/>
      </c>
      <c r="QM181" s="43" t="str">
        <f t="shared" si="567"/>
        <v/>
      </c>
      <c r="QN181" s="43" t="str">
        <f t="shared" si="568"/>
        <v/>
      </c>
      <c r="QO181" s="43" t="str">
        <f t="shared" si="569"/>
        <v/>
      </c>
      <c r="QP181" s="43" t="str">
        <f t="shared" si="570"/>
        <v/>
      </c>
      <c r="QQ181" s="43" t="str">
        <f t="shared" si="571"/>
        <v/>
      </c>
      <c r="QR181" s="43">
        <f t="shared" si="672"/>
        <v>18</v>
      </c>
      <c r="QS181" s="43"/>
      <c r="QT181" s="21" t="str">
        <f t="shared" si="572"/>
        <v/>
      </c>
      <c r="QU181" s="21" t="str">
        <f t="shared" si="573"/>
        <v/>
      </c>
      <c r="QV181" s="21" t="str">
        <f t="shared" si="574"/>
        <v/>
      </c>
      <c r="QW181" s="21" t="str">
        <f t="shared" si="575"/>
        <v/>
      </c>
      <c r="QX181" s="21" t="str">
        <f t="shared" si="576"/>
        <v/>
      </c>
      <c r="QY181" s="21" t="str">
        <f t="shared" si="577"/>
        <v>ADECUADO PARA EDAD GESTACIONAL</v>
      </c>
      <c r="QZ181" s="21" t="str">
        <f t="shared" si="578"/>
        <v/>
      </c>
      <c r="RA181" s="21" t="str">
        <f t="shared" si="579"/>
        <v/>
      </c>
      <c r="RB181" s="21" t="str">
        <f t="shared" si="580"/>
        <v/>
      </c>
      <c r="RC181" s="21" t="str">
        <f t="shared" si="581"/>
        <v/>
      </c>
      <c r="RD181" s="21" t="str">
        <f t="shared" si="582"/>
        <v/>
      </c>
      <c r="RE181" s="21" t="str">
        <f t="shared" si="583"/>
        <v/>
      </c>
      <c r="RF181" s="21" t="str">
        <f t="shared" si="584"/>
        <v/>
      </c>
      <c r="RG181" s="21" t="str">
        <f t="shared" si="585"/>
        <v/>
      </c>
      <c r="RH181" s="21" t="str">
        <f t="shared" si="586"/>
        <v/>
      </c>
      <c r="RI181" s="21" t="str">
        <f t="shared" si="587"/>
        <v/>
      </c>
      <c r="RJ181" s="21" t="str">
        <f t="shared" si="588"/>
        <v/>
      </c>
      <c r="RK181" s="21" t="str">
        <f t="shared" si="589"/>
        <v/>
      </c>
      <c r="RL181" s="21" t="str">
        <f t="shared" si="590"/>
        <v/>
      </c>
      <c r="RM181" s="21" t="str">
        <f t="shared" si="591"/>
        <v/>
      </c>
      <c r="RN181" s="21" t="str">
        <f t="shared" si="592"/>
        <v/>
      </c>
      <c r="RO181" s="21" t="str">
        <f t="shared" si="593"/>
        <v/>
      </c>
      <c r="RP181" s="21" t="str">
        <f t="shared" si="594"/>
        <v/>
      </c>
      <c r="RQ181" s="21" t="str">
        <f t="shared" si="595"/>
        <v/>
      </c>
      <c r="RR181" s="21" t="str">
        <f t="shared" si="596"/>
        <v/>
      </c>
      <c r="RS181" s="21" t="str">
        <f t="shared" si="597"/>
        <v/>
      </c>
      <c r="RT181" s="21" t="str">
        <f t="shared" si="598"/>
        <v/>
      </c>
      <c r="RU181" s="21" t="str">
        <f t="shared" si="599"/>
        <v/>
      </c>
      <c r="RV181" s="21">
        <f t="shared" si="600"/>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3"/>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1"/>
        <v>22.654794520547945</v>
      </c>
      <c r="O182" s="22">
        <v>45087</v>
      </c>
      <c r="P182" s="214" t="str">
        <f t="shared" si="675"/>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2"/>
        <v>0</v>
      </c>
      <c r="BR182" s="223" t="str">
        <f t="shared" si="603"/>
        <v/>
      </c>
      <c r="BS182" s="224">
        <f t="shared" si="604"/>
        <v>17.714285714285715</v>
      </c>
      <c r="BT182" s="216" t="str">
        <f t="shared" si="605"/>
        <v>II TRIM</v>
      </c>
      <c r="BU182" s="214">
        <f t="shared" ca="1" si="606"/>
        <v>38.428571428571431</v>
      </c>
      <c r="BV182" s="25"/>
      <c r="BW182" s="22"/>
      <c r="BX182" s="28"/>
      <c r="BY182" s="28"/>
      <c r="BZ182" s="22"/>
      <c r="CA182" s="21"/>
      <c r="CB182" s="26"/>
      <c r="CC182" s="26"/>
      <c r="CD182" s="26"/>
      <c r="CE182" s="26"/>
      <c r="CF182" s="22" t="s">
        <v>1517</v>
      </c>
      <c r="CG182" s="21">
        <v>1.5</v>
      </c>
      <c r="CH182" s="21">
        <v>49.1</v>
      </c>
      <c r="CI182" s="214">
        <f t="shared" si="607"/>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8"/>
        <v>45087</v>
      </c>
      <c r="CL182" s="21">
        <v>49.1</v>
      </c>
      <c r="CM182" s="214">
        <f t="shared" si="609"/>
        <v>21.822222222222223</v>
      </c>
      <c r="CN182" s="216">
        <f t="shared" si="610"/>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9"/>
        <v/>
      </c>
      <c r="DA182" s="21">
        <v>90</v>
      </c>
      <c r="DB182" s="21">
        <v>60</v>
      </c>
      <c r="DC182" s="217" t="str">
        <f t="shared" si="611"/>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6"/>
        <v>CONCERTAR PLAN DE PARTO INMEDIATO</v>
      </c>
      <c r="DV182" s="226" t="str">
        <f t="shared" si="677"/>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2"/>
        <v>#REF!</v>
      </c>
      <c r="DY182" s="212">
        <f>IF(R182="","",IF(R182&gt;0,MAX(Tabla1[[#This Row],[FECHA C2]:[FECHA C13]],Tabla1[[#This Row],[FECHA CONSULTA PRIMERA VEZ PROGRAMA CPN ]])))</f>
        <v>45087</v>
      </c>
      <c r="DZ182" s="216">
        <f t="shared" si="613"/>
        <v>17</v>
      </c>
      <c r="EA182" s="222">
        <f>IF(R182&gt;0,SUM(COUNTA(DF182:DQ182)+COUNTA(Tabla1[[#This Row],[FECHA CONSULTA PRIMERA VEZ PROGRAMA CPN ]])),"")</f>
        <v>1</v>
      </c>
      <c r="EB182" s="222" t="str">
        <f t="shared" si="614"/>
        <v>NO</v>
      </c>
      <c r="EC182" s="214">
        <f t="shared" si="615"/>
        <v>7</v>
      </c>
      <c r="ED182" s="227">
        <f t="shared" si="616"/>
        <v>0.14285714285714285</v>
      </c>
      <c r="EE182" s="22">
        <v>45087</v>
      </c>
      <c r="EF182" s="22"/>
      <c r="EG182" s="22">
        <v>45087</v>
      </c>
      <c r="EH182" s="22"/>
      <c r="EI182" s="22">
        <v>45087</v>
      </c>
      <c r="EJ182" s="22"/>
      <c r="EK182" s="22"/>
      <c r="EL182" s="21"/>
      <c r="EM182" s="21"/>
      <c r="EN182" s="22"/>
      <c r="EO182" s="222" t="str">
        <f t="shared" si="617"/>
        <v>TOMAR EXAMEN</v>
      </c>
      <c r="EP182" s="214" t="str">
        <f t="shared" si="618"/>
        <v/>
      </c>
      <c r="EQ182" s="216" t="str">
        <f t="shared" si="619"/>
        <v>POR DEFINIR</v>
      </c>
      <c r="ER182" s="24"/>
      <c r="ES182" s="22"/>
      <c r="ET182" s="29" t="str">
        <f t="shared" ca="1" si="678"/>
        <v>TOMA DE HEMOGLOBINA TARDÍA</v>
      </c>
      <c r="EU182" s="25" t="str">
        <f t="shared" si="620"/>
        <v/>
      </c>
      <c r="EV182" s="24"/>
      <c r="EW182" s="24"/>
      <c r="EX182" s="22"/>
      <c r="EY182" s="29" t="str">
        <f t="shared" si="693"/>
        <v>TOMAR EXAMEN</v>
      </c>
      <c r="EZ182" s="25" t="str">
        <f t="shared" ca="1" si="694"/>
        <v/>
      </c>
      <c r="FA182" s="21"/>
      <c r="FB182" s="22"/>
      <c r="FC182" s="29" t="str">
        <f t="shared" si="621"/>
        <v>TOMAR EXAMEN</v>
      </c>
      <c r="FD182" s="29"/>
      <c r="FE182" s="29"/>
      <c r="FF182" s="29"/>
      <c r="FG182" s="21" t="str">
        <f t="shared" ca="1" si="622"/>
        <v>TOMAR PTOG</v>
      </c>
      <c r="FH182" s="31"/>
      <c r="FI182" s="29" t="str">
        <f t="shared" si="623"/>
        <v>TOMAR EXAMEN</v>
      </c>
      <c r="FJ182" s="22"/>
      <c r="FK182" s="22"/>
      <c r="FL182" s="29" t="str">
        <f t="shared" ca="1" si="624"/>
        <v>NO APLICA-INGRESO TARDIO</v>
      </c>
      <c r="FM182" s="22"/>
      <c r="FN182" s="32"/>
      <c r="FO182" s="29" t="str">
        <f t="shared" ca="1" si="679"/>
        <v>PIERDE TOMA DE TAMIZAJE</v>
      </c>
      <c r="FP182" s="22"/>
      <c r="FQ182" s="32"/>
      <c r="FR182" s="29" t="str">
        <f t="shared" ca="1" si="680"/>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5"/>
        <v>TOMAR EXAMEN</v>
      </c>
      <c r="FY182" s="22"/>
      <c r="FZ182" s="22"/>
      <c r="GA182" s="29" t="str">
        <f t="shared" ca="1" si="692"/>
        <v>NO APLICA-INGRESO TARDIO</v>
      </c>
      <c r="GB182" s="22"/>
      <c r="GC182" s="22"/>
      <c r="GD182" s="29" t="str">
        <f t="shared" ca="1" si="732"/>
        <v>PIERDE TOMA DE TAMIZAJE</v>
      </c>
      <c r="GE182" s="22"/>
      <c r="GF182" s="22"/>
      <c r="GG182" s="29" t="str">
        <f t="shared" ca="1" si="682"/>
        <v>TOMA INMEDIATA DE TAMIZAJE</v>
      </c>
      <c r="GH182" s="22"/>
      <c r="GI182" s="29"/>
      <c r="GJ182" s="22"/>
      <c r="GK182" s="22"/>
      <c r="GL182" s="22"/>
      <c r="GM182" s="22"/>
      <c r="GN182" s="28"/>
      <c r="GO182" s="22"/>
      <c r="GP182" s="29" t="str">
        <f t="shared" si="626"/>
        <v>TOMAR EXAMEN</v>
      </c>
      <c r="GQ182" s="28"/>
      <c r="GR182" s="28"/>
      <c r="GS182" s="22" t="str">
        <f t="shared" si="728"/>
        <v/>
      </c>
      <c r="GT182" s="22"/>
      <c r="GU182" s="29" t="str">
        <f t="shared" si="628"/>
        <v>TOMAR EXAMEN</v>
      </c>
      <c r="GV182" s="21" t="str">
        <f t="shared" si="629"/>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30"/>
        <v>#REF!</v>
      </c>
      <c r="HI182" s="22" t="e">
        <f t="shared" ca="1" si="631"/>
        <v>#REF!</v>
      </c>
      <c r="HJ182" s="21" t="str">
        <f t="shared" ca="1" si="632"/>
        <v>**********************MULTIPARIDAD*****************</v>
      </c>
      <c r="HK182" s="21" t="str">
        <f t="shared" si="633"/>
        <v>SIN ANTECEDENTES DE RIESGO</v>
      </c>
      <c r="HL182" s="24" t="str">
        <f t="shared" si="634"/>
        <v>APARENTEMENTE NORMAL</v>
      </c>
      <c r="HM182" s="21" t="e">
        <f t="shared" ca="1" si="635"/>
        <v>#REF!</v>
      </c>
      <c r="HN182" s="30" t="str">
        <f t="shared" si="683"/>
        <v>ACTIVA INGRESO A CPN</v>
      </c>
      <c r="HO182" s="21"/>
      <c r="HP182" s="21"/>
      <c r="HQ182" s="349"/>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6"/>
        <v>PENDIENTE CONSULTA</v>
      </c>
      <c r="IA182" s="26"/>
      <c r="IB182" s="26"/>
      <c r="IC182" s="111"/>
      <c r="ID182" s="22"/>
      <c r="IE182" s="22" t="str">
        <f t="shared" ca="1" si="637"/>
        <v>INASISTENTE</v>
      </c>
      <c r="IF182" s="22"/>
      <c r="IG182" s="22">
        <f t="shared" si="638"/>
        <v>45243</v>
      </c>
      <c r="IH182" s="29">
        <f t="shared" ca="1" si="639"/>
        <v>11</v>
      </c>
      <c r="II182" s="22" t="str">
        <f t="shared" ca="1" si="640"/>
        <v>MENOS DE 4 SEMANAS</v>
      </c>
      <c r="IJ182" s="22"/>
      <c r="IK182" s="21"/>
      <c r="IL182" s="21"/>
      <c r="IM182" s="34"/>
      <c r="IN182" s="22"/>
      <c r="IO182" s="21"/>
      <c r="IP182" s="29" t="str">
        <f t="shared" si="730"/>
        <v/>
      </c>
      <c r="IQ182" s="35"/>
      <c r="IR182" s="21"/>
      <c r="IS182" s="21"/>
      <c r="IT182" s="21"/>
      <c r="IU182" s="21"/>
      <c r="IV182" s="21"/>
      <c r="IW182" s="21"/>
      <c r="IX182" s="21"/>
      <c r="IY182" s="21"/>
      <c r="IZ182" s="21"/>
      <c r="JA182" s="21"/>
      <c r="JB182" s="30"/>
      <c r="JC182" s="21"/>
      <c r="JD182" s="36"/>
      <c r="JE182" s="21" t="str">
        <f t="shared" si="733"/>
        <v/>
      </c>
      <c r="JF182" s="30"/>
      <c r="JG182" s="21"/>
      <c r="JH182" s="21"/>
      <c r="JI182" s="21"/>
      <c r="JJ182" s="30"/>
      <c r="JK182" s="22"/>
      <c r="JL182" s="22"/>
      <c r="JM182" s="21"/>
      <c r="JN182" s="36"/>
      <c r="JO182" s="21" t="str">
        <f t="shared" si="734"/>
        <v/>
      </c>
      <c r="JP182" s="22"/>
      <c r="JQ182" s="21"/>
      <c r="JR182" s="21"/>
      <c r="JS182" s="21"/>
      <c r="JT182" s="30"/>
      <c r="JU182" s="22"/>
      <c r="JV182" s="22"/>
      <c r="JW182" s="33"/>
      <c r="JX182" s="28" t="str">
        <f t="shared" si="735"/>
        <v/>
      </c>
      <c r="JY182" s="33"/>
      <c r="JZ182" s="28" t="str">
        <f t="shared" si="736"/>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7"/>
        <v>0</v>
      </c>
      <c r="MI182" s="43" t="str">
        <f t="shared" si="698"/>
        <v/>
      </c>
      <c r="MJ182" s="43" t="str">
        <f t="shared" si="699"/>
        <v/>
      </c>
      <c r="MK182" s="43">
        <f t="shared" si="700"/>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701"/>
        <v>17.714285714285715</v>
      </c>
      <c r="MN182" s="43">
        <f t="shared" si="702"/>
        <v>6</v>
      </c>
      <c r="MO182" s="43">
        <f t="shared" si="703"/>
        <v>2023</v>
      </c>
      <c r="MP182" s="43" t="str">
        <f t="shared" si="704"/>
        <v>II TRIMESTRE AÑO</v>
      </c>
      <c r="MQ182" s="43">
        <f t="shared" si="705"/>
        <v>21.920170827858083</v>
      </c>
      <c r="MR182" s="43">
        <f t="shared" si="706"/>
        <v>0</v>
      </c>
      <c r="MS182" s="43" t="str">
        <f t="shared" si="707"/>
        <v xml:space="preserve"> DE 20 A 24 AÑOS</v>
      </c>
      <c r="MT182" s="43">
        <f t="shared" si="708"/>
        <v>0</v>
      </c>
      <c r="MU182" s="43">
        <f t="shared" si="709"/>
        <v>1</v>
      </c>
      <c r="MV182" s="43">
        <f t="shared" si="710"/>
        <v>0</v>
      </c>
      <c r="MW182" s="43">
        <f t="shared" si="711"/>
        <v>0</v>
      </c>
      <c r="MX182" s="43" t="str">
        <f t="shared" si="712"/>
        <v/>
      </c>
      <c r="MY182" s="43" t="str">
        <f t="shared" ca="1" si="737"/>
        <v/>
      </c>
      <c r="MZ182" s="43" t="str">
        <f t="shared" si="713"/>
        <v/>
      </c>
      <c r="NA182" s="43" t="str">
        <f t="shared" si="714"/>
        <v/>
      </c>
      <c r="NB182" s="43" t="str">
        <f t="shared" si="715"/>
        <v/>
      </c>
      <c r="NC182" s="43" t="str">
        <f t="shared" si="716"/>
        <v/>
      </c>
      <c r="ND182" s="43">
        <f t="shared" ca="1" si="717"/>
        <v>1</v>
      </c>
      <c r="NE182" s="43">
        <f>IF(OR(O182&gt;0,R182&gt;0),SUM(COUNTIF(Tabla1[[#This Row],[AÑOS AL INICIO5 CPN]],"&gt;=40"),COUNTIF(AS182,"0"),COUNTIF(AR182,"SI"),COUNTIF(CC182,"SI"),COUNTIF(BQ182,"&gt;119"),COUNTIF(CI182,"&gt;=35")),"")</f>
        <v>1</v>
      </c>
      <c r="NF182" s="43" t="str">
        <f t="shared" si="718"/>
        <v/>
      </c>
      <c r="NG182" s="43">
        <f t="shared" si="719"/>
        <v>0</v>
      </c>
      <c r="NH182" s="43" t="str">
        <f t="shared" si="720"/>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21"/>
        <v>X</v>
      </c>
      <c r="NM182" s="43" t="str">
        <f t="shared" si="695"/>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2"/>
        <v>II TRIM</v>
      </c>
      <c r="NQ182" s="21" t="str">
        <f t="shared" si="731"/>
        <v/>
      </c>
      <c r="NR182" s="21">
        <f t="shared" ca="1" si="738"/>
        <v>2</v>
      </c>
      <c r="NS182" s="205">
        <f t="shared" ca="1" si="723"/>
        <v>0</v>
      </c>
      <c r="NT182" s="21">
        <f t="shared" ca="1" si="724"/>
        <v>0</v>
      </c>
      <c r="NU182" s="21" t="str">
        <f t="shared" ca="1" si="725"/>
        <v>INCOMPLETO</v>
      </c>
      <c r="NV182" s="21" t="str">
        <f t="shared" ca="1" si="726"/>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7"/>
        <v>SIN VACUNAR</v>
      </c>
      <c r="NY182" s="43">
        <f>ROW(Tabla1[[#This Row],['# DE TAMIZAJES SIFILIS TOMADOS ]])</f>
        <v>182</v>
      </c>
      <c r="NZ182" s="43">
        <f t="shared" si="502"/>
        <v>17</v>
      </c>
      <c r="OA182" s="43" t="str">
        <f t="shared" si="503"/>
        <v/>
      </c>
      <c r="OB182" s="43" t="str">
        <f t="shared" si="504"/>
        <v/>
      </c>
      <c r="OC182" s="43" t="str">
        <f t="shared" si="505"/>
        <v/>
      </c>
      <c r="OD182" s="43" t="str">
        <f t="shared" si="506"/>
        <v/>
      </c>
      <c r="OE182" s="43" t="str">
        <f t="shared" si="507"/>
        <v/>
      </c>
      <c r="OF182" s="43" t="str">
        <f t="shared" si="508"/>
        <v/>
      </c>
      <c r="OG182" s="43" t="str">
        <f t="shared" si="509"/>
        <v/>
      </c>
      <c r="OH182" s="43" t="str">
        <f t="shared" si="510"/>
        <v/>
      </c>
      <c r="OI182" s="43" t="str">
        <f t="shared" si="511"/>
        <v>NORMAL</v>
      </c>
      <c r="OJ182" s="43" t="str">
        <f t="shared" si="512"/>
        <v/>
      </c>
      <c r="OK182" s="43" t="str">
        <f t="shared" si="513"/>
        <v/>
      </c>
      <c r="OL182" s="43" t="str">
        <f t="shared" si="514"/>
        <v/>
      </c>
      <c r="OM182" s="43" t="str">
        <f t="shared" si="515"/>
        <v/>
      </c>
      <c r="ON182" s="43" t="str">
        <f t="shared" si="516"/>
        <v/>
      </c>
      <c r="OO182" s="43" t="str">
        <f t="shared" si="517"/>
        <v/>
      </c>
      <c r="OP182" s="43" t="str">
        <f t="shared" si="518"/>
        <v/>
      </c>
      <c r="OQ182" s="43" t="str">
        <f t="shared" si="519"/>
        <v/>
      </c>
      <c r="OR182" s="43" t="str">
        <f t="shared" si="520"/>
        <v/>
      </c>
      <c r="OS182" s="43" t="str">
        <f t="shared" si="521"/>
        <v/>
      </c>
      <c r="OT182" s="43" t="str">
        <f t="shared" si="522"/>
        <v/>
      </c>
      <c r="OU182" s="43" t="str">
        <f t="shared" si="523"/>
        <v/>
      </c>
      <c r="OV182" s="110" t="str">
        <f t="shared" si="524"/>
        <v/>
      </c>
      <c r="OW182" s="43" t="str">
        <f t="shared" si="525"/>
        <v/>
      </c>
      <c r="OX182" s="43" t="str">
        <f t="shared" si="526"/>
        <v/>
      </c>
      <c r="OY182" s="43" t="str">
        <f t="shared" si="527"/>
        <v/>
      </c>
      <c r="OZ182" s="43" t="str">
        <f t="shared" si="528"/>
        <v/>
      </c>
      <c r="PA182" s="43" t="str">
        <f t="shared" si="529"/>
        <v/>
      </c>
      <c r="PB182" s="43" t="str">
        <f t="shared" si="530"/>
        <v/>
      </c>
      <c r="PC182" s="43" t="str">
        <f t="shared" si="531"/>
        <v/>
      </c>
      <c r="PD182" s="43" t="str">
        <f t="shared" si="532"/>
        <v/>
      </c>
      <c r="PE182" s="43" t="str">
        <f t="shared" si="533"/>
        <v/>
      </c>
      <c r="PF182" s="43" t="str">
        <f t="shared" si="534"/>
        <v/>
      </c>
      <c r="PG182" s="43" t="str">
        <f t="shared" si="535"/>
        <v/>
      </c>
      <c r="PH182" s="43" t="str">
        <f t="shared" si="536"/>
        <v/>
      </c>
      <c r="PI182" s="43">
        <f t="shared" si="537"/>
        <v>17</v>
      </c>
      <c r="PJ182" s="43" t="str">
        <f t="shared" si="538"/>
        <v/>
      </c>
      <c r="PK182" s="43" t="str">
        <f t="shared" si="539"/>
        <v/>
      </c>
      <c r="PL182" s="43" t="str">
        <f t="shared" si="540"/>
        <v/>
      </c>
      <c r="PM182" s="43" t="str">
        <f t="shared" si="541"/>
        <v/>
      </c>
      <c r="PN182" s="43" t="str">
        <f t="shared" si="542"/>
        <v/>
      </c>
      <c r="PO182" s="43" t="str">
        <f t="shared" si="543"/>
        <v/>
      </c>
      <c r="PP182" s="43" t="str">
        <f t="shared" si="544"/>
        <v/>
      </c>
      <c r="PQ182" s="43" t="str">
        <f t="shared" si="545"/>
        <v/>
      </c>
      <c r="PR182" s="43" t="str">
        <f t="shared" si="546"/>
        <v>NORMAL</v>
      </c>
      <c r="PS182" s="43" t="str">
        <f t="shared" si="547"/>
        <v/>
      </c>
      <c r="PT182" s="43" t="str">
        <f t="shared" si="548"/>
        <v/>
      </c>
      <c r="PU182" s="43" t="str">
        <f t="shared" si="549"/>
        <v/>
      </c>
      <c r="PV182" s="43" t="str">
        <f t="shared" si="550"/>
        <v/>
      </c>
      <c r="PW182" s="43" t="str">
        <f t="shared" si="551"/>
        <v/>
      </c>
      <c r="PX182" s="43" t="str">
        <f t="shared" si="552"/>
        <v/>
      </c>
      <c r="PY182" s="43" t="str">
        <f t="shared" si="553"/>
        <v/>
      </c>
      <c r="PZ182" s="43" t="str">
        <f t="shared" si="554"/>
        <v/>
      </c>
      <c r="QA182" s="43" t="str">
        <f t="shared" si="555"/>
        <v/>
      </c>
      <c r="QB182" s="43" t="str">
        <f t="shared" si="556"/>
        <v/>
      </c>
      <c r="QC182" s="43" t="str">
        <f t="shared" si="557"/>
        <v/>
      </c>
      <c r="QD182" s="43" t="str">
        <f t="shared" si="558"/>
        <v/>
      </c>
      <c r="QE182" s="43" t="str">
        <f t="shared" si="559"/>
        <v/>
      </c>
      <c r="QF182" s="43" t="str">
        <f t="shared" si="560"/>
        <v/>
      </c>
      <c r="QG182" s="43" t="str">
        <f t="shared" si="561"/>
        <v/>
      </c>
      <c r="QH182" s="43" t="str">
        <f t="shared" si="562"/>
        <v/>
      </c>
      <c r="QI182" s="43" t="str">
        <f t="shared" si="563"/>
        <v/>
      </c>
      <c r="QJ182" s="43" t="str">
        <f t="shared" si="564"/>
        <v/>
      </c>
      <c r="QK182" s="43" t="str">
        <f t="shared" si="565"/>
        <v/>
      </c>
      <c r="QL182" s="43" t="str">
        <f t="shared" si="566"/>
        <v/>
      </c>
      <c r="QM182" s="43" t="str">
        <f t="shared" si="567"/>
        <v/>
      </c>
      <c r="QN182" s="43" t="str">
        <f t="shared" si="568"/>
        <v/>
      </c>
      <c r="QO182" s="43" t="str">
        <f t="shared" si="569"/>
        <v/>
      </c>
      <c r="QP182" s="43" t="str">
        <f t="shared" si="570"/>
        <v/>
      </c>
      <c r="QQ182" s="43" t="str">
        <f t="shared" si="571"/>
        <v/>
      </c>
      <c r="QR182" s="43">
        <f t="shared" si="672"/>
        <v>17</v>
      </c>
      <c r="QS182" s="43"/>
      <c r="QT182" s="21" t="str">
        <f t="shared" si="572"/>
        <v/>
      </c>
      <c r="QU182" s="21" t="str">
        <f t="shared" si="573"/>
        <v/>
      </c>
      <c r="QV182" s="21" t="str">
        <f t="shared" si="574"/>
        <v/>
      </c>
      <c r="QW182" s="21" t="str">
        <f t="shared" si="575"/>
        <v/>
      </c>
      <c r="QX182" s="21" t="str">
        <f t="shared" si="576"/>
        <v/>
      </c>
      <c r="QY182" s="21" t="str">
        <f t="shared" si="577"/>
        <v/>
      </c>
      <c r="QZ182" s="21" t="str">
        <f t="shared" si="578"/>
        <v/>
      </c>
      <c r="RA182" s="21" t="str">
        <f t="shared" si="579"/>
        <v/>
      </c>
      <c r="RB182" s="21" t="str">
        <f t="shared" si="580"/>
        <v/>
      </c>
      <c r="RC182" s="21" t="str">
        <f t="shared" si="581"/>
        <v/>
      </c>
      <c r="RD182" s="21" t="str">
        <f t="shared" si="582"/>
        <v/>
      </c>
      <c r="RE182" s="21" t="str">
        <f t="shared" si="583"/>
        <v/>
      </c>
      <c r="RF182" s="21" t="str">
        <f t="shared" si="584"/>
        <v/>
      </c>
      <c r="RG182" s="21" t="str">
        <f t="shared" si="585"/>
        <v/>
      </c>
      <c r="RH182" s="21" t="str">
        <f t="shared" si="586"/>
        <v/>
      </c>
      <c r="RI182" s="21" t="str">
        <f t="shared" si="587"/>
        <v/>
      </c>
      <c r="RJ182" s="21" t="str">
        <f t="shared" si="588"/>
        <v/>
      </c>
      <c r="RK182" s="21" t="str">
        <f t="shared" si="589"/>
        <v/>
      </c>
      <c r="RL182" s="21" t="str">
        <f t="shared" si="590"/>
        <v/>
      </c>
      <c r="RM182" s="21" t="str">
        <f t="shared" si="591"/>
        <v/>
      </c>
      <c r="RN182" s="21" t="str">
        <f t="shared" si="592"/>
        <v/>
      </c>
      <c r="RO182" s="21" t="str">
        <f t="shared" si="593"/>
        <v/>
      </c>
      <c r="RP182" s="21" t="str">
        <f t="shared" si="594"/>
        <v/>
      </c>
      <c r="RQ182" s="21" t="str">
        <f t="shared" si="595"/>
        <v/>
      </c>
      <c r="RR182" s="21" t="str">
        <f t="shared" si="596"/>
        <v/>
      </c>
      <c r="RS182" s="21" t="str">
        <f t="shared" si="597"/>
        <v/>
      </c>
      <c r="RT182" s="21" t="str">
        <f t="shared" si="598"/>
        <v/>
      </c>
      <c r="RU182" s="21" t="str">
        <f t="shared" si="599"/>
        <v/>
      </c>
      <c r="RV182" s="21">
        <f t="shared" si="600"/>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3"/>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1"/>
        <v>19.950684931506849</v>
      </c>
      <c r="O183" s="22">
        <v>45049</v>
      </c>
      <c r="P183" s="214" t="str">
        <f t="shared" si="675"/>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2"/>
        <v>0</v>
      </c>
      <c r="BR183" s="223" t="str">
        <f t="shared" si="603"/>
        <v/>
      </c>
      <c r="BS183" s="224">
        <f t="shared" si="604"/>
        <v>10.571428571428571</v>
      </c>
      <c r="BT183" s="216" t="str">
        <f t="shared" si="605"/>
        <v>II TRIM</v>
      </c>
      <c r="BU183" s="214">
        <f t="shared" ca="1" si="606"/>
        <v>36.714285714285715</v>
      </c>
      <c r="BV183" s="25"/>
      <c r="BW183" s="22"/>
      <c r="BX183" s="28"/>
      <c r="BY183" s="28"/>
      <c r="BZ183" s="22"/>
      <c r="CA183" s="21"/>
      <c r="CB183" s="26"/>
      <c r="CC183" s="26"/>
      <c r="CD183" s="26"/>
      <c r="CE183" s="26"/>
      <c r="CF183" s="22" t="s">
        <v>1517</v>
      </c>
      <c r="CG183" s="21">
        <v>1.49</v>
      </c>
      <c r="CH183" s="21">
        <v>47</v>
      </c>
      <c r="CI183" s="214">
        <f t="shared" si="607"/>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8"/>
        <v>45049</v>
      </c>
      <c r="CL183" s="21">
        <v>47</v>
      </c>
      <c r="CM183" s="214">
        <f t="shared" si="609"/>
        <v>21.170217557767668</v>
      </c>
      <c r="CN183" s="216">
        <f t="shared" si="610"/>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9"/>
        <v/>
      </c>
      <c r="DA183" s="21">
        <v>100</v>
      </c>
      <c r="DB183" s="21">
        <v>60</v>
      </c>
      <c r="DC183" s="217" t="str">
        <f t="shared" si="611"/>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6"/>
        <v>CONCERTAR PLAN DE PARTO INMEDIATO</v>
      </c>
      <c r="DV183" s="226" t="str">
        <f t="shared" si="677"/>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2"/>
        <v>#REF!</v>
      </c>
      <c r="DY183" s="212">
        <f>IF(R183="","",IF(R183&gt;0,MAX(Tabla1[[#This Row],[FECHA C2]:[FECHA C13]],Tabla1[[#This Row],[FECHA CONSULTA PRIMERA VEZ PROGRAMA CPN ]])))</f>
        <v>45049</v>
      </c>
      <c r="DZ183" s="216">
        <f t="shared" si="613"/>
        <v>10</v>
      </c>
      <c r="EA183" s="222">
        <f>IF(R183&gt;0,SUM(COUNTA(DF183:DQ183)+COUNTA(Tabla1[[#This Row],[FECHA CONSULTA PRIMERA VEZ PROGRAMA CPN ]])),"")</f>
        <v>1</v>
      </c>
      <c r="EB183" s="222" t="str">
        <f t="shared" si="614"/>
        <v>NO</v>
      </c>
      <c r="EC183" s="214">
        <f t="shared" si="615"/>
        <v>9</v>
      </c>
      <c r="ED183" s="227">
        <f t="shared" si="616"/>
        <v>0.1111111111111111</v>
      </c>
      <c r="EE183" s="22">
        <v>45049</v>
      </c>
      <c r="EF183" s="22"/>
      <c r="EG183" s="22">
        <v>45049</v>
      </c>
      <c r="EH183" s="22"/>
      <c r="EI183" s="22">
        <v>45049</v>
      </c>
      <c r="EJ183" s="22"/>
      <c r="EK183" s="22"/>
      <c r="EL183" s="21"/>
      <c r="EM183" s="21">
        <v>12.3</v>
      </c>
      <c r="EN183" s="22">
        <v>45049</v>
      </c>
      <c r="EO183" s="222">
        <f t="shared" si="617"/>
        <v>10.571428571428571</v>
      </c>
      <c r="EP183" s="214" t="str">
        <f t="shared" si="618"/>
        <v>NORMAL- SUMINISTRAR SULFATO FERROSO</v>
      </c>
      <c r="EQ183" s="216" t="str">
        <f t="shared" si="619"/>
        <v>I TRIM</v>
      </c>
      <c r="ER183" s="24"/>
      <c r="ES183" s="22"/>
      <c r="ET183" s="29" t="str">
        <f t="shared" ca="1" si="678"/>
        <v>TOMA DE HEMOGLOBINA TARDÍA</v>
      </c>
      <c r="EU183" s="25" t="str">
        <f t="shared" si="620"/>
        <v/>
      </c>
      <c r="EV183" s="24" t="s">
        <v>1510</v>
      </c>
      <c r="EW183" s="32">
        <v>45049</v>
      </c>
      <c r="EX183" s="22"/>
      <c r="EY183" s="29">
        <f t="shared" si="693"/>
        <v>10.571428571428571</v>
      </c>
      <c r="EZ183" s="25" t="str">
        <f t="shared" si="694"/>
        <v>SIN RIESGO DE ISOINMUNIZACIÓN</v>
      </c>
      <c r="FA183" s="21">
        <v>73</v>
      </c>
      <c r="FB183" s="22">
        <v>45049</v>
      </c>
      <c r="FC183" s="29">
        <f t="shared" si="621"/>
        <v>10.571428571428571</v>
      </c>
      <c r="FD183" s="29"/>
      <c r="FE183" s="29"/>
      <c r="FF183" s="29"/>
      <c r="FG183" s="21" t="str">
        <f t="shared" ca="1" si="622"/>
        <v>TOMAR PTOG</v>
      </c>
      <c r="FH183" s="31"/>
      <c r="FI183" s="29" t="str">
        <f t="shared" si="623"/>
        <v>TOMAR EXAMEN</v>
      </c>
      <c r="FJ183" s="22"/>
      <c r="FK183" s="22"/>
      <c r="FL183" s="29" t="str">
        <f t="shared" ca="1" si="624"/>
        <v>PIERDE TOMA DE TAMIZAJE</v>
      </c>
      <c r="FM183" s="22"/>
      <c r="FN183" s="32"/>
      <c r="FO183" s="29" t="str">
        <f t="shared" ca="1" si="679"/>
        <v>PIERDE TOMA DE TAMIZAJE</v>
      </c>
      <c r="FP183" s="22"/>
      <c r="FQ183" s="32"/>
      <c r="FR183" s="29" t="str">
        <f t="shared" ca="1" si="680"/>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5"/>
        <v>TOMAR EXAMEN</v>
      </c>
      <c r="FY183" s="22" t="s">
        <v>868</v>
      </c>
      <c r="FZ183" s="22">
        <v>45049</v>
      </c>
      <c r="GA183" s="29">
        <f t="shared" ca="1" si="692"/>
        <v>10.571428571428571</v>
      </c>
      <c r="GB183" s="22"/>
      <c r="GC183" s="22"/>
      <c r="GD183" s="29" t="str">
        <f t="shared" ca="1" si="732"/>
        <v>PIERDE TOMA DE TAMIZAJE</v>
      </c>
      <c r="GE183" s="22"/>
      <c r="GF183" s="22"/>
      <c r="GG183" s="29" t="str">
        <f t="shared" ca="1" si="682"/>
        <v>TOMA INMEDIATA DE TAMIZAJE</v>
      </c>
      <c r="GH183" s="22"/>
      <c r="GI183" s="29"/>
      <c r="GJ183" s="22"/>
      <c r="GK183" s="22"/>
      <c r="GL183" s="22"/>
      <c r="GM183" s="22"/>
      <c r="GN183" s="28" t="s">
        <v>869</v>
      </c>
      <c r="GO183" s="22">
        <v>45049</v>
      </c>
      <c r="GP183" s="29">
        <f t="shared" si="626"/>
        <v>10.571428571428571</v>
      </c>
      <c r="GQ183" s="28" t="s">
        <v>869</v>
      </c>
      <c r="GR183" s="28" t="s">
        <v>869</v>
      </c>
      <c r="GS183" s="22" t="str">
        <f t="shared" si="728"/>
        <v>CONTROL Igm</v>
      </c>
      <c r="GT183" s="22">
        <v>45049</v>
      </c>
      <c r="GU183" s="29">
        <f t="shared" si="628"/>
        <v>10.571428571428571</v>
      </c>
      <c r="GV183" s="21" t="str">
        <f t="shared" si="629"/>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30"/>
        <v>#REF!</v>
      </c>
      <c r="HI183" s="22" t="e">
        <f t="shared" ca="1" si="631"/>
        <v>#REF!</v>
      </c>
      <c r="HJ183" s="21" t="str">
        <f t="shared" ca="1" si="632"/>
        <v>**********************MULTIPARIDAD*****************</v>
      </c>
      <c r="HK183" s="21" t="str">
        <f t="shared" si="633"/>
        <v>SIN ANTECEDENTES DE RIESGO</v>
      </c>
      <c r="HL183" s="24" t="str">
        <f t="shared" si="634"/>
        <v>APARENTEMENTE NORMAL</v>
      </c>
      <c r="HM183" s="21" t="e">
        <f t="shared" ca="1" si="635"/>
        <v>#REF!</v>
      </c>
      <c r="HN183" s="30" t="str">
        <f t="shared" si="683"/>
        <v>ACTIVA INGRESO A CPN</v>
      </c>
      <c r="HO183" s="21"/>
      <c r="HP183" s="21"/>
      <c r="HQ183" s="349"/>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6"/>
        <v>PENDIENTE CONSULTA</v>
      </c>
      <c r="IA183" s="26"/>
      <c r="IB183" s="26"/>
      <c r="IC183" s="111"/>
      <c r="ID183" s="22"/>
      <c r="IE183" s="22" t="str">
        <f t="shared" ca="1" si="637"/>
        <v>INASISTENTE</v>
      </c>
      <c r="IF183" s="22"/>
      <c r="IG183" s="22">
        <f t="shared" si="638"/>
        <v>45255</v>
      </c>
      <c r="IH183" s="29">
        <f t="shared" ca="1" si="639"/>
        <v>23</v>
      </c>
      <c r="II183" s="22" t="str">
        <f t="shared" ca="1" si="640"/>
        <v>MENOS DE 4 SEMANAS</v>
      </c>
      <c r="IJ183" s="22"/>
      <c r="IK183" s="21"/>
      <c r="IL183" s="21"/>
      <c r="IM183" s="34"/>
      <c r="IN183" s="22"/>
      <c r="IO183" s="21"/>
      <c r="IP183" s="29" t="str">
        <f t="shared" si="730"/>
        <v/>
      </c>
      <c r="IQ183" s="35"/>
      <c r="IR183" s="21"/>
      <c r="IS183" s="21"/>
      <c r="IT183" s="21"/>
      <c r="IU183" s="21"/>
      <c r="IV183" s="21"/>
      <c r="IW183" s="21"/>
      <c r="IX183" s="21"/>
      <c r="IY183" s="21"/>
      <c r="IZ183" s="21"/>
      <c r="JA183" s="21"/>
      <c r="JB183" s="30"/>
      <c r="JC183" s="21"/>
      <c r="JD183" s="36"/>
      <c r="JE183" s="21" t="str">
        <f t="shared" si="733"/>
        <v/>
      </c>
      <c r="JF183" s="30"/>
      <c r="JG183" s="21"/>
      <c r="JH183" s="21"/>
      <c r="JI183" s="21"/>
      <c r="JJ183" s="30"/>
      <c r="JK183" s="22"/>
      <c r="JL183" s="22"/>
      <c r="JM183" s="21"/>
      <c r="JN183" s="36"/>
      <c r="JO183" s="21" t="str">
        <f t="shared" si="734"/>
        <v/>
      </c>
      <c r="JP183" s="22"/>
      <c r="JQ183" s="21"/>
      <c r="JR183" s="21"/>
      <c r="JS183" s="21"/>
      <c r="JT183" s="30"/>
      <c r="JU183" s="22"/>
      <c r="JV183" s="22"/>
      <c r="JW183" s="33"/>
      <c r="JX183" s="28" t="str">
        <f t="shared" si="735"/>
        <v/>
      </c>
      <c r="JY183" s="33"/>
      <c r="JZ183" s="28" t="str">
        <f t="shared" si="736"/>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7"/>
        <v>0</v>
      </c>
      <c r="MI183" s="43" t="str">
        <f t="shared" si="698"/>
        <v/>
      </c>
      <c r="MJ183" s="43" t="str">
        <f t="shared" si="699"/>
        <v/>
      </c>
      <c r="MK183" s="43">
        <f t="shared" si="700"/>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701"/>
        <v>10.571428571428571</v>
      </c>
      <c r="MN183" s="43">
        <f t="shared" si="702"/>
        <v>5</v>
      </c>
      <c r="MO183" s="43">
        <f t="shared" si="703"/>
        <v>2023</v>
      </c>
      <c r="MP183" s="43" t="str">
        <f t="shared" si="704"/>
        <v>II TRIMESTRE AÑO</v>
      </c>
      <c r="MQ183" s="43">
        <f t="shared" si="705"/>
        <v>19.15790626368813</v>
      </c>
      <c r="MR183" s="43">
        <f t="shared" si="706"/>
        <v>0</v>
      </c>
      <c r="MS183" s="43" t="str">
        <f t="shared" si="707"/>
        <v>DE 14 A 19AÑOS</v>
      </c>
      <c r="MT183" s="43">
        <f t="shared" si="708"/>
        <v>0</v>
      </c>
      <c r="MU183" s="43">
        <f t="shared" si="709"/>
        <v>1</v>
      </c>
      <c r="MV183" s="43">
        <f t="shared" si="710"/>
        <v>0</v>
      </c>
      <c r="MW183" s="43">
        <f t="shared" si="711"/>
        <v>0</v>
      </c>
      <c r="MX183" s="43" t="str">
        <f t="shared" si="712"/>
        <v/>
      </c>
      <c r="MY183" s="43" t="str">
        <f t="shared" ca="1" si="737"/>
        <v/>
      </c>
      <c r="MZ183" s="43" t="str">
        <f t="shared" si="713"/>
        <v/>
      </c>
      <c r="NA183" s="43" t="str">
        <f t="shared" si="714"/>
        <v/>
      </c>
      <c r="NB183" s="43" t="str">
        <f t="shared" si="715"/>
        <v/>
      </c>
      <c r="NC183" s="43" t="str">
        <f t="shared" si="716"/>
        <v/>
      </c>
      <c r="ND183" s="43">
        <f t="shared" ca="1" si="717"/>
        <v>1</v>
      </c>
      <c r="NE183" s="43">
        <f>IF(OR(O183&gt;0,R183&gt;0),SUM(COUNTIF(Tabla1[[#This Row],[AÑOS AL INICIO5 CPN]],"&gt;=40"),COUNTIF(AS183,"0"),COUNTIF(AR183,"SI"),COUNTIF(CC183,"SI"),COUNTIF(BQ183,"&gt;119"),COUNTIF(CI183,"&gt;=35")),"")</f>
        <v>0</v>
      </c>
      <c r="NF183" s="43" t="str">
        <f t="shared" si="718"/>
        <v/>
      </c>
      <c r="NG183" s="43">
        <f t="shared" si="719"/>
        <v>0</v>
      </c>
      <c r="NH183" s="43" t="str">
        <f t="shared" si="720"/>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21"/>
        <v>X</v>
      </c>
      <c r="NM183" s="43" t="str">
        <f t="shared" si="695"/>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2"/>
        <v>I TRIM</v>
      </c>
      <c r="NQ183" s="21" t="str">
        <f t="shared" si="731"/>
        <v/>
      </c>
      <c r="NR183" s="21">
        <f t="shared" ca="1" si="738"/>
        <v>3</v>
      </c>
      <c r="NS183" s="205">
        <f t="shared" ca="1" si="723"/>
        <v>0</v>
      </c>
      <c r="NT183" s="21">
        <f t="shared" ca="1" si="724"/>
        <v>1</v>
      </c>
      <c r="NU183" s="21" t="str">
        <f t="shared" ca="1" si="725"/>
        <v>INCOMPLETO</v>
      </c>
      <c r="NV183" s="21" t="str">
        <f t="shared" ca="1" si="726"/>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7"/>
        <v>SIN VACUNAR</v>
      </c>
      <c r="NY183" s="43">
        <f>ROW(Tabla1[[#This Row],['# DE TAMIZAJES SIFILIS TOMADOS ]])</f>
        <v>183</v>
      </c>
      <c r="NZ183" s="43">
        <f t="shared" si="502"/>
        <v>10</v>
      </c>
      <c r="OA183" s="43" t="str">
        <f t="shared" si="503"/>
        <v/>
      </c>
      <c r="OB183" s="43" t="str">
        <f t="shared" si="504"/>
        <v>NORMAL</v>
      </c>
      <c r="OC183" s="43" t="str">
        <f t="shared" si="505"/>
        <v/>
      </c>
      <c r="OD183" s="43" t="str">
        <f t="shared" si="506"/>
        <v/>
      </c>
      <c r="OE183" s="43" t="str">
        <f t="shared" si="507"/>
        <v/>
      </c>
      <c r="OF183" s="43" t="str">
        <f t="shared" si="508"/>
        <v/>
      </c>
      <c r="OG183" s="43" t="str">
        <f t="shared" si="509"/>
        <v/>
      </c>
      <c r="OH183" s="43" t="str">
        <f t="shared" si="510"/>
        <v/>
      </c>
      <c r="OI183" s="43" t="str">
        <f t="shared" si="511"/>
        <v/>
      </c>
      <c r="OJ183" s="43" t="str">
        <f t="shared" si="512"/>
        <v/>
      </c>
      <c r="OK183" s="43" t="str">
        <f t="shared" si="513"/>
        <v/>
      </c>
      <c r="OL183" s="43" t="str">
        <f t="shared" si="514"/>
        <v/>
      </c>
      <c r="OM183" s="43" t="str">
        <f t="shared" si="515"/>
        <v/>
      </c>
      <c r="ON183" s="43" t="str">
        <f t="shared" si="516"/>
        <v/>
      </c>
      <c r="OO183" s="43" t="str">
        <f t="shared" si="517"/>
        <v/>
      </c>
      <c r="OP183" s="43" t="str">
        <f t="shared" si="518"/>
        <v/>
      </c>
      <c r="OQ183" s="43" t="str">
        <f t="shared" si="519"/>
        <v/>
      </c>
      <c r="OR183" s="43" t="str">
        <f t="shared" si="520"/>
        <v/>
      </c>
      <c r="OS183" s="43" t="str">
        <f t="shared" si="521"/>
        <v/>
      </c>
      <c r="OT183" s="43" t="str">
        <f t="shared" si="522"/>
        <v/>
      </c>
      <c r="OU183" s="43" t="str">
        <f t="shared" si="523"/>
        <v/>
      </c>
      <c r="OV183" s="110" t="str">
        <f t="shared" si="524"/>
        <v/>
      </c>
      <c r="OW183" s="43" t="str">
        <f t="shared" si="525"/>
        <v/>
      </c>
      <c r="OX183" s="43" t="str">
        <f t="shared" si="526"/>
        <v/>
      </c>
      <c r="OY183" s="43" t="str">
        <f t="shared" si="527"/>
        <v/>
      </c>
      <c r="OZ183" s="43" t="str">
        <f t="shared" si="528"/>
        <v/>
      </c>
      <c r="PA183" s="43" t="str">
        <f t="shared" si="529"/>
        <v/>
      </c>
      <c r="PB183" s="43" t="str">
        <f t="shared" si="530"/>
        <v/>
      </c>
      <c r="PC183" s="43" t="str">
        <f t="shared" si="531"/>
        <v/>
      </c>
      <c r="PD183" s="43" t="str">
        <f t="shared" si="532"/>
        <v/>
      </c>
      <c r="PE183" s="43" t="str">
        <f t="shared" si="533"/>
        <v/>
      </c>
      <c r="PF183" s="43" t="str">
        <f t="shared" si="534"/>
        <v/>
      </c>
      <c r="PG183" s="43" t="str">
        <f t="shared" si="535"/>
        <v/>
      </c>
      <c r="PH183" s="43" t="str">
        <f t="shared" si="536"/>
        <v/>
      </c>
      <c r="PI183" s="43">
        <f t="shared" si="537"/>
        <v>10</v>
      </c>
      <c r="PJ183" s="43" t="str">
        <f t="shared" si="538"/>
        <v/>
      </c>
      <c r="PK183" s="43" t="str">
        <f t="shared" si="539"/>
        <v>NORMAL</v>
      </c>
      <c r="PL183" s="43" t="str">
        <f t="shared" si="540"/>
        <v/>
      </c>
      <c r="PM183" s="43" t="str">
        <f t="shared" si="541"/>
        <v/>
      </c>
      <c r="PN183" s="43" t="str">
        <f t="shared" si="542"/>
        <v/>
      </c>
      <c r="PO183" s="43" t="str">
        <f t="shared" si="543"/>
        <v/>
      </c>
      <c r="PP183" s="43" t="str">
        <f t="shared" si="544"/>
        <v/>
      </c>
      <c r="PQ183" s="43" t="str">
        <f t="shared" si="545"/>
        <v/>
      </c>
      <c r="PR183" s="43" t="str">
        <f t="shared" si="546"/>
        <v/>
      </c>
      <c r="PS183" s="43" t="str">
        <f t="shared" si="547"/>
        <v/>
      </c>
      <c r="PT183" s="43" t="str">
        <f t="shared" si="548"/>
        <v/>
      </c>
      <c r="PU183" s="43" t="str">
        <f t="shared" si="549"/>
        <v/>
      </c>
      <c r="PV183" s="43" t="str">
        <f t="shared" si="550"/>
        <v/>
      </c>
      <c r="PW183" s="43" t="str">
        <f t="shared" si="551"/>
        <v/>
      </c>
      <c r="PX183" s="43" t="str">
        <f t="shared" si="552"/>
        <v/>
      </c>
      <c r="PY183" s="43" t="str">
        <f t="shared" si="553"/>
        <v/>
      </c>
      <c r="PZ183" s="43" t="str">
        <f t="shared" si="554"/>
        <v/>
      </c>
      <c r="QA183" s="43" t="str">
        <f t="shared" si="555"/>
        <v/>
      </c>
      <c r="QB183" s="43" t="str">
        <f t="shared" si="556"/>
        <v/>
      </c>
      <c r="QC183" s="43" t="str">
        <f t="shared" si="557"/>
        <v/>
      </c>
      <c r="QD183" s="43" t="str">
        <f t="shared" si="558"/>
        <v/>
      </c>
      <c r="QE183" s="43" t="str">
        <f t="shared" si="559"/>
        <v/>
      </c>
      <c r="QF183" s="43" t="str">
        <f t="shared" si="560"/>
        <v/>
      </c>
      <c r="QG183" s="43" t="str">
        <f t="shared" si="561"/>
        <v/>
      </c>
      <c r="QH183" s="43" t="str">
        <f t="shared" si="562"/>
        <v/>
      </c>
      <c r="QI183" s="43" t="str">
        <f t="shared" si="563"/>
        <v/>
      </c>
      <c r="QJ183" s="43" t="str">
        <f t="shared" si="564"/>
        <v/>
      </c>
      <c r="QK183" s="43" t="str">
        <f t="shared" si="565"/>
        <v/>
      </c>
      <c r="QL183" s="43" t="str">
        <f t="shared" si="566"/>
        <v/>
      </c>
      <c r="QM183" s="43" t="str">
        <f t="shared" si="567"/>
        <v/>
      </c>
      <c r="QN183" s="43" t="str">
        <f t="shared" si="568"/>
        <v/>
      </c>
      <c r="QO183" s="43" t="str">
        <f t="shared" si="569"/>
        <v/>
      </c>
      <c r="QP183" s="43" t="str">
        <f t="shared" si="570"/>
        <v/>
      </c>
      <c r="QQ183" s="43" t="str">
        <f t="shared" si="571"/>
        <v/>
      </c>
      <c r="QR183" s="43" t="str">
        <f t="shared" si="672"/>
        <v>Menor</v>
      </c>
      <c r="QS183" s="43"/>
      <c r="QT183" s="21" t="str">
        <f t="shared" si="572"/>
        <v/>
      </c>
      <c r="QU183" s="21" t="str">
        <f t="shared" si="573"/>
        <v/>
      </c>
      <c r="QV183" s="21" t="str">
        <f t="shared" si="574"/>
        <v/>
      </c>
      <c r="QW183" s="21" t="str">
        <f t="shared" si="575"/>
        <v/>
      </c>
      <c r="QX183" s="21" t="str">
        <f t="shared" si="576"/>
        <v/>
      </c>
      <c r="QY183" s="21" t="str">
        <f t="shared" si="577"/>
        <v/>
      </c>
      <c r="QZ183" s="21" t="str">
        <f t="shared" si="578"/>
        <v/>
      </c>
      <c r="RA183" s="21" t="str">
        <f t="shared" si="579"/>
        <v/>
      </c>
      <c r="RB183" s="21" t="str">
        <f t="shared" si="580"/>
        <v/>
      </c>
      <c r="RC183" s="21" t="str">
        <f t="shared" si="581"/>
        <v/>
      </c>
      <c r="RD183" s="21" t="str">
        <f t="shared" si="582"/>
        <v/>
      </c>
      <c r="RE183" s="21" t="str">
        <f t="shared" si="583"/>
        <v/>
      </c>
      <c r="RF183" s="21" t="str">
        <f t="shared" si="584"/>
        <v/>
      </c>
      <c r="RG183" s="21" t="str">
        <f t="shared" si="585"/>
        <v/>
      </c>
      <c r="RH183" s="21" t="str">
        <f t="shared" si="586"/>
        <v/>
      </c>
      <c r="RI183" s="21" t="str">
        <f t="shared" si="587"/>
        <v/>
      </c>
      <c r="RJ183" s="21" t="str">
        <f t="shared" si="588"/>
        <v/>
      </c>
      <c r="RK183" s="21" t="str">
        <f t="shared" si="589"/>
        <v/>
      </c>
      <c r="RL183" s="21" t="str">
        <f t="shared" si="590"/>
        <v/>
      </c>
      <c r="RM183" s="21" t="str">
        <f t="shared" si="591"/>
        <v/>
      </c>
      <c r="RN183" s="21" t="str">
        <f t="shared" si="592"/>
        <v/>
      </c>
      <c r="RO183" s="21" t="str">
        <f t="shared" si="593"/>
        <v/>
      </c>
      <c r="RP183" s="21" t="str">
        <f t="shared" si="594"/>
        <v/>
      </c>
      <c r="RQ183" s="21" t="str">
        <f t="shared" si="595"/>
        <v/>
      </c>
      <c r="RR183" s="21" t="str">
        <f t="shared" si="596"/>
        <v/>
      </c>
      <c r="RS183" s="21" t="str">
        <f t="shared" si="597"/>
        <v/>
      </c>
      <c r="RT183" s="21" t="str">
        <f t="shared" si="598"/>
        <v/>
      </c>
      <c r="RU183" s="21" t="str">
        <f t="shared" si="599"/>
        <v/>
      </c>
      <c r="RV183" s="21">
        <f t="shared" si="600"/>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3"/>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1"/>
        <v>29.676712328767124</v>
      </c>
      <c r="O184" s="22">
        <v>45051</v>
      </c>
      <c r="P184" s="214" t="str">
        <f t="shared" si="675"/>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2"/>
        <v>0</v>
      </c>
      <c r="BR184" s="223" t="str">
        <f t="shared" si="603"/>
        <v/>
      </c>
      <c r="BS184" s="224">
        <f t="shared" si="604"/>
        <v>26.142857142857142</v>
      </c>
      <c r="BT184" s="216" t="str">
        <f t="shared" si="605"/>
        <v>II TRIM</v>
      </c>
      <c r="BU184" s="214" t="str">
        <f t="shared" ca="1" si="606"/>
        <v/>
      </c>
      <c r="BV184" s="25"/>
      <c r="BW184" s="22"/>
      <c r="BX184" s="28"/>
      <c r="BY184" s="28"/>
      <c r="BZ184" s="22"/>
      <c r="CA184" s="21"/>
      <c r="CB184" s="26"/>
      <c r="CC184" s="26"/>
      <c r="CD184" s="26"/>
      <c r="CE184" s="26"/>
      <c r="CF184" s="22" t="s">
        <v>1517</v>
      </c>
      <c r="CG184" s="21">
        <v>1.45</v>
      </c>
      <c r="CH184" s="21">
        <v>67.7</v>
      </c>
      <c r="CI184" s="214">
        <f t="shared" si="607"/>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8"/>
        <v>45051</v>
      </c>
      <c r="CL184" s="21">
        <v>67.7</v>
      </c>
      <c r="CM184" s="214">
        <f t="shared" si="609"/>
        <v>32.199762187871585</v>
      </c>
      <c r="CN184" s="216">
        <f t="shared" si="610"/>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9"/>
        <v/>
      </c>
      <c r="DA184" s="21">
        <v>100</v>
      </c>
      <c r="DB184" s="21">
        <v>60</v>
      </c>
      <c r="DC184" s="217" t="str">
        <f t="shared" si="611"/>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6"/>
        <v>CONCERTAR PLAN DE PARTO INMEDIATO</v>
      </c>
      <c r="DV184" s="226" t="str">
        <f t="shared" si="677"/>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2"/>
        <v>#REF!</v>
      </c>
      <c r="DY184" s="212">
        <f>IF(R184="","",IF(R184&gt;0,MAX(Tabla1[[#This Row],[FECHA C2]:[FECHA C13]],Tabla1[[#This Row],[FECHA CONSULTA PRIMERA VEZ PROGRAMA CPN ]])))</f>
        <v>45051</v>
      </c>
      <c r="DZ184" s="216">
        <f t="shared" si="613"/>
        <v>26</v>
      </c>
      <c r="EA184" s="222">
        <f>IF(R184&gt;0,SUM(COUNTA(DF184:DQ184)+COUNTA(Tabla1[[#This Row],[FECHA CONSULTA PRIMERA VEZ PROGRAMA CPN ]])),"")</f>
        <v>1</v>
      </c>
      <c r="EB184" s="222" t="str">
        <f t="shared" si="614"/>
        <v>NO</v>
      </c>
      <c r="EC184" s="214">
        <f t="shared" si="615"/>
        <v>5</v>
      </c>
      <c r="ED184" s="227">
        <f t="shared" si="616"/>
        <v>0.2</v>
      </c>
      <c r="EE184" s="22">
        <v>45051</v>
      </c>
      <c r="EF184" s="22"/>
      <c r="EG184" s="22">
        <v>45051</v>
      </c>
      <c r="EH184" s="22"/>
      <c r="EI184" s="22">
        <v>45051</v>
      </c>
      <c r="EJ184" s="22"/>
      <c r="EK184" s="22"/>
      <c r="EL184" s="21"/>
      <c r="EM184" s="21"/>
      <c r="EN184" s="22"/>
      <c r="EO184" s="222" t="str">
        <f t="shared" si="617"/>
        <v>TOMAR EXAMEN</v>
      </c>
      <c r="EP184" s="214" t="str">
        <f t="shared" si="618"/>
        <v/>
      </c>
      <c r="EQ184" s="216" t="str">
        <f t="shared" si="619"/>
        <v>POR DEFINIR</v>
      </c>
      <c r="ER184" s="24"/>
      <c r="ES184" s="22"/>
      <c r="ET184" s="29" t="str">
        <f t="shared" ca="1" si="678"/>
        <v>TOMA DE HEMOGLOBINA TARDÍA</v>
      </c>
      <c r="EU184" s="25" t="str">
        <f t="shared" si="620"/>
        <v/>
      </c>
      <c r="EV184" s="24"/>
      <c r="EW184" s="24"/>
      <c r="EX184" s="22"/>
      <c r="EY184" s="29" t="str">
        <f t="shared" si="693"/>
        <v>TOMAR EXAMEN</v>
      </c>
      <c r="EZ184" s="25" t="str">
        <f t="shared" ca="1" si="694"/>
        <v/>
      </c>
      <c r="FA184" s="21"/>
      <c r="FB184" s="22"/>
      <c r="FC184" s="29" t="str">
        <f t="shared" si="621"/>
        <v>PIERDE TOMA TAMIZAJE- INGRESO TARDIO</v>
      </c>
      <c r="FD184" s="29"/>
      <c r="FE184" s="29"/>
      <c r="FF184" s="29"/>
      <c r="FG184" s="21" t="str">
        <f t="shared" ca="1" si="622"/>
        <v/>
      </c>
      <c r="FH184" s="31"/>
      <c r="FI184" s="29" t="str">
        <f t="shared" si="623"/>
        <v>TOMAR EXAMEN</v>
      </c>
      <c r="FJ184" s="22"/>
      <c r="FK184" s="22"/>
      <c r="FL184" s="29" t="str">
        <f t="shared" ca="1" si="624"/>
        <v>NO APLICA-INGRESO TARDIO</v>
      </c>
      <c r="FM184" s="22"/>
      <c r="FN184" s="32"/>
      <c r="FO184" s="29" t="str">
        <f t="shared" ca="1" si="679"/>
        <v>PIERDE TOMA DE TAMIZAJE</v>
      </c>
      <c r="FP184" s="22"/>
      <c r="FQ184" s="32"/>
      <c r="FR184" s="29" t="str">
        <f t="shared" ca="1" si="680"/>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5"/>
        <v>TOMAR EXAMEN</v>
      </c>
      <c r="FY184" s="22"/>
      <c r="FZ184" s="22"/>
      <c r="GA184" s="29" t="str">
        <f t="shared" ca="1" si="692"/>
        <v>NO APLICA-INGRESO TARDIO</v>
      </c>
      <c r="GB184" s="22"/>
      <c r="GC184" s="22"/>
      <c r="GD184" s="29" t="str">
        <f t="shared" ca="1" si="732"/>
        <v>PIERDE TOMA DE TAMIZAJE</v>
      </c>
      <c r="GE184" s="22"/>
      <c r="GF184" s="22"/>
      <c r="GG184" s="29" t="str">
        <f t="shared" ca="1" si="682"/>
        <v>TOMA INMEDIATA DE TAMIZAJE</v>
      </c>
      <c r="GH184" s="22"/>
      <c r="GI184" s="29"/>
      <c r="GJ184" s="22"/>
      <c r="GK184" s="22"/>
      <c r="GL184" s="22"/>
      <c r="GM184" s="22"/>
      <c r="GN184" s="28"/>
      <c r="GO184" s="22"/>
      <c r="GP184" s="29" t="str">
        <f t="shared" si="626"/>
        <v>TOMAR EXAMEN</v>
      </c>
      <c r="GQ184" s="28"/>
      <c r="GR184" s="28"/>
      <c r="GS184" s="22" t="str">
        <f t="shared" si="728"/>
        <v/>
      </c>
      <c r="GT184" s="22"/>
      <c r="GU184" s="29" t="str">
        <f t="shared" si="628"/>
        <v>TOMAR EXAMEN</v>
      </c>
      <c r="GV184" s="21" t="str">
        <f t="shared" si="629"/>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30"/>
        <v>#REF!</v>
      </c>
      <c r="HI184" s="22" t="e">
        <f t="shared" ca="1" si="631"/>
        <v>#REF!</v>
      </c>
      <c r="HJ184" s="21" t="str">
        <f t="shared" ca="1" si="632"/>
        <v>***************************************</v>
      </c>
      <c r="HK184" s="21" t="str">
        <f t="shared" si="633"/>
        <v>SIN ANTECEDENTES DE RIESGO</v>
      </c>
      <c r="HL184" s="24" t="str">
        <f t="shared" si="634"/>
        <v>APARENTEMENTE NORMAL</v>
      </c>
      <c r="HM184" s="21" t="e">
        <f t="shared" ca="1" si="635"/>
        <v>#REF!</v>
      </c>
      <c r="HN184" s="30" t="str">
        <f t="shared" si="683"/>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6"/>
        <v>PENDIENTE CONSULTA</v>
      </c>
      <c r="IA184" s="26"/>
      <c r="IB184" s="26"/>
      <c r="IC184" s="111"/>
      <c r="ID184" s="22"/>
      <c r="IE184" s="22" t="str">
        <f t="shared" ca="1" si="637"/>
        <v/>
      </c>
      <c r="IF184" s="22"/>
      <c r="IG184" s="22">
        <f t="shared" si="638"/>
        <v>45148</v>
      </c>
      <c r="IH184" s="29">
        <f t="shared" ca="1" si="639"/>
        <v>-84</v>
      </c>
      <c r="II184" s="22" t="str">
        <f t="shared" ca="1" si="640"/>
        <v>POSIBLEMENTE NACIO</v>
      </c>
      <c r="IJ184" s="22"/>
      <c r="IK184" s="21"/>
      <c r="IL184" s="21"/>
      <c r="IM184" s="34"/>
      <c r="IN184" s="349"/>
      <c r="IO184" s="21"/>
      <c r="IP184" s="29" t="str">
        <f t="shared" si="730"/>
        <v/>
      </c>
      <c r="IQ184" s="35"/>
      <c r="IR184" s="21"/>
      <c r="IS184" s="21"/>
      <c r="IT184" s="21"/>
      <c r="IU184" s="21"/>
      <c r="IV184" s="21"/>
      <c r="IW184" s="21"/>
      <c r="IX184" s="21"/>
      <c r="IY184" s="21"/>
      <c r="IZ184" s="21"/>
      <c r="JA184" s="21"/>
      <c r="JB184" s="30"/>
      <c r="JC184" s="21"/>
      <c r="JD184" s="36"/>
      <c r="JE184" s="21" t="str">
        <f t="shared" si="733"/>
        <v/>
      </c>
      <c r="JF184" s="30"/>
      <c r="JG184" s="21"/>
      <c r="JH184" s="21"/>
      <c r="JI184" s="21"/>
      <c r="JJ184" s="30"/>
      <c r="JK184" s="22"/>
      <c r="JL184" s="22"/>
      <c r="JM184" s="21"/>
      <c r="JN184" s="36"/>
      <c r="JO184" s="21" t="str">
        <f t="shared" si="734"/>
        <v/>
      </c>
      <c r="JP184" s="22"/>
      <c r="JQ184" s="21"/>
      <c r="JR184" s="21"/>
      <c r="JS184" s="21"/>
      <c r="JT184" s="30"/>
      <c r="JU184" s="22"/>
      <c r="JV184" s="22"/>
      <c r="JW184" s="33"/>
      <c r="JX184" s="28" t="str">
        <f t="shared" si="735"/>
        <v/>
      </c>
      <c r="JY184" s="33"/>
      <c r="JZ184" s="28" t="str">
        <f t="shared" si="736"/>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7"/>
        <v>0</v>
      </c>
      <c r="MI184" s="43" t="str">
        <f t="shared" si="698"/>
        <v/>
      </c>
      <c r="MJ184" s="43" t="str">
        <f t="shared" si="699"/>
        <v/>
      </c>
      <c r="MK184" s="43">
        <f t="shared" si="700"/>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701"/>
        <v>26.142857142857142</v>
      </c>
      <c r="MN184" s="43">
        <f t="shared" si="702"/>
        <v>5</v>
      </c>
      <c r="MO184" s="43">
        <f t="shared" si="703"/>
        <v>2023</v>
      </c>
      <c r="MP184" s="43" t="str">
        <f t="shared" si="704"/>
        <v>II TRIMESTRE AÑO</v>
      </c>
      <c r="MQ184" s="43">
        <f t="shared" si="705"/>
        <v>28.739597021462984</v>
      </c>
      <c r="MR184" s="43">
        <f t="shared" si="706"/>
        <v>0</v>
      </c>
      <c r="MS184" s="43" t="str">
        <f t="shared" si="707"/>
        <v xml:space="preserve"> DE 25 A 29 AÑOS</v>
      </c>
      <c r="MT184" s="43">
        <f t="shared" si="708"/>
        <v>0</v>
      </c>
      <c r="MU184" s="43">
        <f t="shared" si="709"/>
        <v>0</v>
      </c>
      <c r="MV184" s="43">
        <f t="shared" si="710"/>
        <v>0</v>
      </c>
      <c r="MW184" s="43">
        <f t="shared" si="711"/>
        <v>0</v>
      </c>
      <c r="MX184" s="43" t="str">
        <f t="shared" si="712"/>
        <v/>
      </c>
      <c r="MY184" s="43" t="str">
        <f t="shared" ca="1" si="737"/>
        <v/>
      </c>
      <c r="MZ184" s="43" t="str">
        <f t="shared" si="713"/>
        <v/>
      </c>
      <c r="NA184" s="43" t="str">
        <f t="shared" si="714"/>
        <v/>
      </c>
      <c r="NB184" s="43" t="str">
        <f t="shared" si="715"/>
        <v/>
      </c>
      <c r="NC184" s="43" t="str">
        <f t="shared" si="716"/>
        <v/>
      </c>
      <c r="ND184" s="43">
        <f t="shared" ca="1" si="717"/>
        <v>0</v>
      </c>
      <c r="NE184" s="43">
        <f>IF(OR(O184&gt;0,R184&gt;0),SUM(COUNTIF(Tabla1[[#This Row],[AÑOS AL INICIO5 CPN]],"&gt;=40"),COUNTIF(AS184,"0"),COUNTIF(AR184,"SI"),COUNTIF(CC184,"SI"),COUNTIF(BQ184,"&gt;119"),COUNTIF(CI184,"&gt;=35")),"")</f>
        <v>0</v>
      </c>
      <c r="NF184" s="43" t="str">
        <f t="shared" si="718"/>
        <v/>
      </c>
      <c r="NG184" s="43">
        <f t="shared" si="719"/>
        <v>0</v>
      </c>
      <c r="NH184" s="43" t="str">
        <f t="shared" si="720"/>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21"/>
        <v>X</v>
      </c>
      <c r="NM184" s="43" t="str">
        <f t="shared" si="695"/>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2"/>
        <v>II TRIM</v>
      </c>
      <c r="NQ184" s="21" t="str">
        <f t="shared" si="731"/>
        <v/>
      </c>
      <c r="NR184" s="21" t="str">
        <f t="shared" ca="1" si="738"/>
        <v>REVISAR FUM O FECHA SALIDA PROGRAMA</v>
      </c>
      <c r="NS184" s="205">
        <f t="shared" ca="1" si="723"/>
        <v>0</v>
      </c>
      <c r="NT184" s="21">
        <f t="shared" ca="1" si="724"/>
        <v>0</v>
      </c>
      <c r="NU184" s="21" t="str">
        <f t="shared" ca="1" si="725"/>
        <v>POR DEFINIR</v>
      </c>
      <c r="NV184" s="21" t="str">
        <f t="shared" ca="1" si="726"/>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7"/>
        <v>SIN VACUNAR</v>
      </c>
      <c r="NY184" s="43">
        <f>ROW(Tabla1[[#This Row],['# DE TAMIZAJES SIFILIS TOMADOS ]])</f>
        <v>184</v>
      </c>
      <c r="NZ184" s="43">
        <f t="shared" si="502"/>
        <v>26</v>
      </c>
      <c r="OA184" s="43" t="str">
        <f t="shared" si="503"/>
        <v/>
      </c>
      <c r="OB184" s="43" t="str">
        <f t="shared" si="504"/>
        <v/>
      </c>
      <c r="OC184" s="43" t="str">
        <f t="shared" si="505"/>
        <v/>
      </c>
      <c r="OD184" s="43" t="str">
        <f t="shared" si="506"/>
        <v/>
      </c>
      <c r="OE184" s="43" t="str">
        <f t="shared" si="507"/>
        <v/>
      </c>
      <c r="OF184" s="43" t="str">
        <f t="shared" si="508"/>
        <v/>
      </c>
      <c r="OG184" s="43" t="str">
        <f t="shared" si="509"/>
        <v/>
      </c>
      <c r="OH184" s="43" t="str">
        <f t="shared" si="510"/>
        <v/>
      </c>
      <c r="OI184" s="43" t="str">
        <f t="shared" si="511"/>
        <v/>
      </c>
      <c r="OJ184" s="43" t="str">
        <f t="shared" si="512"/>
        <v/>
      </c>
      <c r="OK184" s="43" t="str">
        <f t="shared" si="513"/>
        <v/>
      </c>
      <c r="OL184" s="43" t="str">
        <f t="shared" si="514"/>
        <v/>
      </c>
      <c r="OM184" s="43" t="str">
        <f t="shared" si="515"/>
        <v/>
      </c>
      <c r="ON184" s="43" t="str">
        <f t="shared" si="516"/>
        <v/>
      </c>
      <c r="OO184" s="43" t="str">
        <f t="shared" si="517"/>
        <v/>
      </c>
      <c r="OP184" s="43" t="str">
        <f t="shared" si="518"/>
        <v/>
      </c>
      <c r="OQ184" s="43" t="str">
        <f t="shared" si="519"/>
        <v/>
      </c>
      <c r="OR184" s="43" t="str">
        <f t="shared" si="520"/>
        <v>OBESIDAD</v>
      </c>
      <c r="OS184" s="43" t="str">
        <f t="shared" si="521"/>
        <v/>
      </c>
      <c r="OT184" s="43" t="str">
        <f t="shared" si="522"/>
        <v/>
      </c>
      <c r="OU184" s="43" t="str">
        <f t="shared" si="523"/>
        <v/>
      </c>
      <c r="OV184" s="110" t="str">
        <f t="shared" si="524"/>
        <v/>
      </c>
      <c r="OW184" s="43" t="str">
        <f t="shared" si="525"/>
        <v/>
      </c>
      <c r="OX184" s="43" t="str">
        <f t="shared" si="526"/>
        <v/>
      </c>
      <c r="OY184" s="43" t="str">
        <f t="shared" si="527"/>
        <v/>
      </c>
      <c r="OZ184" s="43" t="str">
        <f t="shared" si="528"/>
        <v/>
      </c>
      <c r="PA184" s="43" t="str">
        <f t="shared" si="529"/>
        <v/>
      </c>
      <c r="PB184" s="43" t="str">
        <f t="shared" si="530"/>
        <v/>
      </c>
      <c r="PC184" s="43" t="str">
        <f t="shared" si="531"/>
        <v/>
      </c>
      <c r="PD184" s="43" t="str">
        <f t="shared" si="532"/>
        <v/>
      </c>
      <c r="PE184" s="43" t="str">
        <f t="shared" si="533"/>
        <v/>
      </c>
      <c r="PF184" s="43" t="str">
        <f t="shared" si="534"/>
        <v/>
      </c>
      <c r="PG184" s="43" t="str">
        <f t="shared" si="535"/>
        <v/>
      </c>
      <c r="PH184" s="43" t="str">
        <f t="shared" si="536"/>
        <v/>
      </c>
      <c r="PI184" s="43">
        <f t="shared" si="537"/>
        <v>26</v>
      </c>
      <c r="PJ184" s="43" t="str">
        <f t="shared" si="538"/>
        <v/>
      </c>
      <c r="PK184" s="43" t="str">
        <f t="shared" si="539"/>
        <v/>
      </c>
      <c r="PL184" s="43" t="str">
        <f t="shared" si="540"/>
        <v/>
      </c>
      <c r="PM184" s="43" t="str">
        <f t="shared" si="541"/>
        <v/>
      </c>
      <c r="PN184" s="43" t="str">
        <f t="shared" si="542"/>
        <v/>
      </c>
      <c r="PO184" s="43" t="str">
        <f t="shared" si="543"/>
        <v/>
      </c>
      <c r="PP184" s="43" t="str">
        <f t="shared" si="544"/>
        <v/>
      </c>
      <c r="PQ184" s="43" t="str">
        <f t="shared" si="545"/>
        <v/>
      </c>
      <c r="PR184" s="43" t="str">
        <f t="shared" si="546"/>
        <v/>
      </c>
      <c r="PS184" s="43" t="str">
        <f t="shared" si="547"/>
        <v/>
      </c>
      <c r="PT184" s="43" t="str">
        <f t="shared" si="548"/>
        <v/>
      </c>
      <c r="PU184" s="43" t="str">
        <f t="shared" si="549"/>
        <v/>
      </c>
      <c r="PV184" s="43" t="str">
        <f t="shared" si="550"/>
        <v/>
      </c>
      <c r="PW184" s="43" t="str">
        <f t="shared" si="551"/>
        <v/>
      </c>
      <c r="PX184" s="43" t="str">
        <f t="shared" si="552"/>
        <v/>
      </c>
      <c r="PY184" s="43" t="str">
        <f t="shared" si="553"/>
        <v/>
      </c>
      <c r="PZ184" s="43" t="str">
        <f t="shared" si="554"/>
        <v/>
      </c>
      <c r="QA184" s="43" t="str">
        <f t="shared" si="555"/>
        <v>OBESIDAD</v>
      </c>
      <c r="QB184" s="43" t="str">
        <f t="shared" si="556"/>
        <v/>
      </c>
      <c r="QC184" s="43" t="str">
        <f t="shared" si="557"/>
        <v/>
      </c>
      <c r="QD184" s="43" t="str">
        <f t="shared" si="558"/>
        <v/>
      </c>
      <c r="QE184" s="43" t="str">
        <f t="shared" si="559"/>
        <v/>
      </c>
      <c r="QF184" s="43" t="str">
        <f t="shared" si="560"/>
        <v/>
      </c>
      <c r="QG184" s="43" t="str">
        <f t="shared" si="561"/>
        <v/>
      </c>
      <c r="QH184" s="43" t="str">
        <f t="shared" si="562"/>
        <v/>
      </c>
      <c r="QI184" s="43" t="str">
        <f t="shared" si="563"/>
        <v/>
      </c>
      <c r="QJ184" s="43" t="str">
        <f t="shared" si="564"/>
        <v/>
      </c>
      <c r="QK184" s="43" t="str">
        <f t="shared" si="565"/>
        <v/>
      </c>
      <c r="QL184" s="43" t="str">
        <f t="shared" si="566"/>
        <v/>
      </c>
      <c r="QM184" s="43" t="str">
        <f t="shared" si="567"/>
        <v/>
      </c>
      <c r="QN184" s="43" t="str">
        <f t="shared" si="568"/>
        <v/>
      </c>
      <c r="QO184" s="43" t="str">
        <f t="shared" si="569"/>
        <v/>
      </c>
      <c r="QP184" s="43" t="str">
        <f t="shared" si="570"/>
        <v/>
      </c>
      <c r="QQ184" s="43" t="str">
        <f t="shared" si="571"/>
        <v/>
      </c>
      <c r="QR184" s="43">
        <f t="shared" si="672"/>
        <v>26</v>
      </c>
      <c r="QS184" s="43"/>
      <c r="QT184" s="21" t="str">
        <f t="shared" si="572"/>
        <v/>
      </c>
      <c r="QU184" s="21" t="str">
        <f t="shared" si="573"/>
        <v/>
      </c>
      <c r="QV184" s="21" t="str">
        <f t="shared" si="574"/>
        <v/>
      </c>
      <c r="QW184" s="21" t="str">
        <f t="shared" si="575"/>
        <v/>
      </c>
      <c r="QX184" s="21" t="str">
        <f t="shared" si="576"/>
        <v/>
      </c>
      <c r="QY184" s="21" t="str">
        <f t="shared" si="577"/>
        <v/>
      </c>
      <c r="QZ184" s="21" t="str">
        <f t="shared" si="578"/>
        <v/>
      </c>
      <c r="RA184" s="21" t="str">
        <f t="shared" si="579"/>
        <v/>
      </c>
      <c r="RB184" s="21" t="str">
        <f t="shared" si="580"/>
        <v/>
      </c>
      <c r="RC184" s="21" t="str">
        <f t="shared" si="581"/>
        <v/>
      </c>
      <c r="RD184" s="21" t="str">
        <f t="shared" si="582"/>
        <v/>
      </c>
      <c r="RE184" s="21" t="str">
        <f t="shared" si="583"/>
        <v/>
      </c>
      <c r="RF184" s="21" t="str">
        <f t="shared" si="584"/>
        <v/>
      </c>
      <c r="RG184" s="21" t="str">
        <f t="shared" si="585"/>
        <v/>
      </c>
      <c r="RH184" s="21" t="str">
        <f t="shared" si="586"/>
        <v/>
      </c>
      <c r="RI184" s="21" t="str">
        <f t="shared" si="587"/>
        <v/>
      </c>
      <c r="RJ184" s="21" t="str">
        <f t="shared" si="588"/>
        <v/>
      </c>
      <c r="RK184" s="21" t="str">
        <f t="shared" si="589"/>
        <v/>
      </c>
      <c r="RL184" s="21" t="str">
        <f t="shared" si="590"/>
        <v/>
      </c>
      <c r="RM184" s="21" t="str">
        <f t="shared" si="591"/>
        <v/>
      </c>
      <c r="RN184" s="21" t="str">
        <f t="shared" si="592"/>
        <v/>
      </c>
      <c r="RO184" s="21" t="str">
        <f t="shared" si="593"/>
        <v/>
      </c>
      <c r="RP184" s="21" t="str">
        <f t="shared" si="594"/>
        <v/>
      </c>
      <c r="RQ184" s="21" t="str">
        <f t="shared" si="595"/>
        <v/>
      </c>
      <c r="RR184" s="21" t="str">
        <f t="shared" si="596"/>
        <v/>
      </c>
      <c r="RS184" s="21" t="str">
        <f t="shared" si="597"/>
        <v/>
      </c>
      <c r="RT184" s="21" t="str">
        <f t="shared" si="598"/>
        <v/>
      </c>
      <c r="RU184" s="21" t="str">
        <f t="shared" si="599"/>
        <v/>
      </c>
      <c r="RV184" s="21">
        <f t="shared" si="600"/>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3"/>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1"/>
        <v>23.835616438356166</v>
      </c>
      <c r="O185" s="22">
        <v>45051</v>
      </c>
      <c r="P185" s="214" t="str">
        <f t="shared" si="675"/>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2"/>
        <v>0</v>
      </c>
      <c r="BR185" s="223">
        <f t="shared" si="603"/>
        <v>44965.599999999999</v>
      </c>
      <c r="BS185" s="224">
        <f t="shared" si="604"/>
        <v>12.200000000000207</v>
      </c>
      <c r="BT185" s="216" t="str">
        <f t="shared" si="605"/>
        <v>II TRIM</v>
      </c>
      <c r="BU185" s="214">
        <f t="shared" ca="1" si="606"/>
        <v>38.057142857143063</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7"/>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8"/>
        <v>45146</v>
      </c>
      <c r="CL185" s="21">
        <v>52</v>
      </c>
      <c r="CM185" s="214">
        <f t="shared" si="609"/>
        <v>23.422368361785505</v>
      </c>
      <c r="CN185" s="216">
        <f t="shared" si="610"/>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9"/>
        <v/>
      </c>
      <c r="DA185" s="21">
        <v>90</v>
      </c>
      <c r="DB185" s="21">
        <v>60</v>
      </c>
      <c r="DC185" s="217" t="str">
        <f t="shared" si="611"/>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6"/>
        <v>CONCERTAR PLAN DE PARTO INMEDIATO</v>
      </c>
      <c r="DV185" s="226" t="str">
        <f t="shared" si="677"/>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2"/>
        <v>#REF!</v>
      </c>
      <c r="DY185" s="212">
        <f>IF(R185="","",IF(R185&gt;0,MAX(Tabla1[[#This Row],[FECHA C2]:[FECHA C13]],Tabla1[[#This Row],[FECHA CONSULTA PRIMERA VEZ PROGRAMA CPN ]])))</f>
        <v>45146</v>
      </c>
      <c r="DZ185" s="216">
        <f t="shared" si="613"/>
        <v>25</v>
      </c>
      <c r="EA185" s="222">
        <f>IF(R185&gt;0,SUM(COUNTA(DF185:DQ185)+COUNTA(Tabla1[[#This Row],[FECHA CONSULTA PRIMERA VEZ PROGRAMA CPN ]])),"")</f>
        <v>4</v>
      </c>
      <c r="EB185" s="222" t="str">
        <f t="shared" si="614"/>
        <v>SI</v>
      </c>
      <c r="EC185" s="214">
        <f t="shared" si="615"/>
        <v>8</v>
      </c>
      <c r="ED185" s="227">
        <f t="shared" si="616"/>
        <v>0.5</v>
      </c>
      <c r="EE185" s="22">
        <v>45051</v>
      </c>
      <c r="EF185" s="22">
        <v>45051</v>
      </c>
      <c r="EG185" s="22">
        <v>45051</v>
      </c>
      <c r="EH185" s="22">
        <v>45030</v>
      </c>
      <c r="EI185" s="22">
        <v>45051</v>
      </c>
      <c r="EJ185" s="22">
        <v>45029</v>
      </c>
      <c r="EK185" s="22">
        <v>45043</v>
      </c>
      <c r="EL185" s="21"/>
      <c r="EM185" s="21">
        <v>12.7</v>
      </c>
      <c r="EN185" s="22">
        <v>45124</v>
      </c>
      <c r="EO185" s="222">
        <f t="shared" si="617"/>
        <v>22.628571428571636</v>
      </c>
      <c r="EP185" s="214" t="str">
        <f t="shared" si="618"/>
        <v>NORMAL- SUMINISTRAR SULFATO FERROSO</v>
      </c>
      <c r="EQ185" s="216" t="str">
        <f t="shared" si="619"/>
        <v>II TRIM</v>
      </c>
      <c r="ER185" s="24"/>
      <c r="ES185" s="22"/>
      <c r="ET185" s="29" t="str">
        <f t="shared" ca="1" si="678"/>
        <v>TOMA DE HEMOGLOBINA TARDÍA</v>
      </c>
      <c r="EU185" s="25" t="str">
        <f t="shared" si="620"/>
        <v/>
      </c>
      <c r="EV185" s="24" t="s">
        <v>1510</v>
      </c>
      <c r="EW185" s="32">
        <v>44994</v>
      </c>
      <c r="EX185" s="22"/>
      <c r="EY185" s="29">
        <f t="shared" si="693"/>
        <v>4.0571428571430648</v>
      </c>
      <c r="EZ185" s="25" t="str">
        <f t="shared" si="694"/>
        <v>SIN RIESGO DE ISOINMUNIZACIÓN</v>
      </c>
      <c r="FA185" s="21">
        <v>65</v>
      </c>
      <c r="FB185" s="32">
        <v>44994</v>
      </c>
      <c r="FC185" s="29">
        <f t="shared" si="621"/>
        <v>4.0571428571430648</v>
      </c>
      <c r="FD185" s="29">
        <v>76</v>
      </c>
      <c r="FE185" s="29">
        <v>120</v>
      </c>
      <c r="FF185" s="29"/>
      <c r="FG185" s="21" t="str">
        <f t="shared" ca="1" si="622"/>
        <v>NO COMPLETA EXAMEN</v>
      </c>
      <c r="FH185" s="31">
        <v>45139</v>
      </c>
      <c r="FI185" s="29">
        <f t="shared" si="623"/>
        <v>24.771428571428778</v>
      </c>
      <c r="FJ185" s="22" t="s">
        <v>867</v>
      </c>
      <c r="FK185" s="32">
        <v>44994</v>
      </c>
      <c r="FL185" s="29">
        <f t="shared" ca="1" si="624"/>
        <v>4.0571428571430648</v>
      </c>
      <c r="FM185" s="22"/>
      <c r="FN185" s="32"/>
      <c r="FO185" s="29" t="str">
        <f t="shared" ca="1" si="679"/>
        <v>PIERDE TOMA DE TAMIZAJE</v>
      </c>
      <c r="FP185" s="22"/>
      <c r="FQ185" s="32"/>
      <c r="FR185" s="29" t="str">
        <f t="shared" ca="1" si="680"/>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5"/>
        <v>TOMAR EXAMEN</v>
      </c>
      <c r="FY185" s="22" t="s">
        <v>868</v>
      </c>
      <c r="FZ185" s="32">
        <v>44994</v>
      </c>
      <c r="GA185" s="29">
        <f t="shared" ca="1" si="692"/>
        <v>4.0571428571430648</v>
      </c>
      <c r="GB185" s="22"/>
      <c r="GC185" s="22"/>
      <c r="GD185" s="29" t="str">
        <f t="shared" ca="1" si="732"/>
        <v>PIERDE TOMA DE TAMIZAJE</v>
      </c>
      <c r="GE185" s="22"/>
      <c r="GF185" s="22"/>
      <c r="GG185" s="29" t="str">
        <f t="shared" ca="1" si="682"/>
        <v>TOMA INMEDIATA DE TAMIZAJE</v>
      </c>
      <c r="GH185" s="22"/>
      <c r="GI185" s="29"/>
      <c r="GJ185" s="22"/>
      <c r="GK185" s="22"/>
      <c r="GL185" s="22"/>
      <c r="GM185" s="22"/>
      <c r="GN185" s="28" t="s">
        <v>869</v>
      </c>
      <c r="GO185" s="32">
        <v>44994</v>
      </c>
      <c r="GP185" s="29">
        <f t="shared" si="626"/>
        <v>4.0571428571430648</v>
      </c>
      <c r="GQ185" s="28" t="s">
        <v>880</v>
      </c>
      <c r="GR185" s="28" t="s">
        <v>869</v>
      </c>
      <c r="GS185" s="22" t="str">
        <f t="shared" si="728"/>
        <v>SE EXCLUYE INFECCION</v>
      </c>
      <c r="GT185" s="32">
        <v>45066</v>
      </c>
      <c r="GU185" s="29">
        <f t="shared" si="628"/>
        <v>20</v>
      </c>
      <c r="GV185" s="21" t="str">
        <f t="shared" si="629"/>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30"/>
        <v>#REF!</v>
      </c>
      <c r="HI185" s="22" t="e">
        <f t="shared" ca="1" si="631"/>
        <v>#REF!</v>
      </c>
      <c r="HJ185" s="21" t="str">
        <f t="shared" ca="1" si="632"/>
        <v>**********************MULTIPARIDAD*****************</v>
      </c>
      <c r="HK185" s="21" t="str">
        <f t="shared" si="633"/>
        <v>SIN ANTECEDENTES DE RIESGO</v>
      </c>
      <c r="HL185" s="24" t="str">
        <f t="shared" si="634"/>
        <v>APARENTEMENTE NORMAL</v>
      </c>
      <c r="HM185" s="21" t="e">
        <f t="shared" ca="1" si="635"/>
        <v>#REF!</v>
      </c>
      <c r="HN185" s="30" t="str">
        <f t="shared" si="683"/>
        <v>ACTIVA INGRESO A CPN</v>
      </c>
      <c r="HO185" s="21"/>
      <c r="HP185" s="21"/>
      <c r="HQ185" s="349"/>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6"/>
        <v>12.200000000000207</v>
      </c>
      <c r="IA185" s="26"/>
      <c r="IB185" s="26"/>
      <c r="IC185" s="111"/>
      <c r="ID185" s="22"/>
      <c r="IE185" s="22" t="str">
        <f t="shared" ca="1" si="637"/>
        <v>INASISTENTE</v>
      </c>
      <c r="IF185" s="22"/>
      <c r="IG185" s="22">
        <f t="shared" si="638"/>
        <v>45245.599999999999</v>
      </c>
      <c r="IH185" s="29">
        <f t="shared" ca="1" si="639"/>
        <v>13.599999999998545</v>
      </c>
      <c r="II185" s="22" t="str">
        <f t="shared" ca="1" si="640"/>
        <v>MENOS DE 4 SEMANAS</v>
      </c>
      <c r="IJ185" s="22"/>
      <c r="IK185" s="21"/>
      <c r="IL185" s="21"/>
      <c r="IM185" s="34"/>
      <c r="IN185" s="22"/>
      <c r="IO185" s="21"/>
      <c r="IP185" s="29" t="str">
        <f t="shared" si="730"/>
        <v/>
      </c>
      <c r="IQ185" s="35"/>
      <c r="IR185" s="21"/>
      <c r="IS185" s="21"/>
      <c r="IT185" s="21"/>
      <c r="IU185" s="21"/>
      <c r="IV185" s="21"/>
      <c r="IW185" s="21"/>
      <c r="IX185" s="21"/>
      <c r="IY185" s="21"/>
      <c r="IZ185" s="21"/>
      <c r="JA185" s="21"/>
      <c r="JB185" s="30"/>
      <c r="JC185" s="21"/>
      <c r="JD185" s="36"/>
      <c r="JE185" s="21" t="str">
        <f t="shared" si="733"/>
        <v/>
      </c>
      <c r="JF185" s="30"/>
      <c r="JG185" s="21"/>
      <c r="JH185" s="21"/>
      <c r="JI185" s="21"/>
      <c r="JJ185" s="30"/>
      <c r="JK185" s="22"/>
      <c r="JL185" s="22"/>
      <c r="JM185" s="21"/>
      <c r="JN185" s="36"/>
      <c r="JO185" s="21" t="str">
        <f t="shared" si="734"/>
        <v/>
      </c>
      <c r="JP185" s="22"/>
      <c r="JQ185" s="21"/>
      <c r="JR185" s="21"/>
      <c r="JS185" s="21"/>
      <c r="JT185" s="30"/>
      <c r="JU185" s="22"/>
      <c r="JV185" s="22"/>
      <c r="JW185" s="33"/>
      <c r="JX185" s="28" t="str">
        <f t="shared" si="735"/>
        <v/>
      </c>
      <c r="JY185" s="33"/>
      <c r="JZ185" s="28" t="str">
        <f t="shared" si="736"/>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7"/>
        <v>0</v>
      </c>
      <c r="MI185" s="43" t="str">
        <f t="shared" si="698"/>
        <v/>
      </c>
      <c r="MJ185" s="43" t="str">
        <f t="shared" si="699"/>
        <v/>
      </c>
      <c r="MK185" s="43">
        <f t="shared" si="700"/>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701"/>
        <v>12.200000000000207</v>
      </c>
      <c r="MN185" s="43">
        <f t="shared" si="702"/>
        <v>5</v>
      </c>
      <c r="MO185" s="43">
        <f t="shared" si="703"/>
        <v>2023</v>
      </c>
      <c r="MP185" s="43" t="str">
        <f t="shared" si="704"/>
        <v>II TRIMESTRE AÑO</v>
      </c>
      <c r="MQ185" s="43">
        <f t="shared" si="705"/>
        <v>22.990582566798071</v>
      </c>
      <c r="MR185" s="43">
        <f t="shared" si="706"/>
        <v>0</v>
      </c>
      <c r="MS185" s="43" t="str">
        <f t="shared" si="707"/>
        <v xml:space="preserve"> DE 20 A 24 AÑOS</v>
      </c>
      <c r="MT185" s="43">
        <f t="shared" si="708"/>
        <v>0</v>
      </c>
      <c r="MU185" s="43">
        <f t="shared" si="709"/>
        <v>1</v>
      </c>
      <c r="MV185" s="43">
        <f t="shared" si="710"/>
        <v>0</v>
      </c>
      <c r="MW185" s="43">
        <f t="shared" si="711"/>
        <v>0</v>
      </c>
      <c r="MX185" s="43" t="str">
        <f t="shared" si="712"/>
        <v/>
      </c>
      <c r="MY185" s="43" t="str">
        <f t="shared" ca="1" si="737"/>
        <v/>
      </c>
      <c r="MZ185" s="43" t="str">
        <f t="shared" si="713"/>
        <v/>
      </c>
      <c r="NA185" s="43" t="str">
        <f t="shared" si="714"/>
        <v/>
      </c>
      <c r="NB185" s="43" t="str">
        <f t="shared" si="715"/>
        <v/>
      </c>
      <c r="NC185" s="43" t="str">
        <f t="shared" si="716"/>
        <v/>
      </c>
      <c r="ND185" s="43">
        <f t="shared" ca="1" si="717"/>
        <v>1</v>
      </c>
      <c r="NE185" s="43">
        <f>IF(OR(O185&gt;0,R185&gt;0),SUM(COUNTIF(Tabla1[[#This Row],[AÑOS AL INICIO5 CPN]],"&gt;=40"),COUNTIF(AS185,"0"),COUNTIF(AR185,"SI"),COUNTIF(CC185,"SI"),COUNTIF(BQ185,"&gt;119"),COUNTIF(CI185,"&gt;=35")),"")</f>
        <v>1</v>
      </c>
      <c r="NF185" s="43" t="str">
        <f t="shared" si="718"/>
        <v/>
      </c>
      <c r="NG185" s="43">
        <f t="shared" si="719"/>
        <v>0</v>
      </c>
      <c r="NH185" s="43">
        <f t="shared" si="720"/>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21"/>
        <v>-22</v>
      </c>
      <c r="NM185" s="43" t="str">
        <f t="shared" si="695"/>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2"/>
        <v>II TRIM</v>
      </c>
      <c r="NQ185" s="21">
        <f t="shared" si="731"/>
        <v>10</v>
      </c>
      <c r="NR185" s="21">
        <f t="shared" ca="1" si="738"/>
        <v>2</v>
      </c>
      <c r="NS185" s="205">
        <f t="shared" ca="1" si="723"/>
        <v>1</v>
      </c>
      <c r="NT185" s="21">
        <f t="shared" ca="1" si="724"/>
        <v>1</v>
      </c>
      <c r="NU185" s="21" t="str">
        <f t="shared" ca="1" si="725"/>
        <v>INCOMPLETO</v>
      </c>
      <c r="NV185" s="21" t="str">
        <f t="shared" ca="1" si="726"/>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7"/>
        <v>SIN VACUNAR</v>
      </c>
      <c r="NY185" s="43">
        <f>ROW(Tabla1[[#This Row],['# DE TAMIZAJES SIFILIS TOMADOS ]])</f>
        <v>185</v>
      </c>
      <c r="NZ185" s="43">
        <f t="shared" si="502"/>
        <v>12</v>
      </c>
      <c r="OA185" s="43" t="str">
        <f t="shared" si="503"/>
        <v/>
      </c>
      <c r="OB185" s="43" t="str">
        <f t="shared" si="504"/>
        <v/>
      </c>
      <c r="OC185" s="43" t="str">
        <f t="shared" si="505"/>
        <v/>
      </c>
      <c r="OD185" s="43" t="str">
        <f t="shared" si="506"/>
        <v>BAJO PESO</v>
      </c>
      <c r="OE185" s="43" t="str">
        <f t="shared" si="507"/>
        <v/>
      </c>
      <c r="OF185" s="43" t="str">
        <f t="shared" si="508"/>
        <v/>
      </c>
      <c r="OG185" s="43" t="str">
        <f t="shared" si="509"/>
        <v/>
      </c>
      <c r="OH185" s="43" t="str">
        <f t="shared" si="510"/>
        <v/>
      </c>
      <c r="OI185" s="43" t="str">
        <f t="shared" si="511"/>
        <v/>
      </c>
      <c r="OJ185" s="43" t="str">
        <f t="shared" si="512"/>
        <v/>
      </c>
      <c r="OK185" s="43" t="str">
        <f t="shared" si="513"/>
        <v/>
      </c>
      <c r="OL185" s="43" t="str">
        <f t="shared" si="514"/>
        <v/>
      </c>
      <c r="OM185" s="43" t="str">
        <f t="shared" si="515"/>
        <v/>
      </c>
      <c r="ON185" s="43" t="str">
        <f t="shared" si="516"/>
        <v/>
      </c>
      <c r="OO185" s="43" t="str">
        <f t="shared" si="517"/>
        <v/>
      </c>
      <c r="OP185" s="43" t="str">
        <f t="shared" si="518"/>
        <v/>
      </c>
      <c r="OQ185" s="43" t="str">
        <f t="shared" si="519"/>
        <v/>
      </c>
      <c r="OR185" s="43" t="str">
        <f t="shared" si="520"/>
        <v/>
      </c>
      <c r="OS185" s="43" t="str">
        <f t="shared" si="521"/>
        <v/>
      </c>
      <c r="OT185" s="43" t="str">
        <f t="shared" si="522"/>
        <v/>
      </c>
      <c r="OU185" s="43" t="str">
        <f t="shared" si="523"/>
        <v/>
      </c>
      <c r="OV185" s="110" t="str">
        <f t="shared" si="524"/>
        <v/>
      </c>
      <c r="OW185" s="43" t="str">
        <f t="shared" si="525"/>
        <v/>
      </c>
      <c r="OX185" s="43" t="str">
        <f t="shared" si="526"/>
        <v/>
      </c>
      <c r="OY185" s="43" t="str">
        <f t="shared" si="527"/>
        <v/>
      </c>
      <c r="OZ185" s="43" t="str">
        <f t="shared" si="528"/>
        <v/>
      </c>
      <c r="PA185" s="43" t="str">
        <f t="shared" si="529"/>
        <v/>
      </c>
      <c r="PB185" s="43" t="str">
        <f t="shared" si="530"/>
        <v/>
      </c>
      <c r="PC185" s="43" t="str">
        <f t="shared" si="531"/>
        <v/>
      </c>
      <c r="PD185" s="43" t="str">
        <f t="shared" si="532"/>
        <v/>
      </c>
      <c r="PE185" s="43" t="str">
        <f t="shared" si="533"/>
        <v/>
      </c>
      <c r="PF185" s="43" t="str">
        <f t="shared" si="534"/>
        <v/>
      </c>
      <c r="PG185" s="43" t="str">
        <f t="shared" si="535"/>
        <v/>
      </c>
      <c r="PH185" s="43" t="str">
        <f t="shared" si="536"/>
        <v/>
      </c>
      <c r="PI185" s="43">
        <f t="shared" si="537"/>
        <v>25</v>
      </c>
      <c r="PJ185" s="43" t="str">
        <f t="shared" si="538"/>
        <v/>
      </c>
      <c r="PK185" s="43" t="str">
        <f t="shared" si="539"/>
        <v/>
      </c>
      <c r="PL185" s="43" t="str">
        <f t="shared" si="540"/>
        <v/>
      </c>
      <c r="PM185" s="43" t="str">
        <f t="shared" si="541"/>
        <v/>
      </c>
      <c r="PN185" s="43" t="str">
        <f t="shared" si="542"/>
        <v/>
      </c>
      <c r="PO185" s="43" t="str">
        <f t="shared" si="543"/>
        <v/>
      </c>
      <c r="PP185" s="43" t="str">
        <f t="shared" si="544"/>
        <v/>
      </c>
      <c r="PQ185" s="43" t="str">
        <f t="shared" si="545"/>
        <v/>
      </c>
      <c r="PR185" s="43" t="str">
        <f t="shared" si="546"/>
        <v/>
      </c>
      <c r="PS185" s="43" t="str">
        <f t="shared" si="547"/>
        <v/>
      </c>
      <c r="PT185" s="43" t="str">
        <f t="shared" si="548"/>
        <v/>
      </c>
      <c r="PU185" s="43" t="str">
        <f t="shared" si="549"/>
        <v/>
      </c>
      <c r="PV185" s="43" t="str">
        <f t="shared" si="550"/>
        <v/>
      </c>
      <c r="PW185" s="43" t="str">
        <f t="shared" si="551"/>
        <v/>
      </c>
      <c r="PX185" s="43" t="str">
        <f t="shared" si="552"/>
        <v/>
      </c>
      <c r="PY185" s="43" t="str">
        <f t="shared" si="553"/>
        <v/>
      </c>
      <c r="PZ185" s="43" t="str">
        <f t="shared" si="554"/>
        <v>NORMAL</v>
      </c>
      <c r="QA185" s="43" t="str">
        <f t="shared" si="555"/>
        <v/>
      </c>
      <c r="QB185" s="43" t="str">
        <f t="shared" si="556"/>
        <v/>
      </c>
      <c r="QC185" s="43" t="str">
        <f t="shared" si="557"/>
        <v/>
      </c>
      <c r="QD185" s="43" t="str">
        <f t="shared" si="558"/>
        <v/>
      </c>
      <c r="QE185" s="43" t="str">
        <f t="shared" si="559"/>
        <v/>
      </c>
      <c r="QF185" s="43" t="str">
        <f t="shared" si="560"/>
        <v/>
      </c>
      <c r="QG185" s="43" t="str">
        <f t="shared" si="561"/>
        <v/>
      </c>
      <c r="QH185" s="43" t="str">
        <f t="shared" si="562"/>
        <v/>
      </c>
      <c r="QI185" s="43" t="str">
        <f t="shared" si="563"/>
        <v/>
      </c>
      <c r="QJ185" s="43" t="str">
        <f t="shared" si="564"/>
        <v/>
      </c>
      <c r="QK185" s="43" t="str">
        <f t="shared" si="565"/>
        <v/>
      </c>
      <c r="QL185" s="43" t="str">
        <f t="shared" si="566"/>
        <v/>
      </c>
      <c r="QM185" s="43" t="str">
        <f t="shared" si="567"/>
        <v/>
      </c>
      <c r="QN185" s="43" t="str">
        <f t="shared" si="568"/>
        <v/>
      </c>
      <c r="QO185" s="43" t="str">
        <f t="shared" si="569"/>
        <v/>
      </c>
      <c r="QP185" s="43" t="str">
        <f t="shared" si="570"/>
        <v/>
      </c>
      <c r="QQ185" s="43" t="str">
        <f t="shared" si="571"/>
        <v/>
      </c>
      <c r="QR185" s="43">
        <f t="shared" si="672"/>
        <v>25</v>
      </c>
      <c r="QS185" s="43"/>
      <c r="QT185" s="21" t="str">
        <f t="shared" si="572"/>
        <v/>
      </c>
      <c r="QU185" s="21" t="str">
        <f t="shared" si="573"/>
        <v/>
      </c>
      <c r="QV185" s="21" t="str">
        <f t="shared" si="574"/>
        <v/>
      </c>
      <c r="QW185" s="21" t="str">
        <f t="shared" si="575"/>
        <v/>
      </c>
      <c r="QX185" s="21" t="str">
        <f t="shared" si="576"/>
        <v/>
      </c>
      <c r="QY185" s="21" t="str">
        <f t="shared" si="577"/>
        <v/>
      </c>
      <c r="QZ185" s="21" t="str">
        <f t="shared" si="578"/>
        <v/>
      </c>
      <c r="RA185" s="21" t="str">
        <f t="shared" si="579"/>
        <v/>
      </c>
      <c r="RB185" s="21" t="str">
        <f t="shared" si="580"/>
        <v/>
      </c>
      <c r="RC185" s="21" t="str">
        <f t="shared" si="581"/>
        <v/>
      </c>
      <c r="RD185" s="21" t="str">
        <f t="shared" si="582"/>
        <v/>
      </c>
      <c r="RE185" s="21" t="str">
        <f t="shared" si="583"/>
        <v/>
      </c>
      <c r="RF185" s="21" t="str">
        <f t="shared" si="584"/>
        <v>ALTO PARA EDAD GESTACIONAL</v>
      </c>
      <c r="RG185" s="21" t="str">
        <f t="shared" si="585"/>
        <v/>
      </c>
      <c r="RH185" s="21" t="str">
        <f t="shared" si="586"/>
        <v/>
      </c>
      <c r="RI185" s="21" t="str">
        <f t="shared" si="587"/>
        <v/>
      </c>
      <c r="RJ185" s="21" t="str">
        <f t="shared" si="588"/>
        <v/>
      </c>
      <c r="RK185" s="21" t="str">
        <f t="shared" si="589"/>
        <v/>
      </c>
      <c r="RL185" s="21" t="str">
        <f t="shared" si="590"/>
        <v/>
      </c>
      <c r="RM185" s="21" t="str">
        <f t="shared" si="591"/>
        <v/>
      </c>
      <c r="RN185" s="21" t="str">
        <f t="shared" si="592"/>
        <v/>
      </c>
      <c r="RO185" s="21" t="str">
        <f t="shared" si="593"/>
        <v/>
      </c>
      <c r="RP185" s="21" t="str">
        <f t="shared" si="594"/>
        <v/>
      </c>
      <c r="RQ185" s="21" t="str">
        <f t="shared" si="595"/>
        <v/>
      </c>
      <c r="RR185" s="21" t="str">
        <f t="shared" si="596"/>
        <v/>
      </c>
      <c r="RS185" s="21" t="str">
        <f t="shared" si="597"/>
        <v/>
      </c>
      <c r="RT185" s="21" t="str">
        <f t="shared" si="598"/>
        <v/>
      </c>
      <c r="RU185" s="21" t="str">
        <f t="shared" si="599"/>
        <v/>
      </c>
      <c r="RV185" s="21">
        <f t="shared" si="600"/>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3"/>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1"/>
        <v>17.695890410958903</v>
      </c>
      <c r="O186" s="22">
        <v>45051</v>
      </c>
      <c r="P186" s="214" t="str">
        <f t="shared" si="675"/>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2"/>
        <v>0</v>
      </c>
      <c r="BR186" s="223" t="str">
        <f t="shared" si="603"/>
        <v/>
      </c>
      <c r="BS186" s="224">
        <f t="shared" si="604"/>
        <v>23.142857142857142</v>
      </c>
      <c r="BT186" s="216" t="str">
        <f t="shared" si="605"/>
        <v>DEFINIR CON ECO</v>
      </c>
      <c r="BU186" s="214" t="str">
        <f t="shared" ca="1" si="606"/>
        <v/>
      </c>
      <c r="BV186" s="25"/>
      <c r="BW186" s="22"/>
      <c r="BX186" s="28"/>
      <c r="BY186" s="28"/>
      <c r="BZ186" s="22"/>
      <c r="CA186" s="21"/>
      <c r="CB186" s="26"/>
      <c r="CC186" s="26"/>
      <c r="CD186" s="26"/>
      <c r="CE186" s="26"/>
      <c r="CF186" s="22" t="s">
        <v>1517</v>
      </c>
      <c r="CG186" s="21">
        <v>1.59</v>
      </c>
      <c r="CH186" s="21">
        <v>73.3</v>
      </c>
      <c r="CI186" s="214">
        <f t="shared" si="607"/>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8"/>
        <v>45051</v>
      </c>
      <c r="CL186" s="21">
        <v>73.3</v>
      </c>
      <c r="CM186" s="214">
        <f t="shared" si="609"/>
        <v>28.994106245797234</v>
      </c>
      <c r="CN186" s="216">
        <f t="shared" si="610"/>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9"/>
        <v/>
      </c>
      <c r="DA186" s="21">
        <v>100</v>
      </c>
      <c r="DB186" s="21">
        <v>60</v>
      </c>
      <c r="DC186" s="217" t="str">
        <f t="shared" si="611"/>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6"/>
        <v>SALE PROGRAMA ANTES SEMANA 35</v>
      </c>
      <c r="DV186" s="226" t="str">
        <f t="shared" si="677"/>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2"/>
        <v/>
      </c>
      <c r="DY186" s="212">
        <f>IF(R186="","",IF(R186&gt;0,MAX(Tabla1[[#This Row],[FECHA C2]:[FECHA C13]],Tabla1[[#This Row],[FECHA CONSULTA PRIMERA VEZ PROGRAMA CPN ]])))</f>
        <v>45051</v>
      </c>
      <c r="DZ186" s="216">
        <f t="shared" si="613"/>
        <v>23</v>
      </c>
      <c r="EA186" s="222">
        <f>IF(R186&gt;0,SUM(COUNTA(DF186:DQ186)+COUNTA(Tabla1[[#This Row],[FECHA CONSULTA PRIMERA VEZ PROGRAMA CPN ]])),"")</f>
        <v>1</v>
      </c>
      <c r="EB186" s="222" t="str">
        <f t="shared" si="614"/>
        <v>NO</v>
      </c>
      <c r="EC186" s="214">
        <f t="shared" si="615"/>
        <v>6</v>
      </c>
      <c r="ED186" s="227">
        <f t="shared" si="616"/>
        <v>0.16666666666666666</v>
      </c>
      <c r="EE186" s="22">
        <v>45051</v>
      </c>
      <c r="EF186" s="22"/>
      <c r="EG186" s="22">
        <v>45051</v>
      </c>
      <c r="EH186" s="22"/>
      <c r="EI186" s="22">
        <v>45051</v>
      </c>
      <c r="EJ186" s="22"/>
      <c r="EK186" s="22"/>
      <c r="EL186" s="21"/>
      <c r="EM186" s="21"/>
      <c r="EN186" s="22"/>
      <c r="EO186" s="222" t="str">
        <f t="shared" si="617"/>
        <v>TOMAR EXAMEN</v>
      </c>
      <c r="EP186" s="214" t="str">
        <f t="shared" si="618"/>
        <v/>
      </c>
      <c r="EQ186" s="216" t="str">
        <f t="shared" si="619"/>
        <v>POR DEFINIR</v>
      </c>
      <c r="ER186" s="24"/>
      <c r="ES186" s="22"/>
      <c r="ET186" s="29" t="str">
        <f t="shared" ca="1" si="678"/>
        <v>SALE SIN TAMIZAJE HEMOGLOBINA SEM 28</v>
      </c>
      <c r="EU186" s="25" t="str">
        <f t="shared" si="620"/>
        <v/>
      </c>
      <c r="EV186" s="24"/>
      <c r="EW186" s="24"/>
      <c r="EX186" s="22"/>
      <c r="EY186" s="29" t="str">
        <f t="shared" si="693"/>
        <v>TOMAR EXAMEN</v>
      </c>
      <c r="EZ186" s="25" t="str">
        <f t="shared" ca="1" si="694"/>
        <v/>
      </c>
      <c r="FA186" s="21"/>
      <c r="FB186" s="22"/>
      <c r="FC186" s="29" t="str">
        <f t="shared" si="621"/>
        <v>TOMAR EXAMEN</v>
      </c>
      <c r="FD186" s="29"/>
      <c r="FE186" s="29"/>
      <c r="FF186" s="29"/>
      <c r="FG186" s="21" t="str">
        <f t="shared" ca="1" si="622"/>
        <v/>
      </c>
      <c r="FH186" s="31"/>
      <c r="FI186" s="29" t="str">
        <f t="shared" si="623"/>
        <v>TOMAR EXAMEN</v>
      </c>
      <c r="FJ186" s="22"/>
      <c r="FK186" s="22"/>
      <c r="FL186" s="29" t="str">
        <f t="shared" ca="1" si="624"/>
        <v>NO APLICA-INGRESO TARDIO</v>
      </c>
      <c r="FM186" s="22"/>
      <c r="FN186" s="32"/>
      <c r="FO186" s="29" t="str">
        <f t="shared" ca="1" si="679"/>
        <v>PIERDE TOMA DE TAMIZAJE</v>
      </c>
      <c r="FP186" s="22"/>
      <c r="FQ186" s="32"/>
      <c r="FR186" s="29" t="str">
        <f t="shared" ca="1" si="680"/>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5"/>
        <v>TOMAR EXAMEN</v>
      </c>
      <c r="FY186" s="22"/>
      <c r="FZ186" s="22"/>
      <c r="GA186" s="29" t="str">
        <f t="shared" ca="1" si="692"/>
        <v>NO APLICA-INGRESO TARDIO</v>
      </c>
      <c r="GB186" s="22"/>
      <c r="GC186" s="22"/>
      <c r="GD186" s="29" t="str">
        <f t="shared" ca="1" si="732"/>
        <v>PIERDE TOMA DE TAMIZAJE</v>
      </c>
      <c r="GE186" s="22"/>
      <c r="GF186" s="22"/>
      <c r="GG186" s="29" t="str">
        <f t="shared" ca="1" si="682"/>
        <v>PIERDE TOMA DE TAMIZAJE</v>
      </c>
      <c r="GH186" s="22"/>
      <c r="GI186" s="29"/>
      <c r="GJ186" s="22"/>
      <c r="GK186" s="22"/>
      <c r="GL186" s="22"/>
      <c r="GM186" s="22"/>
      <c r="GN186" s="28"/>
      <c r="GO186" s="22"/>
      <c r="GP186" s="29" t="str">
        <f t="shared" si="626"/>
        <v>TOMAR EXAMEN</v>
      </c>
      <c r="GQ186" s="28"/>
      <c r="GR186" s="28"/>
      <c r="GS186" s="22" t="str">
        <f t="shared" si="728"/>
        <v/>
      </c>
      <c r="GT186" s="22"/>
      <c r="GU186" s="29" t="str">
        <f t="shared" si="628"/>
        <v>TOMAR EXAMEN</v>
      </c>
      <c r="GV186" s="21" t="str">
        <f t="shared" si="629"/>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30"/>
        <v>#REF!</v>
      </c>
      <c r="HI186" s="22" t="e">
        <f t="shared" ca="1" si="631"/>
        <v>#REF!</v>
      </c>
      <c r="HJ186" s="21" t="str">
        <f t="shared" ca="1" si="632"/>
        <v>**********************MULTIPARIDAD*****************</v>
      </c>
      <c r="HK186" s="21" t="str">
        <f t="shared" si="633"/>
        <v>SIN ANTECEDENTES DE RIESGO</v>
      </c>
      <c r="HL186" s="24" t="str">
        <f t="shared" si="634"/>
        <v>APARENTEMENTE NORMAL</v>
      </c>
      <c r="HM186" s="21" t="str">
        <f t="shared" ca="1" si="635"/>
        <v/>
      </c>
      <c r="HN186" s="30" t="str">
        <f t="shared" si="683"/>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6"/>
        <v>23.142857142857142</v>
      </c>
      <c r="IA186" s="26"/>
      <c r="IB186" s="26"/>
      <c r="IC186" s="111"/>
      <c r="ID186" s="22"/>
      <c r="IE186" s="22" t="str">
        <f t="shared" ca="1" si="637"/>
        <v>SALE SIN VACUNA</v>
      </c>
      <c r="IF186" s="22"/>
      <c r="IG186" s="22">
        <f t="shared" si="638"/>
        <v>45169</v>
      </c>
      <c r="IH186" s="29">
        <f t="shared" ca="1" si="639"/>
        <v>-63</v>
      </c>
      <c r="II186" s="22" t="str">
        <f t="shared" ca="1" si="640"/>
        <v>POSIBLEMENTE NACIO</v>
      </c>
      <c r="IJ186" s="22"/>
      <c r="IK186" s="21" t="s">
        <v>898</v>
      </c>
      <c r="IL186" s="21"/>
      <c r="IM186" s="34"/>
      <c r="IN186" s="349">
        <v>45107</v>
      </c>
      <c r="IO186" s="21" t="s">
        <v>1640</v>
      </c>
      <c r="IP186" s="29">
        <f t="shared" si="730"/>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3"/>
        <v>ERROR VERIFICAR DATO EDAD GESTACIONAL VS PESO</v>
      </c>
      <c r="JF186" s="30"/>
      <c r="JG186" s="21"/>
      <c r="JH186" s="21"/>
      <c r="JI186" s="21"/>
      <c r="JJ186" s="30"/>
      <c r="JK186" s="22"/>
      <c r="JL186" s="22"/>
      <c r="JM186" s="21"/>
      <c r="JN186" s="36"/>
      <c r="JO186" s="21" t="str">
        <f t="shared" si="734"/>
        <v/>
      </c>
      <c r="JP186" s="22"/>
      <c r="JQ186" s="21"/>
      <c r="JR186" s="21"/>
      <c r="JS186" s="21"/>
      <c r="JT186" s="30"/>
      <c r="JU186" s="22"/>
      <c r="JV186" s="22"/>
      <c r="JW186" s="33"/>
      <c r="JX186" s="28" t="str">
        <f t="shared" si="735"/>
        <v>INASISTENTE</v>
      </c>
      <c r="JY186" s="33"/>
      <c r="JZ186" s="28" t="str">
        <f t="shared" si="736"/>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7"/>
        <v>0</v>
      </c>
      <c r="MI186" s="43" t="str">
        <f t="shared" si="698"/>
        <v/>
      </c>
      <c r="MJ186" s="43" t="str">
        <f t="shared" si="699"/>
        <v/>
      </c>
      <c r="MK186" s="43">
        <f t="shared" si="700"/>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701"/>
        <v>23.142857142857142</v>
      </c>
      <c r="MN186" s="43">
        <f t="shared" si="702"/>
        <v>5</v>
      </c>
      <c r="MO186" s="43">
        <f t="shared" si="703"/>
        <v>2023</v>
      </c>
      <c r="MP186" s="43" t="str">
        <f t="shared" si="704"/>
        <v>II TRIMESTRE AÑO</v>
      </c>
      <c r="MQ186" s="43">
        <f t="shared" si="705"/>
        <v>16.945904511607534</v>
      </c>
      <c r="MR186" s="43">
        <f t="shared" si="706"/>
        <v>0</v>
      </c>
      <c r="MS186" s="43" t="str">
        <f t="shared" si="707"/>
        <v>DE 14 A 19AÑOS</v>
      </c>
      <c r="MT186" s="43">
        <f t="shared" si="708"/>
        <v>0</v>
      </c>
      <c r="MU186" s="43">
        <f t="shared" si="709"/>
        <v>1</v>
      </c>
      <c r="MV186" s="43">
        <f t="shared" si="710"/>
        <v>0</v>
      </c>
      <c r="MW186" s="43">
        <f t="shared" si="711"/>
        <v>0</v>
      </c>
      <c r="MX186" s="43" t="str">
        <f t="shared" si="712"/>
        <v/>
      </c>
      <c r="MY186" s="43" t="str">
        <f t="shared" ca="1" si="737"/>
        <v/>
      </c>
      <c r="MZ186" s="43" t="str">
        <f t="shared" si="713"/>
        <v/>
      </c>
      <c r="NA186" s="43" t="str">
        <f t="shared" si="714"/>
        <v/>
      </c>
      <c r="NB186" s="43" t="str">
        <f t="shared" si="715"/>
        <v/>
      </c>
      <c r="NC186" s="43" t="str">
        <f t="shared" si="716"/>
        <v/>
      </c>
      <c r="ND186" s="43">
        <f t="shared" ca="1" si="717"/>
        <v>1</v>
      </c>
      <c r="NE186" s="43">
        <f>IF(OR(O186&gt;0,R186&gt;0),SUM(COUNTIF(Tabla1[[#This Row],[AÑOS AL INICIO5 CPN]],"&gt;=40"),COUNTIF(AS186,"0"),COUNTIF(AR186,"SI"),COUNTIF(CC186,"SI"),COUNTIF(BQ186,"&gt;119"),COUNTIF(CI186,"&gt;=35")),"")</f>
        <v>1</v>
      </c>
      <c r="NF186" s="43" t="str">
        <f t="shared" si="718"/>
        <v/>
      </c>
      <c r="NG186" s="43">
        <f t="shared" si="719"/>
        <v>0</v>
      </c>
      <c r="NH186" s="43" t="str">
        <f t="shared" si="720"/>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21"/>
        <v>X</v>
      </c>
      <c r="NM186" s="43" t="str">
        <f t="shared" si="695"/>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2"/>
        <v>DEFINIR CON ECO</v>
      </c>
      <c r="NQ186" s="21" t="str">
        <f t="shared" si="731"/>
        <v/>
      </c>
      <c r="NR186" s="21">
        <f t="shared" si="738"/>
        <v>2</v>
      </c>
      <c r="NS186" s="205">
        <f t="shared" ca="1" si="723"/>
        <v>0</v>
      </c>
      <c r="NT186" s="21">
        <f t="shared" ca="1" si="724"/>
        <v>0</v>
      </c>
      <c r="NU186" s="21" t="str">
        <f t="shared" ca="1" si="725"/>
        <v>INCOMPLETO</v>
      </c>
      <c r="NV186" s="21" t="str">
        <f t="shared" ca="1" si="726"/>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7"/>
        <v>SIN VACUNAR</v>
      </c>
      <c r="NY186" s="43">
        <f>ROW(Tabla1[[#This Row],['# DE TAMIZAJES SIFILIS TOMADOS ]])</f>
        <v>186</v>
      </c>
      <c r="NZ186" s="43">
        <f t="shared" si="502"/>
        <v>23</v>
      </c>
      <c r="OA186" s="43" t="str">
        <f t="shared" si="503"/>
        <v/>
      </c>
      <c r="OB186" s="43" t="str">
        <f t="shared" si="504"/>
        <v/>
      </c>
      <c r="OC186" s="43" t="str">
        <f t="shared" si="505"/>
        <v/>
      </c>
      <c r="OD186" s="43" t="str">
        <f t="shared" si="506"/>
        <v/>
      </c>
      <c r="OE186" s="43" t="str">
        <f t="shared" si="507"/>
        <v/>
      </c>
      <c r="OF186" s="43" t="str">
        <f t="shared" si="508"/>
        <v/>
      </c>
      <c r="OG186" s="43" t="str">
        <f t="shared" si="509"/>
        <v/>
      </c>
      <c r="OH186" s="43" t="str">
        <f t="shared" si="510"/>
        <v/>
      </c>
      <c r="OI186" s="43" t="str">
        <f t="shared" si="511"/>
        <v/>
      </c>
      <c r="OJ186" s="43" t="str">
        <f t="shared" si="512"/>
        <v/>
      </c>
      <c r="OK186" s="43" t="str">
        <f t="shared" si="513"/>
        <v/>
      </c>
      <c r="OL186" s="43" t="str">
        <f t="shared" si="514"/>
        <v/>
      </c>
      <c r="OM186" s="43" t="str">
        <f t="shared" si="515"/>
        <v/>
      </c>
      <c r="ON186" s="43" t="str">
        <f t="shared" si="516"/>
        <v/>
      </c>
      <c r="OO186" s="43" t="str">
        <f t="shared" si="517"/>
        <v>SOBREPESO</v>
      </c>
      <c r="OP186" s="43" t="str">
        <f t="shared" si="518"/>
        <v/>
      </c>
      <c r="OQ186" s="43" t="str">
        <f t="shared" si="519"/>
        <v/>
      </c>
      <c r="OR186" s="43" t="str">
        <f t="shared" si="520"/>
        <v/>
      </c>
      <c r="OS186" s="43" t="str">
        <f t="shared" si="521"/>
        <v/>
      </c>
      <c r="OT186" s="43" t="str">
        <f t="shared" si="522"/>
        <v/>
      </c>
      <c r="OU186" s="43" t="str">
        <f t="shared" si="523"/>
        <v/>
      </c>
      <c r="OV186" s="110" t="str">
        <f t="shared" si="524"/>
        <v/>
      </c>
      <c r="OW186" s="43" t="str">
        <f t="shared" si="525"/>
        <v/>
      </c>
      <c r="OX186" s="43" t="str">
        <f t="shared" si="526"/>
        <v/>
      </c>
      <c r="OY186" s="43" t="str">
        <f t="shared" si="527"/>
        <v/>
      </c>
      <c r="OZ186" s="43" t="str">
        <f t="shared" si="528"/>
        <v/>
      </c>
      <c r="PA186" s="43" t="str">
        <f t="shared" si="529"/>
        <v/>
      </c>
      <c r="PB186" s="43" t="str">
        <f t="shared" si="530"/>
        <v/>
      </c>
      <c r="PC186" s="43" t="str">
        <f t="shared" si="531"/>
        <v/>
      </c>
      <c r="PD186" s="43" t="str">
        <f t="shared" si="532"/>
        <v/>
      </c>
      <c r="PE186" s="43" t="str">
        <f t="shared" si="533"/>
        <v/>
      </c>
      <c r="PF186" s="43" t="str">
        <f t="shared" si="534"/>
        <v/>
      </c>
      <c r="PG186" s="43" t="str">
        <f t="shared" si="535"/>
        <v/>
      </c>
      <c r="PH186" s="43" t="str">
        <f t="shared" si="536"/>
        <v/>
      </c>
      <c r="PI186" s="43">
        <f t="shared" si="537"/>
        <v>23</v>
      </c>
      <c r="PJ186" s="43" t="str">
        <f t="shared" si="538"/>
        <v/>
      </c>
      <c r="PK186" s="43" t="str">
        <f t="shared" si="539"/>
        <v/>
      </c>
      <c r="PL186" s="43" t="str">
        <f t="shared" si="540"/>
        <v/>
      </c>
      <c r="PM186" s="43" t="str">
        <f t="shared" si="541"/>
        <v/>
      </c>
      <c r="PN186" s="43" t="str">
        <f t="shared" si="542"/>
        <v/>
      </c>
      <c r="PO186" s="43" t="str">
        <f t="shared" si="543"/>
        <v/>
      </c>
      <c r="PP186" s="43" t="str">
        <f t="shared" si="544"/>
        <v/>
      </c>
      <c r="PQ186" s="43" t="str">
        <f t="shared" si="545"/>
        <v/>
      </c>
      <c r="PR186" s="43" t="str">
        <f t="shared" si="546"/>
        <v/>
      </c>
      <c r="PS186" s="43" t="str">
        <f t="shared" si="547"/>
        <v/>
      </c>
      <c r="PT186" s="43" t="str">
        <f t="shared" si="548"/>
        <v/>
      </c>
      <c r="PU186" s="43" t="str">
        <f t="shared" si="549"/>
        <v/>
      </c>
      <c r="PV186" s="43" t="str">
        <f t="shared" si="550"/>
        <v/>
      </c>
      <c r="PW186" s="43" t="str">
        <f t="shared" si="551"/>
        <v/>
      </c>
      <c r="PX186" s="43" t="str">
        <f t="shared" si="552"/>
        <v>SOBREPESO</v>
      </c>
      <c r="PY186" s="43" t="str">
        <f t="shared" si="553"/>
        <v/>
      </c>
      <c r="PZ186" s="43" t="str">
        <f t="shared" si="554"/>
        <v/>
      </c>
      <c r="QA186" s="43" t="str">
        <f t="shared" si="555"/>
        <v/>
      </c>
      <c r="QB186" s="43" t="str">
        <f t="shared" si="556"/>
        <v/>
      </c>
      <c r="QC186" s="43" t="str">
        <f t="shared" si="557"/>
        <v/>
      </c>
      <c r="QD186" s="43" t="str">
        <f t="shared" si="558"/>
        <v/>
      </c>
      <c r="QE186" s="43" t="str">
        <f t="shared" si="559"/>
        <v/>
      </c>
      <c r="QF186" s="43" t="str">
        <f t="shared" si="560"/>
        <v/>
      </c>
      <c r="QG186" s="43" t="str">
        <f t="shared" si="561"/>
        <v/>
      </c>
      <c r="QH186" s="43" t="str">
        <f t="shared" si="562"/>
        <v/>
      </c>
      <c r="QI186" s="43" t="str">
        <f t="shared" si="563"/>
        <v/>
      </c>
      <c r="QJ186" s="43" t="str">
        <f t="shared" si="564"/>
        <v/>
      </c>
      <c r="QK186" s="43" t="str">
        <f t="shared" si="565"/>
        <v/>
      </c>
      <c r="QL186" s="43" t="str">
        <f t="shared" si="566"/>
        <v/>
      </c>
      <c r="QM186" s="43" t="str">
        <f t="shared" si="567"/>
        <v/>
      </c>
      <c r="QN186" s="43" t="str">
        <f t="shared" si="568"/>
        <v/>
      </c>
      <c r="QO186" s="43" t="str">
        <f t="shared" si="569"/>
        <v/>
      </c>
      <c r="QP186" s="43" t="str">
        <f t="shared" si="570"/>
        <v/>
      </c>
      <c r="QQ186" s="43" t="str">
        <f t="shared" si="571"/>
        <v/>
      </c>
      <c r="QR186" s="43">
        <f t="shared" si="672"/>
        <v>23</v>
      </c>
      <c r="QS186" s="43"/>
      <c r="QT186" s="21" t="str">
        <f t="shared" si="572"/>
        <v/>
      </c>
      <c r="QU186" s="21" t="str">
        <f t="shared" si="573"/>
        <v/>
      </c>
      <c r="QV186" s="21" t="str">
        <f t="shared" si="574"/>
        <v/>
      </c>
      <c r="QW186" s="21" t="str">
        <f t="shared" si="575"/>
        <v/>
      </c>
      <c r="QX186" s="21" t="str">
        <f t="shared" si="576"/>
        <v/>
      </c>
      <c r="QY186" s="21" t="str">
        <f t="shared" si="577"/>
        <v/>
      </c>
      <c r="QZ186" s="21" t="str">
        <f t="shared" si="578"/>
        <v/>
      </c>
      <c r="RA186" s="21" t="str">
        <f t="shared" si="579"/>
        <v/>
      </c>
      <c r="RB186" s="21" t="str">
        <f t="shared" si="580"/>
        <v/>
      </c>
      <c r="RC186" s="21" t="str">
        <f t="shared" si="581"/>
        <v/>
      </c>
      <c r="RD186" s="21" t="str">
        <f t="shared" si="582"/>
        <v>ALTO PARA EDAD GESTACIONAL</v>
      </c>
      <c r="RE186" s="21" t="str">
        <f t="shared" si="583"/>
        <v/>
      </c>
      <c r="RF186" s="21" t="str">
        <f t="shared" si="584"/>
        <v/>
      </c>
      <c r="RG186" s="21" t="str">
        <f t="shared" si="585"/>
        <v/>
      </c>
      <c r="RH186" s="21" t="str">
        <f t="shared" si="586"/>
        <v/>
      </c>
      <c r="RI186" s="21" t="str">
        <f t="shared" si="587"/>
        <v/>
      </c>
      <c r="RJ186" s="21" t="str">
        <f t="shared" si="588"/>
        <v/>
      </c>
      <c r="RK186" s="21" t="str">
        <f t="shared" si="589"/>
        <v/>
      </c>
      <c r="RL186" s="21" t="str">
        <f t="shared" si="590"/>
        <v/>
      </c>
      <c r="RM186" s="21" t="str">
        <f t="shared" si="591"/>
        <v/>
      </c>
      <c r="RN186" s="21" t="str">
        <f t="shared" si="592"/>
        <v/>
      </c>
      <c r="RO186" s="21" t="str">
        <f t="shared" si="593"/>
        <v/>
      </c>
      <c r="RP186" s="21" t="str">
        <f t="shared" si="594"/>
        <v/>
      </c>
      <c r="RQ186" s="21" t="str">
        <f t="shared" si="595"/>
        <v/>
      </c>
      <c r="RR186" s="21" t="str">
        <f t="shared" si="596"/>
        <v/>
      </c>
      <c r="RS186" s="21" t="str">
        <f t="shared" si="597"/>
        <v/>
      </c>
      <c r="RT186" s="21" t="str">
        <f t="shared" si="598"/>
        <v/>
      </c>
      <c r="RU186" s="21" t="str">
        <f t="shared" si="599"/>
        <v/>
      </c>
      <c r="RV186" s="21">
        <f t="shared" si="600"/>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3"/>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1"/>
        <v>38.69041095890411</v>
      </c>
      <c r="O187" s="22">
        <v>45051</v>
      </c>
      <c r="P187" s="214" t="str">
        <f t="shared" si="675"/>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2"/>
        <v>0</v>
      </c>
      <c r="BR187" s="223" t="str">
        <f t="shared" si="603"/>
        <v/>
      </c>
      <c r="BS187" s="224">
        <f t="shared" si="604"/>
        <v>6.4285714285714288</v>
      </c>
      <c r="BT187" s="216" t="str">
        <f t="shared" si="605"/>
        <v>I TRIM</v>
      </c>
      <c r="BU187" s="214">
        <f t="shared" ca="1" si="606"/>
        <v>32.285714285714285</v>
      </c>
      <c r="BV187" s="25"/>
      <c r="BW187" s="22"/>
      <c r="BX187" s="28"/>
      <c r="BY187" s="28"/>
      <c r="BZ187" s="22"/>
      <c r="CA187" s="21"/>
      <c r="CB187" s="26"/>
      <c r="CC187" s="26"/>
      <c r="CD187" s="26"/>
      <c r="CE187" s="26"/>
      <c r="CF187" s="22" t="s">
        <v>1517</v>
      </c>
      <c r="CG187" s="21">
        <v>1.49</v>
      </c>
      <c r="CH187" s="21">
        <v>53.4</v>
      </c>
      <c r="CI187" s="214">
        <f t="shared" si="607"/>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8"/>
        <v>45051</v>
      </c>
      <c r="CL187" s="21">
        <v>53.8</v>
      </c>
      <c r="CM187" s="214">
        <f t="shared" si="609"/>
        <v>24.233142651231926</v>
      </c>
      <c r="CN187" s="216">
        <f t="shared" si="610"/>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9"/>
        <v/>
      </c>
      <c r="DA187" s="21">
        <v>100</v>
      </c>
      <c r="DB187" s="21">
        <v>60</v>
      </c>
      <c r="DC187" s="217" t="str">
        <f t="shared" si="611"/>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6"/>
        <v>PLANEAR PLAN DE PARTO</v>
      </c>
      <c r="DV187" s="226" t="str">
        <f t="shared" si="677"/>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2"/>
        <v>#REF!</v>
      </c>
      <c r="DY187" s="212">
        <f>IF(R187="","",IF(R187&gt;0,MAX(Tabla1[[#This Row],[FECHA C2]:[FECHA C13]],Tabla1[[#This Row],[FECHA CONSULTA PRIMERA VEZ PROGRAMA CPN ]])))</f>
        <v>45051</v>
      </c>
      <c r="DZ187" s="216">
        <f t="shared" si="613"/>
        <v>6</v>
      </c>
      <c r="EA187" s="222">
        <f>IF(R187&gt;0,SUM(COUNTA(DF187:DQ187)+COUNTA(Tabla1[[#This Row],[FECHA CONSULTA PRIMERA VEZ PROGRAMA CPN ]])),"")</f>
        <v>1</v>
      </c>
      <c r="EB187" s="222" t="str">
        <f t="shared" si="614"/>
        <v>NO</v>
      </c>
      <c r="EC187" s="214">
        <f t="shared" si="615"/>
        <v>10</v>
      </c>
      <c r="ED187" s="227">
        <f t="shared" si="616"/>
        <v>0.1</v>
      </c>
      <c r="EE187" s="22">
        <v>45051</v>
      </c>
      <c r="EF187" s="22"/>
      <c r="EG187" s="22">
        <v>45051</v>
      </c>
      <c r="EH187" s="22"/>
      <c r="EI187" s="22">
        <v>45051</v>
      </c>
      <c r="EJ187" s="22"/>
      <c r="EK187" s="22"/>
      <c r="EL187" s="21"/>
      <c r="EM187" s="21"/>
      <c r="EN187" s="22"/>
      <c r="EO187" s="222" t="str">
        <f t="shared" si="617"/>
        <v>TOMAR EXAMEN</v>
      </c>
      <c r="EP187" s="214" t="str">
        <f t="shared" si="618"/>
        <v/>
      </c>
      <c r="EQ187" s="216" t="str">
        <f t="shared" si="619"/>
        <v>POR DEFINIR</v>
      </c>
      <c r="ER187" s="24"/>
      <c r="ES187" s="22"/>
      <c r="ET187" s="29" t="str">
        <f t="shared" ca="1" si="678"/>
        <v>TOMA DE HEMOGLOBINA TARDÍA</v>
      </c>
      <c r="EU187" s="25" t="str">
        <f t="shared" si="620"/>
        <v/>
      </c>
      <c r="EV187" s="24"/>
      <c r="EW187" s="24"/>
      <c r="EX187" s="22"/>
      <c r="EY187" s="29" t="str">
        <f t="shared" si="693"/>
        <v>TOMAR EXAMEN</v>
      </c>
      <c r="EZ187" s="25" t="str">
        <f t="shared" ca="1" si="694"/>
        <v/>
      </c>
      <c r="FA187" s="21">
        <v>70</v>
      </c>
      <c r="FB187" s="22">
        <v>45066</v>
      </c>
      <c r="FC187" s="29">
        <f t="shared" si="621"/>
        <v>8.5714285714285712</v>
      </c>
      <c r="FD187" s="29"/>
      <c r="FE187" s="29"/>
      <c r="FF187" s="29"/>
      <c r="FG187" s="21" t="str">
        <f t="shared" ca="1" si="622"/>
        <v>TOMAR PTOG</v>
      </c>
      <c r="FH187" s="31"/>
      <c r="FI187" s="29" t="str">
        <f t="shared" si="623"/>
        <v>TOMAR EXAMEN</v>
      </c>
      <c r="FJ187" s="22" t="s">
        <v>867</v>
      </c>
      <c r="FK187" s="22">
        <v>45066</v>
      </c>
      <c r="FL187" s="29">
        <f t="shared" ca="1" si="624"/>
        <v>8.5714285714285712</v>
      </c>
      <c r="FM187" s="22"/>
      <c r="FN187" s="22"/>
      <c r="FO187" s="29" t="str">
        <f t="shared" ca="1" si="679"/>
        <v>PIERDE TOMA DE TAMIZAJE</v>
      </c>
      <c r="FP187" s="22"/>
      <c r="FQ187" s="32"/>
      <c r="FR187" s="29" t="str">
        <f t="shared" ca="1" si="680"/>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5"/>
        <v>TOMAR EXAMEN</v>
      </c>
      <c r="FY187" s="22" t="s">
        <v>868</v>
      </c>
      <c r="FZ187" s="22">
        <v>45066</v>
      </c>
      <c r="GA187" s="29">
        <f t="shared" ca="1" si="692"/>
        <v>8.5714285714285712</v>
      </c>
      <c r="GB187" s="22"/>
      <c r="GC187" s="22"/>
      <c r="GD187" s="29" t="str">
        <f t="shared" ca="1" si="732"/>
        <v>PIERDE TOMA DE TAMIZAJE</v>
      </c>
      <c r="GE187" s="22"/>
      <c r="GF187" s="22"/>
      <c r="GG187" s="29" t="str">
        <f t="shared" ca="1" si="682"/>
        <v>EN RANGO PARA TOMAR EXAMEN</v>
      </c>
      <c r="GH187" s="22"/>
      <c r="GI187" s="29"/>
      <c r="GJ187" s="22"/>
      <c r="GK187" s="22"/>
      <c r="GL187" s="22"/>
      <c r="GM187" s="22"/>
      <c r="GN187" s="28" t="s">
        <v>869</v>
      </c>
      <c r="GO187" s="22">
        <v>45066</v>
      </c>
      <c r="GP187" s="29">
        <f t="shared" si="626"/>
        <v>8.5714285714285712</v>
      </c>
      <c r="GQ187" s="28" t="s">
        <v>869</v>
      </c>
      <c r="GR187" s="28" t="s">
        <v>869</v>
      </c>
      <c r="GS187" s="22" t="str">
        <f t="shared" si="728"/>
        <v>CONTROL Igm</v>
      </c>
      <c r="GT187" s="22">
        <v>45066</v>
      </c>
      <c r="GU187" s="29">
        <f t="shared" si="628"/>
        <v>8.5714285714285712</v>
      </c>
      <c r="GV187" s="21" t="str">
        <f t="shared" si="629"/>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30"/>
        <v>#REF!</v>
      </c>
      <c r="HI187" s="22" t="str">
        <f t="shared" si="631"/>
        <v>ALTO RIESGO</v>
      </c>
      <c r="HJ187" s="21" t="str">
        <f t="shared" ca="1" si="632"/>
        <v>*ANTECEDENTE PREECLAMPSIA***********************RIESGO POR EDAD*CESAREAS PREVIAS**************</v>
      </c>
      <c r="HK187" s="21" t="str">
        <f t="shared" si="633"/>
        <v>RIESGO ALTO DE COMPLICACIONES HIPERTENSIVAS VER MANEJO GUIA SUMINISTRO ASA Y CALCIO</v>
      </c>
      <c r="HL187" s="24" t="str">
        <f t="shared" si="634"/>
        <v>APARENTEMENTE NORMAL</v>
      </c>
      <c r="HM187" s="21" t="e">
        <f t="shared" ca="1" si="635"/>
        <v>#REF!</v>
      </c>
      <c r="HN187" s="30" t="str">
        <f t="shared" si="683"/>
        <v>ACTIVA INGRESO A CPN</v>
      </c>
      <c r="HO187" s="21"/>
      <c r="HP187" s="21"/>
      <c r="HQ187" s="349"/>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6"/>
        <v>6.4285714285714288</v>
      </c>
      <c r="IA187" s="26"/>
      <c r="IB187" s="26"/>
      <c r="IC187" s="111"/>
      <c r="ID187" s="22"/>
      <c r="IE187" s="22" t="str">
        <f t="shared" ca="1" si="637"/>
        <v>INASISTENTE</v>
      </c>
      <c r="IF187" s="22"/>
      <c r="IG187" s="22">
        <f t="shared" si="638"/>
        <v>45286</v>
      </c>
      <c r="IH187" s="29">
        <f t="shared" ca="1" si="639"/>
        <v>54</v>
      </c>
      <c r="II187" s="22" t="str">
        <f t="shared" ca="1" si="640"/>
        <v>PENDIENTE</v>
      </c>
      <c r="IJ187" s="22"/>
      <c r="IK187" s="21"/>
      <c r="IL187" s="21"/>
      <c r="IM187" s="34"/>
      <c r="IN187" s="22"/>
      <c r="IO187" s="21"/>
      <c r="IP187" s="29" t="str">
        <f t="shared" si="730"/>
        <v/>
      </c>
      <c r="IQ187" s="35"/>
      <c r="IR187" s="21"/>
      <c r="IS187" s="21"/>
      <c r="IT187" s="21"/>
      <c r="IU187" s="21"/>
      <c r="IV187" s="21"/>
      <c r="IW187" s="21"/>
      <c r="IX187" s="21"/>
      <c r="IY187" s="21"/>
      <c r="IZ187" s="21"/>
      <c r="JA187" s="21"/>
      <c r="JB187" s="30"/>
      <c r="JC187" s="21"/>
      <c r="JD187" s="36"/>
      <c r="JE187" s="21" t="str">
        <f t="shared" si="733"/>
        <v/>
      </c>
      <c r="JF187" s="30"/>
      <c r="JG187" s="21"/>
      <c r="JH187" s="21"/>
      <c r="JI187" s="21"/>
      <c r="JJ187" s="30"/>
      <c r="JK187" s="22"/>
      <c r="JL187" s="22"/>
      <c r="JM187" s="21"/>
      <c r="JN187" s="36"/>
      <c r="JO187" s="21" t="str">
        <f t="shared" si="734"/>
        <v/>
      </c>
      <c r="JP187" s="22"/>
      <c r="JQ187" s="21"/>
      <c r="JR187" s="21"/>
      <c r="JS187" s="21"/>
      <c r="JT187" s="30"/>
      <c r="JU187" s="22"/>
      <c r="JV187" s="22"/>
      <c r="JW187" s="33"/>
      <c r="JX187" s="28" t="str">
        <f t="shared" si="735"/>
        <v/>
      </c>
      <c r="JY187" s="33"/>
      <c r="JZ187" s="28" t="str">
        <f t="shared" si="736"/>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7"/>
        <v>0</v>
      </c>
      <c r="MI187" s="43" t="str">
        <f t="shared" si="698"/>
        <v/>
      </c>
      <c r="MJ187" s="43" t="str">
        <f t="shared" si="699"/>
        <v/>
      </c>
      <c r="MK187" s="43">
        <f t="shared" si="700"/>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701"/>
        <v>6.4285714285714288</v>
      </c>
      <c r="MN187" s="43">
        <f t="shared" si="702"/>
        <v>5</v>
      </c>
      <c r="MO187" s="43">
        <f t="shared" si="703"/>
        <v>2023</v>
      </c>
      <c r="MP187" s="43" t="str">
        <f t="shared" si="704"/>
        <v>II TRIMESTRE AÑO</v>
      </c>
      <c r="MQ187" s="43">
        <f t="shared" si="705"/>
        <v>37.617717915024087</v>
      </c>
      <c r="MR187" s="43">
        <f t="shared" si="706"/>
        <v>2</v>
      </c>
      <c r="MS187" s="43" t="str">
        <f t="shared" si="707"/>
        <v xml:space="preserve"> DE 35 A 39 AÑOS</v>
      </c>
      <c r="MT187" s="43">
        <f t="shared" si="708"/>
        <v>0</v>
      </c>
      <c r="MU187" s="43">
        <f t="shared" si="709"/>
        <v>0</v>
      </c>
      <c r="MV187" s="43">
        <f t="shared" si="710"/>
        <v>1</v>
      </c>
      <c r="MW187" s="43">
        <f t="shared" si="711"/>
        <v>0</v>
      </c>
      <c r="MX187" s="43" t="str">
        <f t="shared" si="712"/>
        <v/>
      </c>
      <c r="MY187" s="43" t="str">
        <f t="shared" ca="1" si="737"/>
        <v/>
      </c>
      <c r="MZ187" s="43" t="str">
        <f t="shared" si="713"/>
        <v/>
      </c>
      <c r="NA187" s="43" t="str">
        <f t="shared" si="714"/>
        <v/>
      </c>
      <c r="NB187" s="43" t="str">
        <f t="shared" si="715"/>
        <v/>
      </c>
      <c r="NC187" s="43" t="str">
        <f t="shared" si="716"/>
        <v/>
      </c>
      <c r="ND187" s="43">
        <f t="shared" ca="1" si="717"/>
        <v>4</v>
      </c>
      <c r="NE187" s="43">
        <f>IF(OR(O187&gt;0,R187&gt;0),SUM(COUNTIF(Tabla1[[#This Row],[AÑOS AL INICIO5 CPN]],"&gt;=40"),COUNTIF(AS187,"0"),COUNTIF(AR187,"SI"),COUNTIF(CC187,"SI"),COUNTIF(BQ187,"&gt;119"),COUNTIF(CI187,"&gt;=35")),"")</f>
        <v>0</v>
      </c>
      <c r="NF187" s="43" t="str">
        <f t="shared" si="718"/>
        <v/>
      </c>
      <c r="NG187" s="43">
        <f t="shared" si="719"/>
        <v>0</v>
      </c>
      <c r="NH187" s="43" t="str">
        <f t="shared" si="720"/>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21"/>
        <v>X</v>
      </c>
      <c r="NM187" s="43" t="str">
        <f t="shared" si="695"/>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2"/>
        <v>I TRIM</v>
      </c>
      <c r="NQ187" s="21" t="str">
        <f t="shared" si="731"/>
        <v/>
      </c>
      <c r="NR187" s="21">
        <f t="shared" ca="1" si="738"/>
        <v>3</v>
      </c>
      <c r="NS187" s="205">
        <f t="shared" ca="1" si="723"/>
        <v>1</v>
      </c>
      <c r="NT187" s="21">
        <f t="shared" ca="1" si="724"/>
        <v>1</v>
      </c>
      <c r="NU187" s="21" t="str">
        <f t="shared" ca="1" si="725"/>
        <v>INCOMPLETO</v>
      </c>
      <c r="NV187" s="21" t="str">
        <f t="shared" ca="1" si="726"/>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7"/>
        <v>SIN VACUNAR</v>
      </c>
      <c r="NY187" s="43">
        <f>ROW(Tabla1[[#This Row],['# DE TAMIZAJES SIFILIS TOMADOS ]])</f>
        <v>187</v>
      </c>
      <c r="NZ187" s="43" t="str">
        <f t="shared" si="502"/>
        <v>Menor</v>
      </c>
      <c r="OA187" s="43" t="str">
        <f t="shared" si="503"/>
        <v>NORMAL</v>
      </c>
      <c r="OB187" s="43" t="str">
        <f t="shared" si="504"/>
        <v/>
      </c>
      <c r="OC187" s="43" t="str">
        <f t="shared" si="505"/>
        <v/>
      </c>
      <c r="OD187" s="43" t="str">
        <f t="shared" si="506"/>
        <v/>
      </c>
      <c r="OE187" s="43" t="str">
        <f t="shared" si="507"/>
        <v/>
      </c>
      <c r="OF187" s="43" t="str">
        <f t="shared" si="508"/>
        <v/>
      </c>
      <c r="OG187" s="43" t="str">
        <f t="shared" si="509"/>
        <v/>
      </c>
      <c r="OH187" s="43" t="str">
        <f t="shared" si="510"/>
        <v/>
      </c>
      <c r="OI187" s="43" t="str">
        <f t="shared" si="511"/>
        <v/>
      </c>
      <c r="OJ187" s="43" t="str">
        <f t="shared" si="512"/>
        <v/>
      </c>
      <c r="OK187" s="43" t="str">
        <f t="shared" si="513"/>
        <v/>
      </c>
      <c r="OL187" s="43" t="str">
        <f t="shared" si="514"/>
        <v/>
      </c>
      <c r="OM187" s="43" t="str">
        <f t="shared" si="515"/>
        <v/>
      </c>
      <c r="ON187" s="43" t="str">
        <f t="shared" si="516"/>
        <v/>
      </c>
      <c r="OO187" s="43" t="str">
        <f t="shared" si="517"/>
        <v/>
      </c>
      <c r="OP187" s="43" t="str">
        <f t="shared" si="518"/>
        <v/>
      </c>
      <c r="OQ187" s="43" t="str">
        <f t="shared" si="519"/>
        <v/>
      </c>
      <c r="OR187" s="43" t="str">
        <f t="shared" si="520"/>
        <v/>
      </c>
      <c r="OS187" s="43" t="str">
        <f t="shared" si="521"/>
        <v/>
      </c>
      <c r="OT187" s="43" t="str">
        <f t="shared" si="522"/>
        <v/>
      </c>
      <c r="OU187" s="43" t="str">
        <f t="shared" si="523"/>
        <v/>
      </c>
      <c r="OV187" s="110" t="str">
        <f t="shared" si="524"/>
        <v/>
      </c>
      <c r="OW187" s="43" t="str">
        <f t="shared" si="525"/>
        <v/>
      </c>
      <c r="OX187" s="43" t="str">
        <f t="shared" si="526"/>
        <v/>
      </c>
      <c r="OY187" s="43" t="str">
        <f t="shared" si="527"/>
        <v/>
      </c>
      <c r="OZ187" s="43" t="str">
        <f t="shared" si="528"/>
        <v/>
      </c>
      <c r="PA187" s="43" t="str">
        <f t="shared" si="529"/>
        <v/>
      </c>
      <c r="PB187" s="43" t="str">
        <f t="shared" si="530"/>
        <v/>
      </c>
      <c r="PC187" s="43" t="str">
        <f t="shared" si="531"/>
        <v/>
      </c>
      <c r="PD187" s="43" t="str">
        <f t="shared" si="532"/>
        <v/>
      </c>
      <c r="PE187" s="43" t="str">
        <f t="shared" si="533"/>
        <v/>
      </c>
      <c r="PF187" s="43" t="str">
        <f t="shared" si="534"/>
        <v/>
      </c>
      <c r="PG187" s="43" t="str">
        <f t="shared" si="535"/>
        <v/>
      </c>
      <c r="PH187" s="43" t="str">
        <f t="shared" si="536"/>
        <v/>
      </c>
      <c r="PI187" s="43" t="str">
        <f t="shared" si="537"/>
        <v>Menor</v>
      </c>
      <c r="PJ187" s="43" t="str">
        <f t="shared" si="538"/>
        <v>NORMAL</v>
      </c>
      <c r="PK187" s="43" t="str">
        <f t="shared" si="539"/>
        <v/>
      </c>
      <c r="PL187" s="43" t="str">
        <f t="shared" si="540"/>
        <v/>
      </c>
      <c r="PM187" s="43" t="str">
        <f t="shared" si="541"/>
        <v/>
      </c>
      <c r="PN187" s="43" t="str">
        <f t="shared" si="542"/>
        <v/>
      </c>
      <c r="PO187" s="43" t="str">
        <f t="shared" si="543"/>
        <v/>
      </c>
      <c r="PP187" s="43" t="str">
        <f t="shared" si="544"/>
        <v/>
      </c>
      <c r="PQ187" s="43" t="str">
        <f t="shared" si="545"/>
        <v/>
      </c>
      <c r="PR187" s="43" t="str">
        <f t="shared" si="546"/>
        <v/>
      </c>
      <c r="PS187" s="43" t="str">
        <f t="shared" si="547"/>
        <v/>
      </c>
      <c r="PT187" s="43" t="str">
        <f t="shared" si="548"/>
        <v/>
      </c>
      <c r="PU187" s="43" t="str">
        <f t="shared" si="549"/>
        <v/>
      </c>
      <c r="PV187" s="43" t="str">
        <f t="shared" si="550"/>
        <v/>
      </c>
      <c r="PW187" s="43" t="str">
        <f t="shared" si="551"/>
        <v/>
      </c>
      <c r="PX187" s="43" t="str">
        <f t="shared" si="552"/>
        <v/>
      </c>
      <c r="PY187" s="43" t="str">
        <f t="shared" si="553"/>
        <v/>
      </c>
      <c r="PZ187" s="43" t="str">
        <f t="shared" si="554"/>
        <v/>
      </c>
      <c r="QA187" s="43" t="str">
        <f t="shared" si="555"/>
        <v/>
      </c>
      <c r="QB187" s="43" t="str">
        <f t="shared" si="556"/>
        <v/>
      </c>
      <c r="QC187" s="43" t="str">
        <f t="shared" si="557"/>
        <v/>
      </c>
      <c r="QD187" s="43" t="str">
        <f t="shared" si="558"/>
        <v/>
      </c>
      <c r="QE187" s="43" t="str">
        <f t="shared" si="559"/>
        <v/>
      </c>
      <c r="QF187" s="43" t="str">
        <f t="shared" si="560"/>
        <v/>
      </c>
      <c r="QG187" s="43" t="str">
        <f t="shared" si="561"/>
        <v/>
      </c>
      <c r="QH187" s="43" t="str">
        <f t="shared" si="562"/>
        <v/>
      </c>
      <c r="QI187" s="43" t="str">
        <f t="shared" si="563"/>
        <v/>
      </c>
      <c r="QJ187" s="43" t="str">
        <f t="shared" si="564"/>
        <v/>
      </c>
      <c r="QK187" s="43" t="str">
        <f t="shared" si="565"/>
        <v/>
      </c>
      <c r="QL187" s="43" t="str">
        <f t="shared" si="566"/>
        <v/>
      </c>
      <c r="QM187" s="43" t="str">
        <f t="shared" si="567"/>
        <v/>
      </c>
      <c r="QN187" s="43" t="str">
        <f t="shared" si="568"/>
        <v/>
      </c>
      <c r="QO187" s="43" t="str">
        <f t="shared" si="569"/>
        <v/>
      </c>
      <c r="QP187" s="43" t="str">
        <f t="shared" si="570"/>
        <v/>
      </c>
      <c r="QQ187" s="43" t="str">
        <f t="shared" si="571"/>
        <v/>
      </c>
      <c r="QR187" s="43" t="str">
        <f t="shared" si="672"/>
        <v>Menor</v>
      </c>
      <c r="QS187" s="43"/>
      <c r="QT187" s="21" t="str">
        <f t="shared" si="572"/>
        <v/>
      </c>
      <c r="QU187" s="21" t="str">
        <f t="shared" si="573"/>
        <v/>
      </c>
      <c r="QV187" s="21" t="str">
        <f t="shared" si="574"/>
        <v/>
      </c>
      <c r="QW187" s="21" t="str">
        <f t="shared" si="575"/>
        <v/>
      </c>
      <c r="QX187" s="21" t="str">
        <f t="shared" si="576"/>
        <v/>
      </c>
      <c r="QY187" s="21" t="str">
        <f t="shared" si="577"/>
        <v/>
      </c>
      <c r="QZ187" s="21" t="str">
        <f t="shared" si="578"/>
        <v/>
      </c>
      <c r="RA187" s="21" t="str">
        <f t="shared" si="579"/>
        <v/>
      </c>
      <c r="RB187" s="21" t="str">
        <f t="shared" si="580"/>
        <v/>
      </c>
      <c r="RC187" s="21" t="str">
        <f t="shared" si="581"/>
        <v/>
      </c>
      <c r="RD187" s="21" t="str">
        <f t="shared" si="582"/>
        <v/>
      </c>
      <c r="RE187" s="21" t="str">
        <f t="shared" si="583"/>
        <v/>
      </c>
      <c r="RF187" s="21" t="str">
        <f t="shared" si="584"/>
        <v/>
      </c>
      <c r="RG187" s="21" t="str">
        <f t="shared" si="585"/>
        <v/>
      </c>
      <c r="RH187" s="21" t="str">
        <f t="shared" si="586"/>
        <v/>
      </c>
      <c r="RI187" s="21" t="str">
        <f t="shared" si="587"/>
        <v/>
      </c>
      <c r="RJ187" s="21" t="str">
        <f t="shared" si="588"/>
        <v/>
      </c>
      <c r="RK187" s="21" t="str">
        <f t="shared" si="589"/>
        <v/>
      </c>
      <c r="RL187" s="21" t="str">
        <f t="shared" si="590"/>
        <v/>
      </c>
      <c r="RM187" s="21" t="str">
        <f t="shared" si="591"/>
        <v/>
      </c>
      <c r="RN187" s="21" t="str">
        <f t="shared" si="592"/>
        <v/>
      </c>
      <c r="RO187" s="21" t="str">
        <f t="shared" si="593"/>
        <v/>
      </c>
      <c r="RP187" s="21" t="str">
        <f t="shared" si="594"/>
        <v/>
      </c>
      <c r="RQ187" s="21" t="str">
        <f t="shared" si="595"/>
        <v/>
      </c>
      <c r="RR187" s="21" t="str">
        <f t="shared" si="596"/>
        <v/>
      </c>
      <c r="RS187" s="21" t="str">
        <f t="shared" si="597"/>
        <v/>
      </c>
      <c r="RT187" s="21" t="str">
        <f t="shared" si="598"/>
        <v/>
      </c>
      <c r="RU187" s="21" t="str">
        <f t="shared" si="599"/>
        <v/>
      </c>
      <c r="RV187" s="21">
        <f t="shared" si="600"/>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3"/>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1"/>
        <v>27.520547945205479</v>
      </c>
      <c r="O188" s="22">
        <v>45051</v>
      </c>
      <c r="P188" s="214" t="str">
        <f t="shared" si="675"/>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2"/>
        <v>0</v>
      </c>
      <c r="BR188" s="223">
        <f t="shared" si="603"/>
        <v>44927.8</v>
      </c>
      <c r="BS188" s="224">
        <f t="shared" si="604"/>
        <v>19.714285714285715</v>
      </c>
      <c r="BT188" s="216" t="str">
        <f t="shared" si="605"/>
        <v>II TRIM</v>
      </c>
      <c r="BU188" s="214" t="str">
        <f t="shared" ca="1" si="606"/>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7"/>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8"/>
        <v>45147</v>
      </c>
      <c r="CL188" s="21">
        <v>69</v>
      </c>
      <c r="CM188" s="214">
        <f t="shared" si="609"/>
        <v>26.953124999999996</v>
      </c>
      <c r="CN188" s="216">
        <f t="shared" si="610"/>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9"/>
        <v>ACUDE A CONTROL SEM 30 A 34- REGISTRE AHORA</v>
      </c>
      <c r="DA188" s="21">
        <v>90</v>
      </c>
      <c r="DB188" s="21">
        <v>60</v>
      </c>
      <c r="DC188" s="217" t="str">
        <f t="shared" si="611"/>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6"/>
        <v>CONCERTAR PLAN DE PARTO INMEDIATO</v>
      </c>
      <c r="DV188" s="226" t="str">
        <f t="shared" si="677"/>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2"/>
        <v>#REF!</v>
      </c>
      <c r="DY188" s="212">
        <f>IF(R188="","",IF(R188&gt;0,MAX(Tabla1[[#This Row],[FECHA C2]:[FECHA C13]],Tabla1[[#This Row],[FECHA CONSULTA PRIMERA VEZ PROGRAMA CPN ]])))</f>
        <v>45147</v>
      </c>
      <c r="DZ188" s="216">
        <f t="shared" si="613"/>
        <v>33</v>
      </c>
      <c r="EA188" s="222">
        <f>IF(R188&gt;0,SUM(COUNTA(DF188:DQ188)+COUNTA(Tabla1[[#This Row],[FECHA CONSULTA PRIMERA VEZ PROGRAMA CPN ]])),"")</f>
        <v>4</v>
      </c>
      <c r="EB188" s="222" t="str">
        <f t="shared" si="614"/>
        <v>SI</v>
      </c>
      <c r="EC188" s="214">
        <f t="shared" si="615"/>
        <v>7</v>
      </c>
      <c r="ED188" s="227">
        <f t="shared" si="616"/>
        <v>0.5714285714285714</v>
      </c>
      <c r="EE188" s="22">
        <v>45051</v>
      </c>
      <c r="EF188" s="22">
        <v>45051</v>
      </c>
      <c r="EG188" s="22">
        <v>45051</v>
      </c>
      <c r="EH188" s="22"/>
      <c r="EI188" s="22">
        <v>45051</v>
      </c>
      <c r="EJ188" s="22"/>
      <c r="EK188" s="22"/>
      <c r="EL188" s="21"/>
      <c r="EM188" s="21">
        <v>12.3</v>
      </c>
      <c r="EN188" s="22">
        <v>45087</v>
      </c>
      <c r="EO188" s="222">
        <f t="shared" si="617"/>
        <v>24.857142857142858</v>
      </c>
      <c r="EP188" s="214" t="str">
        <f t="shared" si="618"/>
        <v>NORMAL- SUMINISTRAR SULFATO FERROSO</v>
      </c>
      <c r="EQ188" s="216" t="str">
        <f t="shared" si="619"/>
        <v>II TRIM</v>
      </c>
      <c r="ER188" s="24">
        <v>12.3</v>
      </c>
      <c r="ES188" s="22">
        <v>45087</v>
      </c>
      <c r="ET188" s="29">
        <f t="shared" ca="1" si="678"/>
        <v>24.857142857142858</v>
      </c>
      <c r="EU188" s="25" t="str">
        <f t="shared" si="620"/>
        <v>NORMAL- SUMINISTRAR SULFATO FERROSO</v>
      </c>
      <c r="EV188" s="24" t="s">
        <v>1510</v>
      </c>
      <c r="EW188" s="24">
        <v>45087</v>
      </c>
      <c r="EX188" s="22"/>
      <c r="EY188" s="29">
        <f t="shared" si="693"/>
        <v>24.857142857142858</v>
      </c>
      <c r="EZ188" s="25" t="str">
        <f t="shared" si="694"/>
        <v>SIN RIESGO DE ISOINMUNIZACIÓN</v>
      </c>
      <c r="FA188" s="21">
        <v>61</v>
      </c>
      <c r="FB188" s="22">
        <v>45087</v>
      </c>
      <c r="FC188" s="29" t="str">
        <f t="shared" si="621"/>
        <v>NO APLICA &gt; 23 SEM -TOMAR PTOG</v>
      </c>
      <c r="FD188" s="29"/>
      <c r="FE188" s="29"/>
      <c r="FF188" s="29"/>
      <c r="FG188" s="21" t="str">
        <f t="shared" ca="1" si="622"/>
        <v/>
      </c>
      <c r="FH188" s="31"/>
      <c r="FI188" s="29" t="str">
        <f t="shared" si="623"/>
        <v>TOMAR EXAMEN</v>
      </c>
      <c r="FJ188" s="22"/>
      <c r="FK188" s="22"/>
      <c r="FL188" s="29" t="str">
        <f t="shared" ca="1" si="624"/>
        <v>NO APLICA-INGRESO TARDIO</v>
      </c>
      <c r="FM188" s="22" t="s">
        <v>867</v>
      </c>
      <c r="FN188" s="32">
        <v>45087</v>
      </c>
      <c r="FO188" s="29">
        <f t="shared" ca="1" si="679"/>
        <v>24.857142857142858</v>
      </c>
      <c r="FP188" s="22"/>
      <c r="FQ188" s="32"/>
      <c r="FR188" s="29" t="str">
        <f t="shared" ca="1" si="680"/>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5"/>
        <v>TOMAR EXAMEN</v>
      </c>
      <c r="FY188" s="22"/>
      <c r="FZ188" s="22"/>
      <c r="GA188" s="29" t="str">
        <f t="shared" ca="1" si="692"/>
        <v>NO APLICA-INGRESO TARDIO</v>
      </c>
      <c r="GB188" s="22" t="s">
        <v>868</v>
      </c>
      <c r="GC188" s="22">
        <v>45087</v>
      </c>
      <c r="GD188" s="29">
        <f t="shared" ca="1" si="732"/>
        <v>24.857142857142858</v>
      </c>
      <c r="GE188" s="22"/>
      <c r="GF188" s="22"/>
      <c r="GG188" s="29" t="str">
        <f t="shared" ca="1" si="682"/>
        <v>TOMA INMEDIATA DE TAMIZAJE</v>
      </c>
      <c r="GH188" s="22"/>
      <c r="GI188" s="29"/>
      <c r="GJ188" s="22"/>
      <c r="GK188" s="22"/>
      <c r="GL188" s="22"/>
      <c r="GM188" s="22"/>
      <c r="GN188" s="28" t="s">
        <v>869</v>
      </c>
      <c r="GO188" s="22">
        <v>45087</v>
      </c>
      <c r="GP188" s="29">
        <f t="shared" si="626"/>
        <v>24.857142857142858</v>
      </c>
      <c r="GQ188" s="28" t="s">
        <v>869</v>
      </c>
      <c r="GR188" s="28" t="s">
        <v>869</v>
      </c>
      <c r="GS188" s="22" t="str">
        <f t="shared" si="728"/>
        <v>CONTROL Igm</v>
      </c>
      <c r="GT188" s="22">
        <v>45087</v>
      </c>
      <c r="GU188" s="29">
        <f t="shared" si="628"/>
        <v>24.857142857142858</v>
      </c>
      <c r="GV188" s="21" t="str">
        <f t="shared" si="629"/>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30"/>
        <v>#REF!</v>
      </c>
      <c r="HI188" s="22" t="e">
        <f t="shared" ca="1" si="631"/>
        <v>#REF!</v>
      </c>
      <c r="HJ188" s="21" t="str">
        <f t="shared" ca="1" si="632"/>
        <v>**********************MULTIPARIDAD*ANTECEDENTE MUERTE PERINATAL****************</v>
      </c>
      <c r="HK188" s="21" t="str">
        <f t="shared" si="633"/>
        <v>SIN ANTECEDENTES DE RIESGO</v>
      </c>
      <c r="HL188" s="24" t="str">
        <f t="shared" si="634"/>
        <v>APARENTEMENTE NORMAL</v>
      </c>
      <c r="HM188" s="21" t="e">
        <f t="shared" ca="1" si="635"/>
        <v>#REF!</v>
      </c>
      <c r="HN188" s="30" t="str">
        <f t="shared" si="683"/>
        <v>ACTIVA INGRESO A CPN</v>
      </c>
      <c r="HO188" s="21"/>
      <c r="HP188" s="21"/>
      <c r="HQ188" s="349"/>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6"/>
        <v>19.714285714285715</v>
      </c>
      <c r="IA188" s="26"/>
      <c r="IB188" s="26"/>
      <c r="IC188" s="111"/>
      <c r="ID188" s="22"/>
      <c r="IE188" s="22" t="str">
        <f t="shared" ca="1" si="637"/>
        <v/>
      </c>
      <c r="IF188" s="22"/>
      <c r="IG188" s="22">
        <f t="shared" si="638"/>
        <v>45193</v>
      </c>
      <c r="IH188" s="29">
        <f t="shared" ca="1" si="639"/>
        <v>-39</v>
      </c>
      <c r="II188" s="22" t="str">
        <f t="shared" ca="1" si="640"/>
        <v>POSIBLEMENTE NACIO</v>
      </c>
      <c r="IJ188" s="22"/>
      <c r="IK188" s="21"/>
      <c r="IL188" s="21"/>
      <c r="IM188" s="34"/>
      <c r="IN188" s="22"/>
      <c r="IO188" s="21"/>
      <c r="IP188" s="29" t="str">
        <f t="shared" si="730"/>
        <v/>
      </c>
      <c r="IQ188" s="35"/>
      <c r="IR188" s="21"/>
      <c r="IS188" s="21"/>
      <c r="IT188" s="21"/>
      <c r="IU188" s="21"/>
      <c r="IV188" s="21"/>
      <c r="IW188" s="21"/>
      <c r="IX188" s="21"/>
      <c r="IY188" s="21"/>
      <c r="IZ188" s="21"/>
      <c r="JA188" s="21"/>
      <c r="JB188" s="30"/>
      <c r="JC188" s="21"/>
      <c r="JD188" s="36"/>
      <c r="JE188" s="21" t="str">
        <f t="shared" si="733"/>
        <v/>
      </c>
      <c r="JF188" s="30"/>
      <c r="JG188" s="21"/>
      <c r="JH188" s="21"/>
      <c r="JI188" s="21"/>
      <c r="JJ188" s="30"/>
      <c r="JK188" s="22"/>
      <c r="JL188" s="22"/>
      <c r="JM188" s="21"/>
      <c r="JN188" s="36"/>
      <c r="JO188" s="21" t="str">
        <f t="shared" si="734"/>
        <v/>
      </c>
      <c r="JP188" s="22"/>
      <c r="JQ188" s="21"/>
      <c r="JR188" s="21"/>
      <c r="JS188" s="21"/>
      <c r="JT188" s="30"/>
      <c r="JU188" s="22"/>
      <c r="JV188" s="22"/>
      <c r="JW188" s="33"/>
      <c r="JX188" s="28" t="str">
        <f t="shared" si="735"/>
        <v/>
      </c>
      <c r="JY188" s="33"/>
      <c r="JZ188" s="28" t="str">
        <f t="shared" si="736"/>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7"/>
        <v>0</v>
      </c>
      <c r="MI188" s="43" t="str">
        <f t="shared" si="698"/>
        <v/>
      </c>
      <c r="MJ188" s="43" t="str">
        <f t="shared" si="699"/>
        <v/>
      </c>
      <c r="MK188" s="43">
        <f t="shared" si="700"/>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701"/>
        <v>19.714285714285715</v>
      </c>
      <c r="MN188" s="43">
        <f t="shared" si="702"/>
        <v>5</v>
      </c>
      <c r="MO188" s="43">
        <f t="shared" si="703"/>
        <v>2023</v>
      </c>
      <c r="MP188" s="43" t="str">
        <f t="shared" si="704"/>
        <v>II TRIMESTRE AÑO</v>
      </c>
      <c r="MQ188" s="43">
        <f t="shared" si="705"/>
        <v>26.617936925098551</v>
      </c>
      <c r="MR188" s="43">
        <f t="shared" si="706"/>
        <v>0</v>
      </c>
      <c r="MS188" s="43" t="str">
        <f t="shared" si="707"/>
        <v xml:space="preserve"> DE 25 A 29 AÑOS</v>
      </c>
      <c r="MT188" s="43">
        <f t="shared" si="708"/>
        <v>1</v>
      </c>
      <c r="MU188" s="43">
        <f t="shared" si="709"/>
        <v>1</v>
      </c>
      <c r="MV188" s="43">
        <f t="shared" si="710"/>
        <v>0</v>
      </c>
      <c r="MW188" s="43">
        <f t="shared" si="711"/>
        <v>0</v>
      </c>
      <c r="MX188" s="43" t="str">
        <f t="shared" si="712"/>
        <v/>
      </c>
      <c r="MY188" s="43" t="str">
        <f t="shared" ca="1" si="737"/>
        <v/>
      </c>
      <c r="MZ188" s="43" t="str">
        <f t="shared" si="713"/>
        <v/>
      </c>
      <c r="NA188" s="43" t="str">
        <f t="shared" si="714"/>
        <v/>
      </c>
      <c r="NB188" s="43" t="str">
        <f t="shared" si="715"/>
        <v/>
      </c>
      <c r="NC188" s="43" t="str">
        <f t="shared" si="716"/>
        <v/>
      </c>
      <c r="ND188" s="43">
        <f t="shared" ca="1" si="717"/>
        <v>2</v>
      </c>
      <c r="NE188" s="43">
        <f>IF(OR(O188&gt;0,R188&gt;0),SUM(COUNTIF(Tabla1[[#This Row],[AÑOS AL INICIO5 CPN]],"&gt;=40"),COUNTIF(AS188,"0"),COUNTIF(AR188,"SI"),COUNTIF(CC188,"SI"),COUNTIF(BQ188,"&gt;119"),COUNTIF(CI188,"&gt;=35")),"")</f>
        <v>0</v>
      </c>
      <c r="NF188" s="43" t="str">
        <f t="shared" si="718"/>
        <v/>
      </c>
      <c r="NG188" s="43">
        <f t="shared" si="719"/>
        <v>0</v>
      </c>
      <c r="NH188" s="43">
        <f t="shared" si="720"/>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21"/>
        <v>X</v>
      </c>
      <c r="NM188" s="43" t="str">
        <f t="shared" si="695"/>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2"/>
        <v>II TRIM</v>
      </c>
      <c r="NQ188" s="21" t="str">
        <f t="shared" si="731"/>
        <v/>
      </c>
      <c r="NR188" s="21" t="str">
        <f t="shared" ca="1" si="738"/>
        <v>REVISAR FUM O FECHA SALIDA PROGRAMA</v>
      </c>
      <c r="NS188" s="205">
        <f t="shared" ca="1" si="723"/>
        <v>1</v>
      </c>
      <c r="NT188" s="21">
        <f t="shared" ca="1" si="724"/>
        <v>1</v>
      </c>
      <c r="NU188" s="21" t="str">
        <f t="shared" ca="1" si="725"/>
        <v>POR DEFINIR</v>
      </c>
      <c r="NV188" s="21" t="str">
        <f t="shared" ca="1" si="726"/>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7"/>
        <v>SIN VACUNAR</v>
      </c>
      <c r="NY188" s="43">
        <f>ROW(Tabla1[[#This Row],['# DE TAMIZAJES SIFILIS TOMADOS ]])</f>
        <v>188</v>
      </c>
      <c r="NZ188" s="43">
        <f t="shared" si="502"/>
        <v>19</v>
      </c>
      <c r="OA188" s="43" t="str">
        <f t="shared" si="503"/>
        <v/>
      </c>
      <c r="OB188" s="43" t="str">
        <f t="shared" si="504"/>
        <v/>
      </c>
      <c r="OC188" s="43" t="str">
        <f t="shared" si="505"/>
        <v/>
      </c>
      <c r="OD188" s="43" t="str">
        <f t="shared" si="506"/>
        <v/>
      </c>
      <c r="OE188" s="43" t="str">
        <f t="shared" si="507"/>
        <v/>
      </c>
      <c r="OF188" s="43" t="str">
        <f t="shared" si="508"/>
        <v/>
      </c>
      <c r="OG188" s="43" t="str">
        <f t="shared" si="509"/>
        <v/>
      </c>
      <c r="OH188" s="43" t="str">
        <f t="shared" si="510"/>
        <v/>
      </c>
      <c r="OI188" s="43" t="str">
        <f t="shared" si="511"/>
        <v/>
      </c>
      <c r="OJ188" s="43" t="str">
        <f t="shared" si="512"/>
        <v/>
      </c>
      <c r="OK188" s="43" t="str">
        <f t="shared" si="513"/>
        <v>NORMAL</v>
      </c>
      <c r="OL188" s="43" t="str">
        <f t="shared" si="514"/>
        <v/>
      </c>
      <c r="OM188" s="43" t="str">
        <f t="shared" si="515"/>
        <v/>
      </c>
      <c r="ON188" s="43" t="str">
        <f t="shared" si="516"/>
        <v/>
      </c>
      <c r="OO188" s="43" t="str">
        <f t="shared" si="517"/>
        <v/>
      </c>
      <c r="OP188" s="43" t="str">
        <f t="shared" si="518"/>
        <v/>
      </c>
      <c r="OQ188" s="43" t="str">
        <f t="shared" si="519"/>
        <v/>
      </c>
      <c r="OR188" s="43" t="str">
        <f t="shared" si="520"/>
        <v/>
      </c>
      <c r="OS188" s="43" t="str">
        <f t="shared" si="521"/>
        <v/>
      </c>
      <c r="OT188" s="43" t="str">
        <f t="shared" si="522"/>
        <v/>
      </c>
      <c r="OU188" s="43" t="str">
        <f t="shared" si="523"/>
        <v/>
      </c>
      <c r="OV188" s="110" t="str">
        <f t="shared" si="524"/>
        <v/>
      </c>
      <c r="OW188" s="43" t="str">
        <f t="shared" si="525"/>
        <v/>
      </c>
      <c r="OX188" s="43" t="str">
        <f t="shared" si="526"/>
        <v/>
      </c>
      <c r="OY188" s="43" t="str">
        <f t="shared" si="527"/>
        <v/>
      </c>
      <c r="OZ188" s="43" t="str">
        <f t="shared" si="528"/>
        <v/>
      </c>
      <c r="PA188" s="43" t="str">
        <f t="shared" si="529"/>
        <v/>
      </c>
      <c r="PB188" s="43" t="str">
        <f t="shared" si="530"/>
        <v/>
      </c>
      <c r="PC188" s="43" t="str">
        <f t="shared" si="531"/>
        <v/>
      </c>
      <c r="PD188" s="43" t="str">
        <f t="shared" si="532"/>
        <v/>
      </c>
      <c r="PE188" s="43" t="str">
        <f t="shared" si="533"/>
        <v/>
      </c>
      <c r="PF188" s="43" t="str">
        <f t="shared" si="534"/>
        <v/>
      </c>
      <c r="PG188" s="43" t="str">
        <f t="shared" si="535"/>
        <v/>
      </c>
      <c r="PH188" s="43" t="str">
        <f t="shared" si="536"/>
        <v/>
      </c>
      <c r="PI188" s="43">
        <f t="shared" si="537"/>
        <v>33</v>
      </c>
      <c r="PJ188" s="43" t="str">
        <f t="shared" si="538"/>
        <v/>
      </c>
      <c r="PK188" s="43" t="str">
        <f t="shared" si="539"/>
        <v/>
      </c>
      <c r="PL188" s="43" t="str">
        <f t="shared" si="540"/>
        <v/>
      </c>
      <c r="PM188" s="43" t="str">
        <f t="shared" si="541"/>
        <v/>
      </c>
      <c r="PN188" s="43" t="str">
        <f t="shared" si="542"/>
        <v/>
      </c>
      <c r="PO188" s="43" t="str">
        <f t="shared" si="543"/>
        <v/>
      </c>
      <c r="PP188" s="43" t="str">
        <f t="shared" si="544"/>
        <v/>
      </c>
      <c r="PQ188" s="43" t="str">
        <f t="shared" si="545"/>
        <v/>
      </c>
      <c r="PR188" s="43" t="str">
        <f t="shared" si="546"/>
        <v/>
      </c>
      <c r="PS188" s="43" t="str">
        <f t="shared" si="547"/>
        <v/>
      </c>
      <c r="PT188" s="43" t="str">
        <f t="shared" si="548"/>
        <v/>
      </c>
      <c r="PU188" s="43" t="str">
        <f t="shared" si="549"/>
        <v/>
      </c>
      <c r="PV188" s="43" t="str">
        <f t="shared" si="550"/>
        <v/>
      </c>
      <c r="PW188" s="43" t="str">
        <f t="shared" si="551"/>
        <v/>
      </c>
      <c r="PX188" s="43" t="str">
        <f t="shared" si="552"/>
        <v/>
      </c>
      <c r="PY188" s="43" t="str">
        <f t="shared" si="553"/>
        <v/>
      </c>
      <c r="PZ188" s="43" t="str">
        <f t="shared" si="554"/>
        <v/>
      </c>
      <c r="QA188" s="43" t="str">
        <f t="shared" si="555"/>
        <v/>
      </c>
      <c r="QB188" s="43" t="str">
        <f t="shared" si="556"/>
        <v/>
      </c>
      <c r="QC188" s="43" t="str">
        <f t="shared" si="557"/>
        <v/>
      </c>
      <c r="QD188" s="43" t="str">
        <f t="shared" si="558"/>
        <v/>
      </c>
      <c r="QE188" s="43" t="str">
        <f t="shared" si="559"/>
        <v/>
      </c>
      <c r="QF188" s="43" t="str">
        <f t="shared" si="560"/>
        <v/>
      </c>
      <c r="QG188" s="43" t="str">
        <f t="shared" si="561"/>
        <v/>
      </c>
      <c r="QH188" s="43" t="str">
        <f t="shared" si="562"/>
        <v>NORMAL</v>
      </c>
      <c r="QI188" s="43" t="str">
        <f t="shared" si="563"/>
        <v/>
      </c>
      <c r="QJ188" s="43" t="str">
        <f t="shared" si="564"/>
        <v/>
      </c>
      <c r="QK188" s="43" t="str">
        <f t="shared" si="565"/>
        <v/>
      </c>
      <c r="QL188" s="43" t="str">
        <f t="shared" si="566"/>
        <v/>
      </c>
      <c r="QM188" s="43" t="str">
        <f t="shared" si="567"/>
        <v/>
      </c>
      <c r="QN188" s="43" t="str">
        <f t="shared" si="568"/>
        <v/>
      </c>
      <c r="QO188" s="43" t="str">
        <f t="shared" si="569"/>
        <v/>
      </c>
      <c r="QP188" s="43" t="str">
        <f t="shared" si="570"/>
        <v/>
      </c>
      <c r="QQ188" s="43" t="str">
        <f t="shared" si="571"/>
        <v/>
      </c>
      <c r="QR188" s="43">
        <f t="shared" si="672"/>
        <v>33</v>
      </c>
      <c r="QS188" s="43"/>
      <c r="QT188" s="21" t="str">
        <f t="shared" si="572"/>
        <v/>
      </c>
      <c r="QU188" s="21" t="str">
        <f t="shared" si="573"/>
        <v/>
      </c>
      <c r="QV188" s="21" t="str">
        <f t="shared" si="574"/>
        <v/>
      </c>
      <c r="QW188" s="21" t="str">
        <f t="shared" si="575"/>
        <v/>
      </c>
      <c r="QX188" s="21" t="str">
        <f t="shared" si="576"/>
        <v/>
      </c>
      <c r="QY188" s="21" t="str">
        <f t="shared" si="577"/>
        <v/>
      </c>
      <c r="QZ188" s="21" t="str">
        <f t="shared" si="578"/>
        <v/>
      </c>
      <c r="RA188" s="21" t="str">
        <f t="shared" si="579"/>
        <v/>
      </c>
      <c r="RB188" s="21" t="str">
        <f t="shared" si="580"/>
        <v/>
      </c>
      <c r="RC188" s="21" t="str">
        <f t="shared" si="581"/>
        <v/>
      </c>
      <c r="RD188" s="21" t="str">
        <f t="shared" si="582"/>
        <v/>
      </c>
      <c r="RE188" s="21" t="str">
        <f t="shared" si="583"/>
        <v/>
      </c>
      <c r="RF188" s="21" t="str">
        <f t="shared" si="584"/>
        <v/>
      </c>
      <c r="RG188" s="21" t="str">
        <f t="shared" si="585"/>
        <v/>
      </c>
      <c r="RH188" s="21" t="str">
        <f t="shared" si="586"/>
        <v/>
      </c>
      <c r="RI188" s="21" t="str">
        <f t="shared" si="587"/>
        <v/>
      </c>
      <c r="RJ188" s="21" t="str">
        <f t="shared" si="588"/>
        <v/>
      </c>
      <c r="RK188" s="21" t="str">
        <f t="shared" si="589"/>
        <v/>
      </c>
      <c r="RL188" s="21" t="str">
        <f t="shared" si="590"/>
        <v/>
      </c>
      <c r="RM188" s="21" t="str">
        <f t="shared" si="591"/>
        <v/>
      </c>
      <c r="RN188" s="21" t="str">
        <f t="shared" si="592"/>
        <v>ADECUADO PARA EDAD GESTACIONAL</v>
      </c>
      <c r="RO188" s="21" t="str">
        <f t="shared" si="593"/>
        <v/>
      </c>
      <c r="RP188" s="21" t="str">
        <f t="shared" si="594"/>
        <v/>
      </c>
      <c r="RQ188" s="21" t="str">
        <f t="shared" si="595"/>
        <v/>
      </c>
      <c r="RR188" s="21" t="str">
        <f t="shared" si="596"/>
        <v/>
      </c>
      <c r="RS188" s="21" t="str">
        <f t="shared" si="597"/>
        <v/>
      </c>
      <c r="RT188" s="21" t="str">
        <f t="shared" si="598"/>
        <v/>
      </c>
      <c r="RU188" s="21" t="str">
        <f t="shared" si="599"/>
        <v/>
      </c>
      <c r="RV188" s="21">
        <f t="shared" si="600"/>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3"/>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1"/>
        <v>21.676712328767124</v>
      </c>
      <c r="O189" s="22">
        <v>45020</v>
      </c>
      <c r="P189" s="214" t="str">
        <f t="shared" si="675"/>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2"/>
        <v>0</v>
      </c>
      <c r="BR189" s="223">
        <f t="shared" si="603"/>
        <v>44950.2</v>
      </c>
      <c r="BS189" s="224">
        <f t="shared" si="604"/>
        <v>9.5714285714285712</v>
      </c>
      <c r="BT189" s="216" t="str">
        <f t="shared" si="605"/>
        <v>I TRIM</v>
      </c>
      <c r="BU189" s="214">
        <f t="shared" ca="1" si="606"/>
        <v>39.857142857142854</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7"/>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8"/>
        <v>45157</v>
      </c>
      <c r="CL189" s="21">
        <v>56.2</v>
      </c>
      <c r="CM189" s="214">
        <f t="shared" si="609"/>
        <v>23.697082138640582</v>
      </c>
      <c r="CN189" s="216">
        <f t="shared" si="610"/>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9"/>
        <v/>
      </c>
      <c r="DA189" s="21">
        <v>90</v>
      </c>
      <c r="DB189" s="21">
        <v>60</v>
      </c>
      <c r="DC189" s="217" t="str">
        <f t="shared" si="611"/>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6"/>
        <v>CONCERTAR PLAN DE PARTO INMEDIATO</v>
      </c>
      <c r="DV189" s="226" t="str">
        <f t="shared" si="677"/>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2"/>
        <v>#REF!</v>
      </c>
      <c r="DY189" s="212">
        <f>IF(R189="","",IF(R189&gt;0,MAX(Tabla1[[#This Row],[FECHA C2]:[FECHA C13]],Tabla1[[#This Row],[FECHA CONSULTA PRIMERA VEZ PROGRAMA CPN ]])))</f>
        <v>45157</v>
      </c>
      <c r="DZ189" s="216">
        <f t="shared" si="613"/>
        <v>29</v>
      </c>
      <c r="EA189" s="222">
        <f>IF(R189&gt;0,SUM(COUNTA(DF189:DQ189)+COUNTA(Tabla1[[#This Row],[FECHA CONSULTA PRIMERA VEZ PROGRAMA CPN ]])),"")</f>
        <v>5</v>
      </c>
      <c r="EB189" s="222" t="str">
        <f t="shared" si="614"/>
        <v>SI</v>
      </c>
      <c r="EC189" s="214">
        <f t="shared" si="615"/>
        <v>9</v>
      </c>
      <c r="ED189" s="227">
        <f t="shared" si="616"/>
        <v>0.55555555555555558</v>
      </c>
      <c r="EE189" s="22">
        <v>45020</v>
      </c>
      <c r="EF189" s="22">
        <v>45044</v>
      </c>
      <c r="EG189" s="22">
        <v>45020</v>
      </c>
      <c r="EH189" s="22"/>
      <c r="EI189" s="22">
        <v>45020</v>
      </c>
      <c r="EJ189" s="22">
        <v>45154</v>
      </c>
      <c r="EK189" s="22"/>
      <c r="EL189" s="21"/>
      <c r="EM189" s="21">
        <v>12.4</v>
      </c>
      <c r="EN189" s="22">
        <v>45020</v>
      </c>
      <c r="EO189" s="222">
        <f t="shared" si="617"/>
        <v>9.5714285714285712</v>
      </c>
      <c r="EP189" s="214" t="str">
        <f t="shared" si="618"/>
        <v>NORMAL- SUMINISTRAR SULFATO FERROSO</v>
      </c>
      <c r="EQ189" s="216" t="str">
        <f t="shared" si="619"/>
        <v>I TRIM</v>
      </c>
      <c r="ER189" s="24">
        <v>11.4</v>
      </c>
      <c r="ES189" s="22">
        <v>45128</v>
      </c>
      <c r="ET189" s="29">
        <f t="shared" ca="1" si="678"/>
        <v>25</v>
      </c>
      <c r="EU189" s="25" t="str">
        <f t="shared" si="620"/>
        <v>NORMAL- SUMINISTRAR SULFATO FERROSO</v>
      </c>
      <c r="EV189" s="24" t="s">
        <v>1510</v>
      </c>
      <c r="EW189" s="32">
        <v>45128</v>
      </c>
      <c r="EX189" s="22"/>
      <c r="EY189" s="29">
        <f t="shared" si="693"/>
        <v>25</v>
      </c>
      <c r="EZ189" s="25" t="str">
        <f t="shared" si="694"/>
        <v>SIN RIESGO DE ISOINMUNIZACIÓN</v>
      </c>
      <c r="FA189" s="21">
        <v>75</v>
      </c>
      <c r="FB189" s="22">
        <v>45020</v>
      </c>
      <c r="FC189" s="29">
        <f t="shared" si="621"/>
        <v>9.5714285714285712</v>
      </c>
      <c r="FD189" s="29">
        <v>85</v>
      </c>
      <c r="FE189" s="29">
        <v>102</v>
      </c>
      <c r="FF189" s="29">
        <v>109</v>
      </c>
      <c r="FG189" s="21" t="str">
        <f t="shared" ca="1" si="622"/>
        <v>NORMAL</v>
      </c>
      <c r="FH189" s="31">
        <v>45128</v>
      </c>
      <c r="FI189" s="29">
        <f t="shared" si="623"/>
        <v>25</v>
      </c>
      <c r="FJ189" s="22" t="s">
        <v>867</v>
      </c>
      <c r="FK189" s="22">
        <v>45020</v>
      </c>
      <c r="FL189" s="29">
        <f t="shared" ca="1" si="624"/>
        <v>9.5714285714285712</v>
      </c>
      <c r="FM189" s="22" t="s">
        <v>867</v>
      </c>
      <c r="FN189" s="22">
        <v>45128</v>
      </c>
      <c r="FO189" s="29">
        <f t="shared" ca="1" si="679"/>
        <v>25</v>
      </c>
      <c r="FP189" s="22"/>
      <c r="FQ189" s="32"/>
      <c r="FR189" s="29" t="str">
        <f t="shared" ca="1" si="680"/>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5"/>
        <v>TOMAR EXAMEN</v>
      </c>
      <c r="FY189" s="22" t="s">
        <v>868</v>
      </c>
      <c r="FZ189" s="22">
        <v>45020</v>
      </c>
      <c r="GA189" s="29">
        <f t="shared" ref="GA189:GA210" ca="1" si="739">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2"/>
        <v>25</v>
      </c>
      <c r="GE189" s="22"/>
      <c r="GF189" s="22"/>
      <c r="GG189" s="29" t="str">
        <f t="shared" ca="1" si="682"/>
        <v>TOMA INMEDIATA DE TAMIZAJE</v>
      </c>
      <c r="GH189" s="22"/>
      <c r="GI189" s="29"/>
      <c r="GJ189" s="22"/>
      <c r="GK189" s="22"/>
      <c r="GL189" s="22"/>
      <c r="GM189" s="22"/>
      <c r="GN189" s="28" t="s">
        <v>869</v>
      </c>
      <c r="GO189" s="22">
        <v>45020</v>
      </c>
      <c r="GP189" s="29">
        <f t="shared" si="626"/>
        <v>9.5714285714285712</v>
      </c>
      <c r="GQ189" s="28" t="s">
        <v>869</v>
      </c>
      <c r="GR189" s="28" t="s">
        <v>869</v>
      </c>
      <c r="GS189" s="22" t="str">
        <f t="shared" si="728"/>
        <v>CONTROL Igm</v>
      </c>
      <c r="GT189" s="22">
        <v>45020</v>
      </c>
      <c r="GU189" s="29">
        <f t="shared" si="628"/>
        <v>9.5714285714285712</v>
      </c>
      <c r="GV189" s="21" t="str">
        <f t="shared" si="629"/>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30"/>
        <v>#REF!</v>
      </c>
      <c r="HI189" s="22" t="e">
        <f t="shared" ca="1" si="631"/>
        <v>#REF!</v>
      </c>
      <c r="HJ189" s="21" t="str">
        <f t="shared" ca="1" si="632"/>
        <v>**********************MULTIPARIDAD*****************</v>
      </c>
      <c r="HK189" s="21" t="str">
        <f t="shared" si="633"/>
        <v>SIN ANTECEDENTES DE RIESGO</v>
      </c>
      <c r="HL189" s="24" t="str">
        <f t="shared" si="634"/>
        <v>APARENTEMENTE NORMAL</v>
      </c>
      <c r="HM189" s="21" t="e">
        <f t="shared" ca="1" si="635"/>
        <v>#REF!</v>
      </c>
      <c r="HN189" s="30" t="str">
        <f t="shared" si="683"/>
        <v>ACTIVA INGRESO A CPN</v>
      </c>
      <c r="HO189" s="21"/>
      <c r="HP189" s="21"/>
      <c r="HQ189" s="349"/>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6"/>
        <v>13.857142857142858</v>
      </c>
      <c r="IA189" s="26"/>
      <c r="IB189" s="26"/>
      <c r="IC189" s="111"/>
      <c r="ID189" s="22"/>
      <c r="IE189" s="22" t="str">
        <f t="shared" ca="1" si="637"/>
        <v>INASISTENTE</v>
      </c>
      <c r="IF189" s="22">
        <v>45050</v>
      </c>
      <c r="IG189" s="22">
        <f t="shared" si="638"/>
        <v>45233</v>
      </c>
      <c r="IH189" s="29">
        <f t="shared" ca="1" si="639"/>
        <v>1</v>
      </c>
      <c r="II189" s="22" t="str">
        <f t="shared" ca="1" si="640"/>
        <v>SEMANA DE PARTO</v>
      </c>
      <c r="IJ189" s="22"/>
      <c r="IK189" s="21"/>
      <c r="IL189" s="21"/>
      <c r="IM189" s="34"/>
      <c r="IN189" s="22"/>
      <c r="IO189" s="21"/>
      <c r="IP189" s="29" t="str">
        <f t="shared" si="730"/>
        <v/>
      </c>
      <c r="IQ189" s="35"/>
      <c r="IR189" s="21"/>
      <c r="IS189" s="21"/>
      <c r="IT189" s="21"/>
      <c r="IU189" s="21"/>
      <c r="IV189" s="21"/>
      <c r="IW189" s="21"/>
      <c r="IX189" s="21"/>
      <c r="IY189" s="21"/>
      <c r="IZ189" s="21"/>
      <c r="JA189" s="21"/>
      <c r="JB189" s="30"/>
      <c r="JC189" s="21"/>
      <c r="JD189" s="36"/>
      <c r="JE189" s="21" t="str">
        <f t="shared" si="733"/>
        <v/>
      </c>
      <c r="JF189" s="30"/>
      <c r="JG189" s="21"/>
      <c r="JH189" s="21"/>
      <c r="JI189" s="21"/>
      <c r="JJ189" s="30"/>
      <c r="JK189" s="22"/>
      <c r="JL189" s="22"/>
      <c r="JM189" s="21"/>
      <c r="JN189" s="36"/>
      <c r="JO189" s="21" t="str">
        <f t="shared" si="734"/>
        <v/>
      </c>
      <c r="JP189" s="22"/>
      <c r="JQ189" s="21"/>
      <c r="JR189" s="21"/>
      <c r="JS189" s="21"/>
      <c r="JT189" s="30"/>
      <c r="JU189" s="22"/>
      <c r="JV189" s="22"/>
      <c r="JW189" s="33"/>
      <c r="JX189" s="28" t="str">
        <f t="shared" si="735"/>
        <v/>
      </c>
      <c r="JY189" s="33"/>
      <c r="JZ189" s="28" t="str">
        <f t="shared" si="736"/>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7"/>
        <v>0</v>
      </c>
      <c r="MI189" s="43" t="str">
        <f t="shared" si="698"/>
        <v/>
      </c>
      <c r="MJ189" s="43" t="str">
        <f t="shared" si="699"/>
        <v/>
      </c>
      <c r="MK189" s="43">
        <f t="shared" si="700"/>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701"/>
        <v>9.5714285714285712</v>
      </c>
      <c r="MN189" s="43">
        <f t="shared" si="702"/>
        <v>4</v>
      </c>
      <c r="MO189" s="43">
        <f t="shared" si="703"/>
        <v>2023</v>
      </c>
      <c r="MP189" s="43" t="str">
        <f t="shared" si="704"/>
        <v>II TRIMESTRE AÑO</v>
      </c>
      <c r="MQ189" s="43">
        <f t="shared" si="705"/>
        <v>20.775843188786684</v>
      </c>
      <c r="MR189" s="43">
        <f t="shared" si="706"/>
        <v>0</v>
      </c>
      <c r="MS189" s="43" t="str">
        <f t="shared" si="707"/>
        <v xml:space="preserve"> DE 20 A 24 AÑOS</v>
      </c>
      <c r="MT189" s="43">
        <f t="shared" si="708"/>
        <v>0</v>
      </c>
      <c r="MU189" s="43">
        <f t="shared" si="709"/>
        <v>1</v>
      </c>
      <c r="MV189" s="43">
        <f t="shared" si="710"/>
        <v>0</v>
      </c>
      <c r="MW189" s="43">
        <f t="shared" si="711"/>
        <v>0</v>
      </c>
      <c r="MX189" s="43" t="str">
        <f t="shared" si="712"/>
        <v/>
      </c>
      <c r="MY189" s="43" t="str">
        <f t="shared" ca="1" si="737"/>
        <v/>
      </c>
      <c r="MZ189" s="43" t="str">
        <f t="shared" si="713"/>
        <v/>
      </c>
      <c r="NA189" s="43" t="str">
        <f t="shared" si="714"/>
        <v/>
      </c>
      <c r="NB189" s="43" t="str">
        <f t="shared" si="715"/>
        <v/>
      </c>
      <c r="NC189" s="43" t="str">
        <f t="shared" si="716"/>
        <v/>
      </c>
      <c r="ND189" s="43">
        <f t="shared" ca="1" si="717"/>
        <v>1</v>
      </c>
      <c r="NE189" s="43">
        <f>IF(OR(O189&gt;0,R189&gt;0),SUM(COUNTIF(Tabla1[[#This Row],[AÑOS AL INICIO5 CPN]],"&gt;=40"),COUNTIF(AS189,"0"),COUNTIF(AR189,"SI"),COUNTIF(CC189,"SI"),COUNTIF(BQ189,"&gt;119"),COUNTIF(CI189,"&gt;=35")),"")</f>
        <v>1</v>
      </c>
      <c r="NF189" s="43" t="str">
        <f t="shared" si="718"/>
        <v/>
      </c>
      <c r="NG189" s="43">
        <f t="shared" si="719"/>
        <v>0</v>
      </c>
      <c r="NH189" s="43">
        <f t="shared" si="720"/>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21"/>
        <v>134</v>
      </c>
      <c r="NM189" s="43" t="str">
        <f t="shared" si="695"/>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2"/>
        <v>I TRIM</v>
      </c>
      <c r="NQ189" s="21" t="str">
        <f t="shared" si="731"/>
        <v/>
      </c>
      <c r="NR189" s="21">
        <f t="shared" ca="1" si="738"/>
        <v>3</v>
      </c>
      <c r="NS189" s="205">
        <f t="shared" ca="1" si="723"/>
        <v>2</v>
      </c>
      <c r="NT189" s="21">
        <f t="shared" ca="1" si="724"/>
        <v>2</v>
      </c>
      <c r="NU189" s="21" t="str">
        <f t="shared" ca="1" si="725"/>
        <v>INCOMPLETO</v>
      </c>
      <c r="NV189" s="21" t="str">
        <f t="shared" ca="1" si="726"/>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7"/>
        <v>SIN VACUNAR</v>
      </c>
      <c r="NY189" s="43">
        <f>ROW(Tabla1[[#This Row],['# DE TAMIZAJES SIFILIS TOMADOS ]])</f>
        <v>189</v>
      </c>
      <c r="NZ189" s="43" t="str">
        <f t="shared" si="502"/>
        <v>Menor</v>
      </c>
      <c r="OA189" s="43" t="str">
        <f t="shared" si="503"/>
        <v>NORMAL</v>
      </c>
      <c r="OB189" s="43" t="str">
        <f t="shared" si="504"/>
        <v/>
      </c>
      <c r="OC189" s="43" t="str">
        <f t="shared" si="505"/>
        <v/>
      </c>
      <c r="OD189" s="43" t="str">
        <f t="shared" si="506"/>
        <v/>
      </c>
      <c r="OE189" s="43" t="str">
        <f t="shared" si="507"/>
        <v/>
      </c>
      <c r="OF189" s="43" t="str">
        <f t="shared" si="508"/>
        <v/>
      </c>
      <c r="OG189" s="43" t="str">
        <f t="shared" si="509"/>
        <v/>
      </c>
      <c r="OH189" s="43" t="str">
        <f t="shared" si="510"/>
        <v/>
      </c>
      <c r="OI189" s="43" t="str">
        <f t="shared" si="511"/>
        <v/>
      </c>
      <c r="OJ189" s="43" t="str">
        <f t="shared" si="512"/>
        <v/>
      </c>
      <c r="OK189" s="43" t="str">
        <f t="shared" si="513"/>
        <v/>
      </c>
      <c r="OL189" s="43" t="str">
        <f t="shared" si="514"/>
        <v/>
      </c>
      <c r="OM189" s="43" t="str">
        <f t="shared" si="515"/>
        <v/>
      </c>
      <c r="ON189" s="43" t="str">
        <f t="shared" si="516"/>
        <v/>
      </c>
      <c r="OO189" s="43" t="str">
        <f t="shared" si="517"/>
        <v/>
      </c>
      <c r="OP189" s="43" t="str">
        <f t="shared" si="518"/>
        <v/>
      </c>
      <c r="OQ189" s="43" t="str">
        <f t="shared" si="519"/>
        <v/>
      </c>
      <c r="OR189" s="43" t="str">
        <f t="shared" si="520"/>
        <v/>
      </c>
      <c r="OS189" s="43" t="str">
        <f t="shared" si="521"/>
        <v/>
      </c>
      <c r="OT189" s="43" t="str">
        <f t="shared" si="522"/>
        <v/>
      </c>
      <c r="OU189" s="43" t="str">
        <f t="shared" si="523"/>
        <v/>
      </c>
      <c r="OV189" s="110" t="str">
        <f t="shared" si="524"/>
        <v/>
      </c>
      <c r="OW189" s="43" t="str">
        <f t="shared" si="525"/>
        <v/>
      </c>
      <c r="OX189" s="43" t="str">
        <f t="shared" si="526"/>
        <v/>
      </c>
      <c r="OY189" s="43" t="str">
        <f t="shared" si="527"/>
        <v/>
      </c>
      <c r="OZ189" s="43" t="str">
        <f t="shared" si="528"/>
        <v/>
      </c>
      <c r="PA189" s="43" t="str">
        <f t="shared" si="529"/>
        <v/>
      </c>
      <c r="PB189" s="43" t="str">
        <f t="shared" si="530"/>
        <v/>
      </c>
      <c r="PC189" s="43" t="str">
        <f t="shared" si="531"/>
        <v/>
      </c>
      <c r="PD189" s="43" t="str">
        <f t="shared" si="532"/>
        <v/>
      </c>
      <c r="PE189" s="43" t="str">
        <f t="shared" si="533"/>
        <v/>
      </c>
      <c r="PF189" s="43" t="str">
        <f t="shared" si="534"/>
        <v/>
      </c>
      <c r="PG189" s="43" t="str">
        <f t="shared" si="535"/>
        <v/>
      </c>
      <c r="PH189" s="43" t="str">
        <f t="shared" si="536"/>
        <v/>
      </c>
      <c r="PI189" s="43">
        <f t="shared" si="537"/>
        <v>29</v>
      </c>
      <c r="PJ189" s="43" t="str">
        <f t="shared" si="538"/>
        <v/>
      </c>
      <c r="PK189" s="43" t="str">
        <f t="shared" si="539"/>
        <v/>
      </c>
      <c r="PL189" s="43" t="str">
        <f t="shared" si="540"/>
        <v/>
      </c>
      <c r="PM189" s="43" t="str">
        <f t="shared" si="541"/>
        <v/>
      </c>
      <c r="PN189" s="43" t="str">
        <f t="shared" si="542"/>
        <v/>
      </c>
      <c r="PO189" s="43" t="str">
        <f t="shared" si="543"/>
        <v/>
      </c>
      <c r="PP189" s="43" t="str">
        <f t="shared" si="544"/>
        <v/>
      </c>
      <c r="PQ189" s="43" t="str">
        <f t="shared" si="545"/>
        <v/>
      </c>
      <c r="PR189" s="43" t="str">
        <f t="shared" si="546"/>
        <v/>
      </c>
      <c r="PS189" s="43" t="str">
        <f t="shared" si="547"/>
        <v/>
      </c>
      <c r="PT189" s="43" t="str">
        <f t="shared" si="548"/>
        <v/>
      </c>
      <c r="PU189" s="43" t="str">
        <f t="shared" si="549"/>
        <v/>
      </c>
      <c r="PV189" s="43" t="str">
        <f t="shared" si="550"/>
        <v/>
      </c>
      <c r="PW189" s="43" t="str">
        <f t="shared" si="551"/>
        <v/>
      </c>
      <c r="PX189" s="43" t="str">
        <f t="shared" si="552"/>
        <v/>
      </c>
      <c r="PY189" s="43" t="str">
        <f t="shared" si="553"/>
        <v/>
      </c>
      <c r="PZ189" s="43" t="str">
        <f t="shared" si="554"/>
        <v/>
      </c>
      <c r="QA189" s="43" t="str">
        <f t="shared" si="555"/>
        <v/>
      </c>
      <c r="QB189" s="43" t="str">
        <f t="shared" si="556"/>
        <v/>
      </c>
      <c r="QC189" s="43" t="str">
        <f t="shared" si="557"/>
        <v/>
      </c>
      <c r="QD189" s="43" t="str">
        <f t="shared" si="558"/>
        <v>NORMAL</v>
      </c>
      <c r="QE189" s="43" t="str">
        <f t="shared" si="559"/>
        <v/>
      </c>
      <c r="QF189" s="43" t="str">
        <f t="shared" si="560"/>
        <v/>
      </c>
      <c r="QG189" s="43" t="str">
        <f t="shared" si="561"/>
        <v/>
      </c>
      <c r="QH189" s="43" t="str">
        <f t="shared" si="562"/>
        <v/>
      </c>
      <c r="QI189" s="43" t="str">
        <f t="shared" si="563"/>
        <v/>
      </c>
      <c r="QJ189" s="43" t="str">
        <f t="shared" si="564"/>
        <v/>
      </c>
      <c r="QK189" s="43" t="str">
        <f t="shared" si="565"/>
        <v/>
      </c>
      <c r="QL189" s="43" t="str">
        <f t="shared" si="566"/>
        <v/>
      </c>
      <c r="QM189" s="43" t="str">
        <f t="shared" si="567"/>
        <v/>
      </c>
      <c r="QN189" s="43" t="str">
        <f t="shared" si="568"/>
        <v/>
      </c>
      <c r="QO189" s="43" t="str">
        <f t="shared" si="569"/>
        <v/>
      </c>
      <c r="QP189" s="43" t="str">
        <f t="shared" si="570"/>
        <v/>
      </c>
      <c r="QQ189" s="43" t="str">
        <f t="shared" si="571"/>
        <v/>
      </c>
      <c r="QR189" s="43">
        <f t="shared" si="672"/>
        <v>29</v>
      </c>
      <c r="QS189" s="43"/>
      <c r="QT189" s="21" t="str">
        <f t="shared" si="572"/>
        <v/>
      </c>
      <c r="QU189" s="21" t="str">
        <f t="shared" si="573"/>
        <v/>
      </c>
      <c r="QV189" s="21" t="str">
        <f t="shared" si="574"/>
        <v/>
      </c>
      <c r="QW189" s="21" t="str">
        <f t="shared" si="575"/>
        <v/>
      </c>
      <c r="QX189" s="21" t="str">
        <f t="shared" si="576"/>
        <v/>
      </c>
      <c r="QY189" s="21" t="str">
        <f t="shared" si="577"/>
        <v/>
      </c>
      <c r="QZ189" s="21" t="str">
        <f t="shared" si="578"/>
        <v/>
      </c>
      <c r="RA189" s="21" t="str">
        <f t="shared" si="579"/>
        <v/>
      </c>
      <c r="RB189" s="21" t="str">
        <f t="shared" si="580"/>
        <v/>
      </c>
      <c r="RC189" s="21" t="str">
        <f t="shared" si="581"/>
        <v/>
      </c>
      <c r="RD189" s="21" t="str">
        <f t="shared" si="582"/>
        <v/>
      </c>
      <c r="RE189" s="21" t="str">
        <f t="shared" si="583"/>
        <v/>
      </c>
      <c r="RF189" s="21" t="str">
        <f t="shared" si="584"/>
        <v/>
      </c>
      <c r="RG189" s="21" t="str">
        <f t="shared" si="585"/>
        <v/>
      </c>
      <c r="RH189" s="21" t="str">
        <f t="shared" si="586"/>
        <v/>
      </c>
      <c r="RI189" s="21" t="str">
        <f t="shared" si="587"/>
        <v/>
      </c>
      <c r="RJ189" s="21" t="str">
        <f t="shared" si="588"/>
        <v>ALTO PARA EDAD GESTACIONAL</v>
      </c>
      <c r="RK189" s="21" t="str">
        <f t="shared" si="589"/>
        <v/>
      </c>
      <c r="RL189" s="21" t="str">
        <f t="shared" si="590"/>
        <v/>
      </c>
      <c r="RM189" s="21" t="str">
        <f t="shared" si="591"/>
        <v/>
      </c>
      <c r="RN189" s="21" t="str">
        <f t="shared" si="592"/>
        <v/>
      </c>
      <c r="RO189" s="21" t="str">
        <f t="shared" si="593"/>
        <v/>
      </c>
      <c r="RP189" s="21" t="str">
        <f t="shared" si="594"/>
        <v/>
      </c>
      <c r="RQ189" s="21" t="str">
        <f t="shared" si="595"/>
        <v/>
      </c>
      <c r="RR189" s="21" t="str">
        <f t="shared" si="596"/>
        <v/>
      </c>
      <c r="RS189" s="21" t="str">
        <f t="shared" si="597"/>
        <v/>
      </c>
      <c r="RT189" s="21" t="str">
        <f t="shared" si="598"/>
        <v/>
      </c>
      <c r="RU189" s="21" t="str">
        <f t="shared" si="599"/>
        <v/>
      </c>
      <c r="RV189" s="21">
        <f t="shared" si="600"/>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3"/>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1"/>
        <v>19.550684931506851</v>
      </c>
      <c r="O190" s="22">
        <v>45020</v>
      </c>
      <c r="P190" s="214" t="str">
        <f t="shared" si="675"/>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2"/>
        <v>0</v>
      </c>
      <c r="BR190" s="223">
        <f t="shared" si="603"/>
        <v>44928.5</v>
      </c>
      <c r="BS190" s="224">
        <f t="shared" si="604"/>
        <v>12.428571428571429</v>
      </c>
      <c r="BT190" s="216" t="str">
        <f t="shared" si="605"/>
        <v>II TRIM</v>
      </c>
      <c r="BU190" s="214">
        <f t="shared" ca="1" si="606"/>
        <v>42.714285714285715</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7"/>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8"/>
        <v>45147</v>
      </c>
      <c r="CL190" s="21">
        <v>60.3</v>
      </c>
      <c r="CM190" s="214">
        <f t="shared" si="609"/>
        <v>25.759323337178007</v>
      </c>
      <c r="CN190" s="216">
        <f t="shared" si="610"/>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9"/>
        <v>APARENTEMENTE NORMAL</v>
      </c>
      <c r="DA190" s="21">
        <v>90</v>
      </c>
      <c r="DB190" s="21">
        <v>60</v>
      </c>
      <c r="DC190" s="217" t="str">
        <f t="shared" si="611"/>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6"/>
        <v>CONCERTAR PLAN DE PARTO INMEDIATO</v>
      </c>
      <c r="DV190" s="226" t="str">
        <f t="shared" si="677"/>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2"/>
        <v>#REF!</v>
      </c>
      <c r="DY190" s="212">
        <f>IF(R190="","",IF(R190&gt;0,MAX(Tabla1[[#This Row],[FECHA C2]:[FECHA C13]],Tabla1[[#This Row],[FECHA CONSULTA PRIMERA VEZ PROGRAMA CPN ]])))</f>
        <v>45147</v>
      </c>
      <c r="DZ190" s="216">
        <f t="shared" si="613"/>
        <v>30</v>
      </c>
      <c r="EA190" s="222">
        <f>IF(R190&gt;0,SUM(COUNTA(DF190:DQ190)+COUNTA(Tabla1[[#This Row],[FECHA CONSULTA PRIMERA VEZ PROGRAMA CPN ]])),"")</f>
        <v>4</v>
      </c>
      <c r="EB190" s="222" t="str">
        <f t="shared" si="614"/>
        <v>SI</v>
      </c>
      <c r="EC190" s="214">
        <f t="shared" si="615"/>
        <v>8</v>
      </c>
      <c r="ED190" s="227">
        <f t="shared" si="616"/>
        <v>0.5</v>
      </c>
      <c r="EE190" s="22">
        <v>45020</v>
      </c>
      <c r="EF190" s="22">
        <v>45020</v>
      </c>
      <c r="EG190" s="22">
        <v>45020</v>
      </c>
      <c r="EH190" s="22"/>
      <c r="EI190" s="22">
        <v>45020</v>
      </c>
      <c r="EJ190" s="22"/>
      <c r="EK190" s="22"/>
      <c r="EL190" s="21"/>
      <c r="EM190" s="21">
        <v>13.3</v>
      </c>
      <c r="EN190" s="22">
        <v>45020</v>
      </c>
      <c r="EO190" s="222">
        <f t="shared" si="617"/>
        <v>12.428571428571429</v>
      </c>
      <c r="EP190" s="214" t="str">
        <f t="shared" si="618"/>
        <v>NORMAL- SUMINISTRAR SULFATO FERROSO</v>
      </c>
      <c r="EQ190" s="216" t="str">
        <f t="shared" si="619"/>
        <v>I TRIM</v>
      </c>
      <c r="ER190" s="24"/>
      <c r="ES190" s="22"/>
      <c r="ET190" s="29" t="str">
        <f t="shared" ca="1" si="678"/>
        <v>TOMA DE HEMOGLOBINA TARDÍA</v>
      </c>
      <c r="EU190" s="25" t="str">
        <f t="shared" si="620"/>
        <v/>
      </c>
      <c r="EV190" s="24"/>
      <c r="EW190" s="24"/>
      <c r="EX190" s="22"/>
      <c r="EY190" s="29" t="str">
        <f t="shared" si="693"/>
        <v>TOMAR EXAMEN</v>
      </c>
      <c r="EZ190" s="25" t="str">
        <f t="shared" ca="1" si="694"/>
        <v/>
      </c>
      <c r="FA190" s="21">
        <v>71</v>
      </c>
      <c r="FB190" s="22">
        <v>45020</v>
      </c>
      <c r="FC190" s="29">
        <f t="shared" si="621"/>
        <v>12.428571428571429</v>
      </c>
      <c r="FD190" s="29"/>
      <c r="FE190" s="29"/>
      <c r="FF190" s="29"/>
      <c r="FG190" s="21" t="str">
        <f t="shared" ca="1" si="622"/>
        <v>TOMAR PTOG</v>
      </c>
      <c r="FH190" s="31"/>
      <c r="FI190" s="29" t="str">
        <f t="shared" si="623"/>
        <v>TOMAR EXAMEN</v>
      </c>
      <c r="FJ190" s="22" t="s">
        <v>867</v>
      </c>
      <c r="FK190" s="22">
        <v>45020</v>
      </c>
      <c r="FL190" s="29">
        <f t="shared" ca="1" si="624"/>
        <v>12.428571428571429</v>
      </c>
      <c r="FM190" s="22"/>
      <c r="FN190" s="22"/>
      <c r="FO190" s="29" t="str">
        <f t="shared" ca="1" si="679"/>
        <v>PIERDE TOMA DE TAMIZAJE</v>
      </c>
      <c r="FP190" s="22"/>
      <c r="FQ190" s="32"/>
      <c r="FR190" s="29" t="str">
        <f t="shared" ca="1" si="680"/>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5"/>
        <v>TOMAR EXAMEN</v>
      </c>
      <c r="FY190" s="22" t="s">
        <v>868</v>
      </c>
      <c r="FZ190" s="22">
        <v>45020</v>
      </c>
      <c r="GA190" s="29">
        <f t="shared" ca="1" si="739"/>
        <v>12.428571428571429</v>
      </c>
      <c r="GB190" s="22"/>
      <c r="GC190" s="22"/>
      <c r="GD190" s="29" t="str">
        <f t="shared" ca="1" si="732"/>
        <v>PIERDE TOMA DE TAMIZAJE</v>
      </c>
      <c r="GE190" s="22"/>
      <c r="GF190" s="22"/>
      <c r="GG190" s="29" t="str">
        <f t="shared" ca="1" si="682"/>
        <v>TOMA INMEDIATA DE TAMIZAJE</v>
      </c>
      <c r="GH190" s="22"/>
      <c r="GI190" s="29"/>
      <c r="GJ190" s="22"/>
      <c r="GK190" s="22"/>
      <c r="GL190" s="22"/>
      <c r="GM190" s="22"/>
      <c r="GN190" s="28" t="s">
        <v>869</v>
      </c>
      <c r="GO190" s="22">
        <v>45020</v>
      </c>
      <c r="GP190" s="29">
        <f t="shared" si="626"/>
        <v>12.428571428571429</v>
      </c>
      <c r="GQ190" s="28" t="s">
        <v>869</v>
      </c>
      <c r="GR190" s="28" t="s">
        <v>869</v>
      </c>
      <c r="GS190" s="22" t="str">
        <f t="shared" si="728"/>
        <v>CONTROL Igm</v>
      </c>
      <c r="GT190" s="22">
        <v>45020</v>
      </c>
      <c r="GU190" s="29">
        <f t="shared" si="628"/>
        <v>12.428571428571429</v>
      </c>
      <c r="GV190" s="21" t="str">
        <f t="shared" si="629"/>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30"/>
        <v>#REF!</v>
      </c>
      <c r="HI190" s="22" t="e">
        <f t="shared" ca="1" si="631"/>
        <v>#REF!</v>
      </c>
      <c r="HJ190" s="21" t="str">
        <f t="shared" ca="1" si="632"/>
        <v>**********************MULTIPARIDAD*****EMBARAZO PROLONGADO************</v>
      </c>
      <c r="HK190" s="21" t="str">
        <f t="shared" si="633"/>
        <v>SIN ANTECEDENTES DE RIESGO</v>
      </c>
      <c r="HL190" s="24" t="str">
        <f t="shared" si="634"/>
        <v>APARENTEMENTE NORMAL</v>
      </c>
      <c r="HM190" s="21" t="e">
        <f t="shared" ca="1" si="635"/>
        <v>#REF!</v>
      </c>
      <c r="HN190" s="30" t="str">
        <f t="shared" si="683"/>
        <v>ACTIVA INGRESO A CPN</v>
      </c>
      <c r="HO190" s="21"/>
      <c r="HP190" s="21"/>
      <c r="HQ190" s="349"/>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6"/>
        <v>PENDIENTE CONSULTA</v>
      </c>
      <c r="IA190" s="26"/>
      <c r="IB190" s="26"/>
      <c r="IC190" s="111">
        <v>45107</v>
      </c>
      <c r="ID190" s="111">
        <v>45107</v>
      </c>
      <c r="IE190" s="22" t="str">
        <f t="shared" ca="1" si="637"/>
        <v>VACUNA APLICADA ENTRE SEMANA 20 Y SEMANA 26</v>
      </c>
      <c r="IF190" s="22"/>
      <c r="IG190" s="22">
        <f t="shared" si="638"/>
        <v>45213</v>
      </c>
      <c r="IH190" s="29">
        <f t="shared" ca="1" si="639"/>
        <v>-19</v>
      </c>
      <c r="II190" s="22" t="str">
        <f t="shared" ca="1" si="640"/>
        <v>POSIBLEMENTE NACIO</v>
      </c>
      <c r="IJ190" s="22"/>
      <c r="IK190" s="21"/>
      <c r="IL190" s="21"/>
      <c r="IM190" s="34"/>
      <c r="IN190" s="22"/>
      <c r="IO190" s="21"/>
      <c r="IP190" s="29" t="str">
        <f t="shared" si="730"/>
        <v/>
      </c>
      <c r="IQ190" s="35"/>
      <c r="IR190" s="21"/>
      <c r="IS190" s="21"/>
      <c r="IT190" s="21"/>
      <c r="IU190" s="21"/>
      <c r="IV190" s="21"/>
      <c r="IW190" s="21"/>
      <c r="IX190" s="21"/>
      <c r="IY190" s="21"/>
      <c r="IZ190" s="21"/>
      <c r="JA190" s="21"/>
      <c r="JB190" s="30"/>
      <c r="JC190" s="21"/>
      <c r="JD190" s="36"/>
      <c r="JE190" s="21" t="str">
        <f t="shared" si="733"/>
        <v/>
      </c>
      <c r="JF190" s="30"/>
      <c r="JG190" s="21"/>
      <c r="JH190" s="21"/>
      <c r="JI190" s="21"/>
      <c r="JJ190" s="30"/>
      <c r="JK190" s="22"/>
      <c r="JL190" s="22"/>
      <c r="JM190" s="21"/>
      <c r="JN190" s="36"/>
      <c r="JO190" s="21" t="str">
        <f t="shared" si="734"/>
        <v/>
      </c>
      <c r="JP190" s="22"/>
      <c r="JQ190" s="21"/>
      <c r="JR190" s="21"/>
      <c r="JS190" s="21"/>
      <c r="JT190" s="30"/>
      <c r="JU190" s="22"/>
      <c r="JV190" s="22"/>
      <c r="JW190" s="33"/>
      <c r="JX190" s="28" t="str">
        <f t="shared" si="735"/>
        <v/>
      </c>
      <c r="JY190" s="33"/>
      <c r="JZ190" s="28" t="str">
        <f t="shared" si="736"/>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7"/>
        <v>0</v>
      </c>
      <c r="MI190" s="43" t="str">
        <f t="shared" si="698"/>
        <v/>
      </c>
      <c r="MJ190" s="43" t="str">
        <f t="shared" si="699"/>
        <v/>
      </c>
      <c r="MK190" s="43">
        <f t="shared" si="700"/>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701"/>
        <v>12.428571428571429</v>
      </c>
      <c r="MN190" s="43">
        <f t="shared" si="702"/>
        <v>4</v>
      </c>
      <c r="MO190" s="43">
        <f t="shared" si="703"/>
        <v>2023</v>
      </c>
      <c r="MP190" s="43" t="str">
        <f t="shared" si="704"/>
        <v>II TRIMESTRE AÑO</v>
      </c>
      <c r="MQ190" s="43">
        <f t="shared" si="705"/>
        <v>18.684296977660971</v>
      </c>
      <c r="MR190" s="43">
        <f t="shared" si="706"/>
        <v>0</v>
      </c>
      <c r="MS190" s="43" t="str">
        <f t="shared" si="707"/>
        <v>DE 14 A 19AÑOS</v>
      </c>
      <c r="MT190" s="43">
        <f t="shared" si="708"/>
        <v>0</v>
      </c>
      <c r="MU190" s="43">
        <f t="shared" si="709"/>
        <v>1</v>
      </c>
      <c r="MV190" s="43">
        <f t="shared" si="710"/>
        <v>0</v>
      </c>
      <c r="MW190" s="43">
        <f t="shared" si="711"/>
        <v>0</v>
      </c>
      <c r="MX190" s="43" t="str">
        <f t="shared" si="712"/>
        <v/>
      </c>
      <c r="MY190" s="43">
        <f t="shared" ca="1" si="737"/>
        <v>1</v>
      </c>
      <c r="MZ190" s="43" t="str">
        <f t="shared" si="713"/>
        <v/>
      </c>
      <c r="NA190" s="43" t="str">
        <f t="shared" si="714"/>
        <v/>
      </c>
      <c r="NB190" s="43" t="str">
        <f t="shared" si="715"/>
        <v/>
      </c>
      <c r="NC190" s="43" t="str">
        <f t="shared" si="716"/>
        <v/>
      </c>
      <c r="ND190" s="43">
        <f t="shared" ca="1" si="717"/>
        <v>2</v>
      </c>
      <c r="NE190" s="43">
        <f>IF(OR(O190&gt;0,R190&gt;0),SUM(COUNTIF(Tabla1[[#This Row],[AÑOS AL INICIO5 CPN]],"&gt;=40"),COUNTIF(AS190,"0"),COUNTIF(AR190,"SI"),COUNTIF(CC190,"SI"),COUNTIF(BQ190,"&gt;119"),COUNTIF(CI190,"&gt;=35")),"")</f>
        <v>1</v>
      </c>
      <c r="NF190" s="43">
        <f t="shared" si="718"/>
        <v>24.857142857142858</v>
      </c>
      <c r="NG190" s="43">
        <f t="shared" si="719"/>
        <v>0</v>
      </c>
      <c r="NH190" s="43">
        <f t="shared" si="720"/>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21"/>
        <v>X</v>
      </c>
      <c r="NM190" s="43" t="str">
        <f t="shared" si="695"/>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2"/>
        <v>II TRIM</v>
      </c>
      <c r="NQ190" s="21" t="str">
        <f t="shared" si="731"/>
        <v/>
      </c>
      <c r="NR190" s="21">
        <f t="shared" ca="1" si="738"/>
        <v>2</v>
      </c>
      <c r="NS190" s="205">
        <f t="shared" ca="1" si="723"/>
        <v>1</v>
      </c>
      <c r="NT190" s="21">
        <f t="shared" ca="1" si="724"/>
        <v>1</v>
      </c>
      <c r="NU190" s="21" t="str">
        <f t="shared" ca="1" si="725"/>
        <v>INCOMPLETO</v>
      </c>
      <c r="NV190" s="21" t="str">
        <f t="shared" ca="1" si="726"/>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7"/>
        <v>VACUNADA</v>
      </c>
      <c r="NY190" s="43">
        <f>ROW(Tabla1[[#This Row],['# DE TAMIZAJES SIFILIS TOMADOS ]])</f>
        <v>190</v>
      </c>
      <c r="NZ190" s="43">
        <f t="shared" si="502"/>
        <v>12</v>
      </c>
      <c r="OA190" s="43" t="str">
        <f t="shared" si="503"/>
        <v/>
      </c>
      <c r="OB190" s="43" t="str">
        <f t="shared" si="504"/>
        <v/>
      </c>
      <c r="OC190" s="43" t="str">
        <f t="shared" si="505"/>
        <v/>
      </c>
      <c r="OD190" s="43" t="str">
        <f t="shared" si="506"/>
        <v>NORMAL</v>
      </c>
      <c r="OE190" s="43" t="str">
        <f t="shared" si="507"/>
        <v/>
      </c>
      <c r="OF190" s="43" t="str">
        <f t="shared" si="508"/>
        <v/>
      </c>
      <c r="OG190" s="43" t="str">
        <f t="shared" si="509"/>
        <v/>
      </c>
      <c r="OH190" s="43" t="str">
        <f t="shared" si="510"/>
        <v/>
      </c>
      <c r="OI190" s="43" t="str">
        <f t="shared" si="511"/>
        <v/>
      </c>
      <c r="OJ190" s="43" t="str">
        <f t="shared" si="512"/>
        <v/>
      </c>
      <c r="OK190" s="43" t="str">
        <f t="shared" si="513"/>
        <v/>
      </c>
      <c r="OL190" s="43" t="str">
        <f t="shared" si="514"/>
        <v/>
      </c>
      <c r="OM190" s="43" t="str">
        <f t="shared" si="515"/>
        <v/>
      </c>
      <c r="ON190" s="43" t="str">
        <f t="shared" si="516"/>
        <v/>
      </c>
      <c r="OO190" s="43" t="str">
        <f t="shared" si="517"/>
        <v/>
      </c>
      <c r="OP190" s="43" t="str">
        <f t="shared" si="518"/>
        <v/>
      </c>
      <c r="OQ190" s="43" t="str">
        <f t="shared" si="519"/>
        <v/>
      </c>
      <c r="OR190" s="43" t="str">
        <f t="shared" si="520"/>
        <v/>
      </c>
      <c r="OS190" s="43" t="str">
        <f t="shared" si="521"/>
        <v/>
      </c>
      <c r="OT190" s="43" t="str">
        <f t="shared" si="522"/>
        <v/>
      </c>
      <c r="OU190" s="43" t="str">
        <f t="shared" si="523"/>
        <v/>
      </c>
      <c r="OV190" s="110" t="str">
        <f t="shared" si="524"/>
        <v/>
      </c>
      <c r="OW190" s="43" t="str">
        <f t="shared" si="525"/>
        <v/>
      </c>
      <c r="OX190" s="43" t="str">
        <f t="shared" si="526"/>
        <v/>
      </c>
      <c r="OY190" s="43" t="str">
        <f t="shared" si="527"/>
        <v/>
      </c>
      <c r="OZ190" s="43" t="str">
        <f t="shared" si="528"/>
        <v/>
      </c>
      <c r="PA190" s="43" t="str">
        <f t="shared" si="529"/>
        <v/>
      </c>
      <c r="PB190" s="43" t="str">
        <f t="shared" si="530"/>
        <v/>
      </c>
      <c r="PC190" s="43" t="str">
        <f t="shared" si="531"/>
        <v/>
      </c>
      <c r="PD190" s="43" t="str">
        <f t="shared" si="532"/>
        <v/>
      </c>
      <c r="PE190" s="43" t="str">
        <f t="shared" si="533"/>
        <v/>
      </c>
      <c r="PF190" s="43" t="str">
        <f t="shared" si="534"/>
        <v/>
      </c>
      <c r="PG190" s="43" t="str">
        <f t="shared" si="535"/>
        <v/>
      </c>
      <c r="PH190" s="43" t="str">
        <f t="shared" si="536"/>
        <v/>
      </c>
      <c r="PI190" s="43">
        <f t="shared" si="537"/>
        <v>30</v>
      </c>
      <c r="PJ190" s="43" t="str">
        <f t="shared" si="538"/>
        <v/>
      </c>
      <c r="PK190" s="43" t="str">
        <f t="shared" si="539"/>
        <v/>
      </c>
      <c r="PL190" s="43" t="str">
        <f t="shared" si="540"/>
        <v/>
      </c>
      <c r="PM190" s="43" t="str">
        <f t="shared" si="541"/>
        <v/>
      </c>
      <c r="PN190" s="43" t="str">
        <f t="shared" si="542"/>
        <v/>
      </c>
      <c r="PO190" s="43" t="str">
        <f t="shared" si="543"/>
        <v/>
      </c>
      <c r="PP190" s="43" t="str">
        <f t="shared" si="544"/>
        <v/>
      </c>
      <c r="PQ190" s="43" t="str">
        <f t="shared" si="545"/>
        <v/>
      </c>
      <c r="PR190" s="43" t="str">
        <f t="shared" si="546"/>
        <v/>
      </c>
      <c r="PS190" s="43" t="str">
        <f t="shared" si="547"/>
        <v/>
      </c>
      <c r="PT190" s="43" t="str">
        <f t="shared" si="548"/>
        <v/>
      </c>
      <c r="PU190" s="43" t="str">
        <f t="shared" si="549"/>
        <v/>
      </c>
      <c r="PV190" s="43" t="str">
        <f t="shared" si="550"/>
        <v/>
      </c>
      <c r="PW190" s="43" t="str">
        <f t="shared" si="551"/>
        <v/>
      </c>
      <c r="PX190" s="43" t="str">
        <f t="shared" si="552"/>
        <v/>
      </c>
      <c r="PY190" s="43" t="str">
        <f t="shared" si="553"/>
        <v/>
      </c>
      <c r="PZ190" s="43" t="str">
        <f t="shared" si="554"/>
        <v/>
      </c>
      <c r="QA190" s="43" t="str">
        <f t="shared" si="555"/>
        <v/>
      </c>
      <c r="QB190" s="43" t="str">
        <f t="shared" si="556"/>
        <v/>
      </c>
      <c r="QC190" s="43" t="str">
        <f t="shared" si="557"/>
        <v/>
      </c>
      <c r="QD190" s="43" t="str">
        <f t="shared" si="558"/>
        <v/>
      </c>
      <c r="QE190" s="43" t="str">
        <f t="shared" si="559"/>
        <v>NORMAL</v>
      </c>
      <c r="QF190" s="43" t="str">
        <f t="shared" si="560"/>
        <v/>
      </c>
      <c r="QG190" s="43" t="str">
        <f t="shared" si="561"/>
        <v/>
      </c>
      <c r="QH190" s="43" t="str">
        <f t="shared" si="562"/>
        <v/>
      </c>
      <c r="QI190" s="43" t="str">
        <f t="shared" si="563"/>
        <v/>
      </c>
      <c r="QJ190" s="43" t="str">
        <f t="shared" si="564"/>
        <v/>
      </c>
      <c r="QK190" s="43" t="str">
        <f t="shared" si="565"/>
        <v/>
      </c>
      <c r="QL190" s="43" t="str">
        <f t="shared" si="566"/>
        <v/>
      </c>
      <c r="QM190" s="43" t="str">
        <f t="shared" si="567"/>
        <v/>
      </c>
      <c r="QN190" s="43" t="str">
        <f t="shared" si="568"/>
        <v/>
      </c>
      <c r="QO190" s="43" t="str">
        <f t="shared" si="569"/>
        <v/>
      </c>
      <c r="QP190" s="43" t="str">
        <f t="shared" si="570"/>
        <v/>
      </c>
      <c r="QQ190" s="43" t="str">
        <f t="shared" si="571"/>
        <v/>
      </c>
      <c r="QR190" s="43">
        <f t="shared" si="672"/>
        <v>30</v>
      </c>
      <c r="QS190" s="43"/>
      <c r="QT190" s="21" t="str">
        <f t="shared" si="572"/>
        <v/>
      </c>
      <c r="QU190" s="21" t="str">
        <f t="shared" si="573"/>
        <v/>
      </c>
      <c r="QV190" s="21" t="str">
        <f t="shared" si="574"/>
        <v/>
      </c>
      <c r="QW190" s="21" t="str">
        <f t="shared" si="575"/>
        <v/>
      </c>
      <c r="QX190" s="21" t="str">
        <f t="shared" si="576"/>
        <v/>
      </c>
      <c r="QY190" s="21" t="str">
        <f t="shared" si="577"/>
        <v/>
      </c>
      <c r="QZ190" s="21" t="str">
        <f t="shared" si="578"/>
        <v/>
      </c>
      <c r="RA190" s="21" t="str">
        <f t="shared" si="579"/>
        <v/>
      </c>
      <c r="RB190" s="21" t="str">
        <f t="shared" si="580"/>
        <v/>
      </c>
      <c r="RC190" s="21" t="str">
        <f t="shared" si="581"/>
        <v/>
      </c>
      <c r="RD190" s="21" t="str">
        <f t="shared" si="582"/>
        <v/>
      </c>
      <c r="RE190" s="21" t="str">
        <f t="shared" si="583"/>
        <v/>
      </c>
      <c r="RF190" s="21" t="str">
        <f t="shared" si="584"/>
        <v/>
      </c>
      <c r="RG190" s="21" t="str">
        <f t="shared" si="585"/>
        <v/>
      </c>
      <c r="RH190" s="21" t="str">
        <f t="shared" si="586"/>
        <v/>
      </c>
      <c r="RI190" s="21" t="str">
        <f t="shared" si="587"/>
        <v/>
      </c>
      <c r="RJ190" s="21" t="str">
        <f t="shared" si="588"/>
        <v/>
      </c>
      <c r="RK190" s="21" t="str">
        <f t="shared" si="589"/>
        <v/>
      </c>
      <c r="RL190" s="21" t="str">
        <f t="shared" si="590"/>
        <v/>
      </c>
      <c r="RM190" s="21" t="str">
        <f t="shared" si="591"/>
        <v/>
      </c>
      <c r="RN190" s="21" t="str">
        <f t="shared" si="592"/>
        <v/>
      </c>
      <c r="RO190" s="21" t="str">
        <f t="shared" si="593"/>
        <v/>
      </c>
      <c r="RP190" s="21" t="str">
        <f t="shared" si="594"/>
        <v/>
      </c>
      <c r="RQ190" s="21" t="str">
        <f t="shared" si="595"/>
        <v/>
      </c>
      <c r="RR190" s="21" t="str">
        <f t="shared" si="596"/>
        <v/>
      </c>
      <c r="RS190" s="21" t="str">
        <f t="shared" si="597"/>
        <v/>
      </c>
      <c r="RT190" s="21" t="str">
        <f t="shared" si="598"/>
        <v/>
      </c>
      <c r="RU190" s="21" t="str">
        <f t="shared" si="599"/>
        <v/>
      </c>
      <c r="RV190" s="21">
        <f t="shared" si="600"/>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3"/>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1"/>
        <v>23.589041095890412</v>
      </c>
      <c r="O191" s="22">
        <v>45069</v>
      </c>
      <c r="P191" s="214" t="str">
        <f t="shared" si="675"/>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2"/>
        <v>0</v>
      </c>
      <c r="BR191" s="223" t="str">
        <f t="shared" si="603"/>
        <v/>
      </c>
      <c r="BS191" s="224">
        <f t="shared" si="604"/>
        <v>17.428571428571427</v>
      </c>
      <c r="BT191" s="216" t="str">
        <f t="shared" si="605"/>
        <v>II TRIM</v>
      </c>
      <c r="BU191" s="214">
        <f t="shared" ca="1" si="606"/>
        <v>40.714285714285715</v>
      </c>
      <c r="BV191" s="25"/>
      <c r="BW191" s="22"/>
      <c r="BX191" s="28"/>
      <c r="BY191" s="28"/>
      <c r="BZ191" s="22"/>
      <c r="CA191" s="21"/>
      <c r="CB191" s="26" t="s">
        <v>864</v>
      </c>
      <c r="CC191" s="26" t="s">
        <v>864</v>
      </c>
      <c r="CD191" s="26"/>
      <c r="CE191" s="26" t="s">
        <v>864</v>
      </c>
      <c r="CF191" s="22" t="s">
        <v>1517</v>
      </c>
      <c r="CG191" s="21">
        <v>1.41</v>
      </c>
      <c r="CH191" s="21">
        <v>77.5</v>
      </c>
      <c r="CI191" s="214">
        <f t="shared" si="607"/>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8"/>
        <v>45069</v>
      </c>
      <c r="CL191" s="21">
        <v>77.5</v>
      </c>
      <c r="CM191" s="214">
        <f t="shared" si="609"/>
        <v>38.981942558221419</v>
      </c>
      <c r="CN191" s="216">
        <f t="shared" si="610"/>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1"/>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6"/>
        <v>CONCERTAR PLAN DE PARTO INMEDIATO</v>
      </c>
      <c r="DV191" s="226" t="str">
        <f t="shared" si="677"/>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2"/>
        <v>#REF!</v>
      </c>
      <c r="DY191" s="212">
        <f>IF(R191="","",IF(R191&gt;0,MAX(Tabla1[[#This Row],[FECHA C2]:[FECHA C13]],Tabla1[[#This Row],[FECHA CONSULTA PRIMERA VEZ PROGRAMA CPN ]])))</f>
        <v>45069</v>
      </c>
      <c r="DZ191" s="216">
        <f t="shared" si="613"/>
        <v>17</v>
      </c>
      <c r="EA191" s="222">
        <f>IF(R191&gt;0,SUM(COUNTA(DF191:DQ191)+COUNTA(Tabla1[[#This Row],[FECHA CONSULTA PRIMERA VEZ PROGRAMA CPN ]])),"")</f>
        <v>2</v>
      </c>
      <c r="EB191" s="222" t="str">
        <f t="shared" si="614"/>
        <v>NO</v>
      </c>
      <c r="EC191" s="214">
        <f t="shared" si="615"/>
        <v>7</v>
      </c>
      <c r="ED191" s="227">
        <f t="shared" si="616"/>
        <v>0.2857142857142857</v>
      </c>
      <c r="EE191" s="22">
        <v>45007</v>
      </c>
      <c r="EF191" s="22">
        <v>45072</v>
      </c>
      <c r="EG191" s="22">
        <v>45007</v>
      </c>
      <c r="EH191" s="22"/>
      <c r="EI191" s="22">
        <v>45007</v>
      </c>
      <c r="EJ191" s="22"/>
      <c r="EK191" s="22"/>
      <c r="EL191" s="21"/>
      <c r="EM191" s="21">
        <v>13.3</v>
      </c>
      <c r="EN191" s="22">
        <v>45072</v>
      </c>
      <c r="EO191" s="222">
        <f t="shared" si="617"/>
        <v>17.857142857142858</v>
      </c>
      <c r="EP191" s="214" t="str">
        <f t="shared" si="618"/>
        <v>NORMAL- SUMINISTRAR SULFATO FERROSO</v>
      </c>
      <c r="EQ191" s="216" t="str">
        <f t="shared" si="619"/>
        <v>II TRIM</v>
      </c>
      <c r="ER191" s="24"/>
      <c r="ES191" s="22"/>
      <c r="ET191" s="29" t="str">
        <f t="shared" ca="1" si="678"/>
        <v>TOMA DE HEMOGLOBINA TARDÍA</v>
      </c>
      <c r="EU191" s="25" t="str">
        <f t="shared" si="620"/>
        <v/>
      </c>
      <c r="EV191" s="24" t="s">
        <v>1510</v>
      </c>
      <c r="EW191" s="32">
        <v>45013</v>
      </c>
      <c r="EX191" s="22"/>
      <c r="EY191" s="29">
        <f t="shared" si="693"/>
        <v>9.4285714285714288</v>
      </c>
      <c r="EZ191" s="25" t="str">
        <f t="shared" si="694"/>
        <v>SIN RIESGO DE ISOINMUNIZACIÓN</v>
      </c>
      <c r="FA191" s="21">
        <v>56</v>
      </c>
      <c r="FB191" s="22">
        <v>45013</v>
      </c>
      <c r="FC191" s="29">
        <f t="shared" si="621"/>
        <v>9.4285714285714288</v>
      </c>
      <c r="FD191" s="29"/>
      <c r="FE191" s="29"/>
      <c r="FF191" s="29"/>
      <c r="FG191" s="21" t="str">
        <f t="shared" ca="1" si="622"/>
        <v>TOMAR PTOG</v>
      </c>
      <c r="FH191" s="31"/>
      <c r="FI191" s="29" t="str">
        <f t="shared" si="623"/>
        <v>TOMAR EXAMEN</v>
      </c>
      <c r="FJ191" s="22" t="s">
        <v>867</v>
      </c>
      <c r="FK191" s="22">
        <v>45013</v>
      </c>
      <c r="FL191" s="29">
        <f t="shared" ca="1" si="624"/>
        <v>9.4285714285714288</v>
      </c>
      <c r="FM191" s="22"/>
      <c r="FN191" s="32"/>
      <c r="FO191" s="29" t="str">
        <f t="shared" ca="1" si="679"/>
        <v>PIERDE TOMA DE TAMIZAJE</v>
      </c>
      <c r="FP191" s="22"/>
      <c r="FQ191" s="32"/>
      <c r="FR191" s="29" t="str">
        <f t="shared" ca="1" si="680"/>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5"/>
        <v>TOMAR EXAMEN</v>
      </c>
      <c r="FY191" s="22" t="s">
        <v>868</v>
      </c>
      <c r="FZ191" s="22">
        <v>45013</v>
      </c>
      <c r="GA191" s="29">
        <f t="shared" ca="1" si="739"/>
        <v>9.4285714285714288</v>
      </c>
      <c r="GB191" s="22"/>
      <c r="GC191" s="22"/>
      <c r="GD191" s="29" t="str">
        <f t="shared" ca="1" si="732"/>
        <v>PIERDE TOMA DE TAMIZAJE</v>
      </c>
      <c r="GE191" s="22"/>
      <c r="GF191" s="22"/>
      <c r="GG191" s="29" t="str">
        <f t="shared" ca="1" si="682"/>
        <v>TOMA INMEDIATA DE TAMIZAJE</v>
      </c>
      <c r="GH191" s="22"/>
      <c r="GI191" s="29"/>
      <c r="GJ191" s="22"/>
      <c r="GK191" s="22"/>
      <c r="GL191" s="22"/>
      <c r="GM191" s="22"/>
      <c r="GN191" s="28"/>
      <c r="GO191" s="22"/>
      <c r="GP191" s="29" t="str">
        <f t="shared" si="626"/>
        <v>TOMAR EXAMEN</v>
      </c>
      <c r="GQ191" s="28"/>
      <c r="GR191" s="28"/>
      <c r="GS191" s="22" t="str">
        <f t="shared" si="728"/>
        <v/>
      </c>
      <c r="GT191" s="22"/>
      <c r="GU191" s="29" t="str">
        <f t="shared" si="628"/>
        <v>TOMAR EXAMEN</v>
      </c>
      <c r="GV191" s="21" t="str">
        <f t="shared" si="629"/>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30"/>
        <v>#REF!</v>
      </c>
      <c r="HI191" s="22" t="e">
        <f t="shared" ca="1" si="631"/>
        <v>#REF!</v>
      </c>
      <c r="HJ191" s="21" t="str">
        <f t="shared" ca="1" si="632"/>
        <v>***************************************</v>
      </c>
      <c r="HK191" s="21" t="str">
        <f t="shared" si="633"/>
        <v>SIN ANTECEDENTES DE RIESGO</v>
      </c>
      <c r="HL191" s="24" t="str">
        <f t="shared" si="634"/>
        <v>APARENTEMENTE NORMAL</v>
      </c>
      <c r="HM191" s="21" t="e">
        <f t="shared" ca="1" si="635"/>
        <v>#REF!</v>
      </c>
      <c r="HN191" s="30" t="str">
        <f t="shared" si="683"/>
        <v>ACTIVA INGRESO A CPN</v>
      </c>
      <c r="HO191" s="21"/>
      <c r="HP191" s="21"/>
      <c r="HQ191" s="349"/>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6"/>
        <v>PENDIENTE CONSULTA</v>
      </c>
      <c r="IA191" s="26"/>
      <c r="IB191" s="26"/>
      <c r="IC191" s="111"/>
      <c r="ID191" s="22"/>
      <c r="IE191" s="22" t="str">
        <f t="shared" ca="1" si="637"/>
        <v>INASISTENTE</v>
      </c>
      <c r="IF191" s="22"/>
      <c r="IG191" s="22">
        <f t="shared" si="638"/>
        <v>45227</v>
      </c>
      <c r="IH191" s="29">
        <f t="shared" ca="1" si="639"/>
        <v>-5</v>
      </c>
      <c r="II191" s="22" t="str">
        <f t="shared" ca="1" si="640"/>
        <v>POSIBLEMENTE NACIO</v>
      </c>
      <c r="IJ191" s="22"/>
      <c r="IK191" s="21"/>
      <c r="IL191" s="21"/>
      <c r="IM191" s="34"/>
      <c r="IN191" s="22"/>
      <c r="IO191" s="21"/>
      <c r="IP191" s="29" t="str">
        <f t="shared" si="730"/>
        <v/>
      </c>
      <c r="IQ191" s="35"/>
      <c r="IR191" s="21"/>
      <c r="IS191" s="21"/>
      <c r="IT191" s="21"/>
      <c r="IU191" s="21"/>
      <c r="IV191" s="21"/>
      <c r="IW191" s="21"/>
      <c r="IX191" s="21"/>
      <c r="IY191" s="21"/>
      <c r="IZ191" s="21"/>
      <c r="JA191" s="21"/>
      <c r="JB191" s="30"/>
      <c r="JC191" s="21"/>
      <c r="JD191" s="36"/>
      <c r="JE191" s="21" t="str">
        <f t="shared" si="733"/>
        <v/>
      </c>
      <c r="JF191" s="30"/>
      <c r="JG191" s="21"/>
      <c r="JH191" s="21"/>
      <c r="JI191" s="21"/>
      <c r="JJ191" s="30"/>
      <c r="JK191" s="22"/>
      <c r="JL191" s="22"/>
      <c r="JM191" s="21"/>
      <c r="JN191" s="36"/>
      <c r="JO191" s="21" t="str">
        <f t="shared" si="734"/>
        <v/>
      </c>
      <c r="JP191" s="22"/>
      <c r="JQ191" s="21"/>
      <c r="JR191" s="21"/>
      <c r="JS191" s="21"/>
      <c r="JT191" s="30"/>
      <c r="JU191" s="22"/>
      <c r="JV191" s="22"/>
      <c r="JW191" s="33"/>
      <c r="JX191" s="28" t="str">
        <f t="shared" si="735"/>
        <v/>
      </c>
      <c r="JY191" s="33"/>
      <c r="JZ191" s="28" t="str">
        <f t="shared" si="736"/>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7"/>
        <v>0</v>
      </c>
      <c r="MI191" s="43" t="str">
        <f t="shared" si="698"/>
        <v/>
      </c>
      <c r="MJ191" s="43" t="str">
        <f t="shared" si="699"/>
        <v/>
      </c>
      <c r="MK191" s="43">
        <f t="shared" si="700"/>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701"/>
        <v>17.428571428571427</v>
      </c>
      <c r="MN191" s="43">
        <f t="shared" si="702"/>
        <v>5</v>
      </c>
      <c r="MO191" s="43">
        <f t="shared" si="703"/>
        <v>2023</v>
      </c>
      <c r="MP191" s="43" t="str">
        <f t="shared" si="704"/>
        <v>II TRIMESTRE AÑO</v>
      </c>
      <c r="MQ191" s="43">
        <f t="shared" si="705"/>
        <v>22.796211125711782</v>
      </c>
      <c r="MR191" s="43">
        <f t="shared" si="706"/>
        <v>0</v>
      </c>
      <c r="MS191" s="43" t="str">
        <f t="shared" si="707"/>
        <v xml:space="preserve"> DE 20 A 24 AÑOS</v>
      </c>
      <c r="MT191" s="43">
        <f t="shared" si="708"/>
        <v>0</v>
      </c>
      <c r="MU191" s="43">
        <f t="shared" si="709"/>
        <v>0</v>
      </c>
      <c r="MV191" s="43">
        <f t="shared" si="710"/>
        <v>0</v>
      </c>
      <c r="MW191" s="43">
        <f t="shared" si="711"/>
        <v>0</v>
      </c>
      <c r="MX191" s="43" t="str">
        <f t="shared" si="712"/>
        <v/>
      </c>
      <c r="MY191" s="43" t="str">
        <f t="shared" ca="1" si="737"/>
        <v/>
      </c>
      <c r="MZ191" s="43" t="str">
        <f t="shared" si="713"/>
        <v/>
      </c>
      <c r="NA191" s="43" t="str">
        <f t="shared" si="714"/>
        <v/>
      </c>
      <c r="NB191" s="43" t="str">
        <f t="shared" si="715"/>
        <v/>
      </c>
      <c r="NC191" s="43" t="str">
        <f t="shared" si="716"/>
        <v/>
      </c>
      <c r="ND191" s="43">
        <f t="shared" ca="1" si="717"/>
        <v>0</v>
      </c>
      <c r="NE191" s="43">
        <f>IF(OR(O191&gt;0,R191&gt;0),SUM(COUNTIF(Tabla1[[#This Row],[AÑOS AL INICIO5 CPN]],"&gt;=40"),COUNTIF(AS191,"0"),COUNTIF(AR191,"SI"),COUNTIF(CC191,"SI"),COUNTIF(BQ191,"&gt;119"),COUNTIF(CI191,"&gt;=35")),"")</f>
        <v>1</v>
      </c>
      <c r="NF191" s="43" t="str">
        <f t="shared" si="718"/>
        <v/>
      </c>
      <c r="NG191" s="43">
        <f t="shared" si="719"/>
        <v>0</v>
      </c>
      <c r="NH191" s="43" t="str">
        <f t="shared" si="720"/>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21"/>
        <v>X</v>
      </c>
      <c r="NM191" s="43" t="str">
        <f t="shared" si="695"/>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2"/>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8"/>
        <v>2</v>
      </c>
      <c r="NS191" s="205">
        <f t="shared" ca="1" si="723"/>
        <v>1</v>
      </c>
      <c r="NT191" s="21">
        <f t="shared" ca="1" si="724"/>
        <v>1</v>
      </c>
      <c r="NU191" s="21" t="str">
        <f t="shared" ca="1" si="725"/>
        <v>INCOMPLETO</v>
      </c>
      <c r="NV191" s="21" t="str">
        <f t="shared" ca="1" si="726"/>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7"/>
        <v>SIN VACUNAR</v>
      </c>
      <c r="NY191" s="43">
        <f>ROW(Tabla1[[#This Row],['# DE TAMIZAJES SIFILIS TOMADOS ]])</f>
        <v>191</v>
      </c>
      <c r="NZ191" s="43">
        <f t="shared" ref="NZ191:NZ218" si="740">IF(BS191="","",IF(BS191&lt;10,"Menor",INT(BS191)))</f>
        <v>17</v>
      </c>
      <c r="OA191" s="43" t="str">
        <f t="shared" ref="OA191:OA218" si="741">IF(AND(NZ191=$OA$2,CI191&gt;10,CI191&lt;18.5),"BAJO PESO",IF(AND(NZ191=$OA$2,CI191&gt;18.4,CI191&lt;25),"NORMAL",IF(AND(NZ191=$OA$2,CI191&gt;24,CI191&lt;30),"SOBREPESO",IF(AND(NZ191=$OA$2,CI191&gt;29,CI191&lt;50),"OBESIDAD",""))))</f>
        <v/>
      </c>
      <c r="OB191" s="43" t="str">
        <f t="shared" ref="OB191:OB218" si="742">IF(AND(NZ191=$OB$2,CI191&gt;10,CI191&lt;20.3),"BAJO PESO",IF(AND(NZ191=$OB$2,CI191&gt;20.2,CI191&lt;25.3),"NORMAL",IF(AND(NZ191=$OB$2,CI191&gt;25.2,CI191&lt;30.3),"SOBREPESO",IF(AND(NZ191=$OB$2,CI191&gt;30.2,CI191&lt;50),"OBESIDAD",""))))</f>
        <v/>
      </c>
      <c r="OC191" s="43" t="str">
        <f t="shared" ref="OC191:OC218" si="743">IF(AND(NZ191=$OC$2,CI191&gt;10,CI191&lt;20.4),"BAJO PESO",IF(AND(NZ191=$OC$2,CI191&gt;20.3,CI191&lt;25.4),"NORMAL",IF(AND(NZ191=$OC$2,CI191&gt;25.3,CI191&lt;30.4),"SOBREPESO",IF(AND(NZ191=$OC$2,CI191&gt;30.3,CI191&lt;50),"OBESIDAD",""))))</f>
        <v/>
      </c>
      <c r="OD191" s="43" t="str">
        <f t="shared" ref="OD191:OD218" si="744">IF(AND(NZ191=$OD$2,CI191&gt;10,CI191&lt;20.5),"BAJO PESO",IF(AND(NZ191=$OD$2,CI191&gt;20.4,CI191&lt;25.5),"NORMAL",IF(AND(NZ191=$OD$2,CI191&gt;25.4,CI191&lt;30.4),"SOBREPESO",IF(AND(NZ191=$OD$2,CI191&gt;30.3,CI191&lt;50),"OBESIDAD",""))))</f>
        <v/>
      </c>
      <c r="OE191" s="43" t="str">
        <f t="shared" ref="OE191:OE218" si="745">IF(AND(NZ191=$OE$2,CI191&gt;10,CI191&lt;20.7),"BAJO PESO",IF(AND(NZ191=$OE$2,CI191&gt;20.6,CI191&lt;25.7),"NORMAL",IF(AND(NZ191=$OE$2,CI191&gt;25.7,CI191&lt;30.5),"SOBREPESO",IF(AND(NZ191=$OE$2,CI191&gt;30.4,CI191&lt;50),"OBESIDAD",""))))</f>
        <v/>
      </c>
      <c r="OF191" s="43" t="str">
        <f t="shared" ref="OF191:OF218" si="746">IF(AND(NZ191=$OF$2,CI191&gt;10,CI191&lt;20.8),"BAJO PESO",IF(AND(NZ191=$OF$2,CI191&gt;20.7,CI191&lt;25.8),"NORMAL",IF(AND(NZ191=$OF$2,CI191&gt;25.7,CI191&lt;30.6),"SOBREPESO",IF(AND(NZ191=$OF$2,CI191&gt;30.5,CI191&lt;50),"OBESIDAD",""))))</f>
        <v/>
      </c>
      <c r="OG191" s="43" t="str">
        <f t="shared" ref="OG191:OG218" si="747">IF(AND(NZ191=$OG$2,CI191&gt;10,CI191&lt;20.9),"BAJO PESO",IF(AND(NZ191=$OG$2,CI191&gt;20.8,CI191&lt;25.9),"NORMAL",IF(AND(NZ191=$OG$2,CI191&gt;25.8,CI191&lt;30.7),"SOBREPESO",IF(AND(NZ191=$OG$2,CI191&gt;30.6,CI191&lt;50),"OBESIDAD",""))))</f>
        <v/>
      </c>
      <c r="OH191" s="43" t="str">
        <f t="shared" ref="OH191:OH218" si="748">IF(AND(NZ191=$OH$2,CI191&gt;10,CI191&lt;21.1),"BAJO PESO",IF(AND(NZ191=$OH$2,CI191&gt;21,CI191&lt;26),"NORMAL",IF(AND(NZ191=$OH$2,CI191&gt;25.9,CI191&lt;30.8),"SOBREPESO",IF(AND(NZ191=$OH$2,CI191&gt;30.7,CI191&lt;50),"OBESIDAD",""))))</f>
        <v/>
      </c>
      <c r="OI191" s="43" t="str">
        <f t="shared" ref="OI191:OI218" si="749">IF(AND(NZ191=$OI$2,CI191&gt;10,CI191&lt;21.2),"BAJO PESO",IF(AND(NZ191=$OI$2,CI191&gt;21.1,CI191&lt;26.1),"NORMAL",IF(AND(NZ191=$OI$2,CI191&gt;26,CI191&lt;31.9),"SOBREPESO",IF(AND(NZ191=$OI$2,CI191&gt;30.8,CI191&lt;50),"OBESIDAD",""))))</f>
        <v>OBESIDAD</v>
      </c>
      <c r="OJ191" s="43" t="str">
        <f t="shared" ref="OJ191:OJ218" si="750">IF(AND(NZ191=$OJ$2,CI191&gt;10,CI191&lt;21.3),"BAJO PESO",IF(AND(NZ191=$OJ$2,CI191&gt;21.2,CI191&lt;26.2),"NORMAL",IF(AND(NZ191=$OJ$2,CI191&gt;26.1,CI191&lt;31),"SOBREPESO",IF(AND(NZ191=$OJ$2,CI191&gt;30.9,CI191&lt;50),"OBESIDAD",""))))</f>
        <v/>
      </c>
      <c r="OK191" s="43" t="str">
        <f t="shared" ref="OK191:OK218" si="751">IF(AND(NZ191=$OK$2,CI191&gt;10,CI191&lt;21.5),"BAJO PESO",IF(AND(NZ191=$OK$2,CI191&gt;21.4,CI191&lt;26.3),"NORMAL",IF(AND(NZ191=$OK$2,CI191&gt;26.2,CI191&lt;31),"SOBREPESO",IF(AND(NZ191=$OK$2,CI191&gt;30.9,CI191&lt;50),"OBESIDAD",""))))</f>
        <v/>
      </c>
      <c r="OL191" s="43" t="str">
        <f t="shared" ref="OL191:OL218" si="752">IF(AND(NZ191=$OL$2,CI191&gt;10,CI191&lt;21.6),"BAJO PESO",IF(AND(NZ191=$OL$2,CI191&gt;21.5,CI191&lt;26.4),"NORMAL",IF(AND(NZ191=$OL$2,CI191&gt;26.3,CI191&lt;31.1),"SOBREPESO",IF(AND(NZ191=$OL$2,CI191&gt;31,CI191&lt;50),"OBESIDAD",""))))</f>
        <v/>
      </c>
      <c r="OM191" s="43" t="str">
        <f t="shared" ref="OM191:OM218" si="753">IF(AND(NZ191=$OM$2,CI191&gt;10,CI191&lt;21.8),"BAJO PESO",IF(AND(NZ191=$OM$2,CI191&gt;21.7,CI191&lt;26.5),"NORMAL",IF(AND(NZ191=$OM$2,CI191&gt;26.4,CI191&lt;31.2),"SOBREPESO",IF(AND(NZ191=$OM$2,CI191&gt;31.1,CI191&lt;50),"OBESIDAD",""))))</f>
        <v/>
      </c>
      <c r="ON191" s="43" t="str">
        <f t="shared" ref="ON191:ON218" si="754">IF(AND(NZ191=$ON$2,CI191&gt;10,CI191&lt;21.9),"BAJO PESO",IF(AND(NZ191=$ON$2,CI191&gt;21.8,CI191&lt;26.7),"NORMAL",IF(AND(NZ191=$ON$2,CI191&gt;26.6,CI191&lt;31.3),"SOBREPESO",IF(AND(NZ191=$ON$2,CI191&gt;31.2,CI191&lt;50),"OBESIDAD",""))))</f>
        <v/>
      </c>
      <c r="OO191" s="43" t="str">
        <f t="shared" ref="OO191:OO218" si="755">IF(AND(NZ191=$OO$2,CI191&gt;10,CI191&lt;22.1),"BAJO PESO",IF(AND(NZ191=$OO$2,CI191&gt;22,CI191&lt;26.8),"NORMAL",IF(AND(NZ191=$OO$2,CI191&gt;26.7,CI191&lt;31.4),"SOBREPESO",IF(AND(NZ191=$OO$2,CI191&gt;31.3,CI191&lt;50),"OBESIDAD",""))))</f>
        <v/>
      </c>
      <c r="OP191" s="43" t="str">
        <f t="shared" ref="OP191:OP218" si="756">IF(AND(NZ191=$OP$2,CI191&gt;10,CI191&lt;22.3),"BAJO PESO",IF(AND(NZ191=$OP$2,CI191&gt;22.2,CI191&lt;27),"NORMAL",IF(AND(NZ191=$OP$2,CI191&gt;26.9,CI191&lt;31.6),"SOBREPESO",IF(AND(NZ191=$OP$2,CI191&gt;31.5,CI191&lt;50),"OBESIDAD",""))))</f>
        <v/>
      </c>
      <c r="OQ191" s="43" t="str">
        <f t="shared" ref="OQ191:OQ218" si="757">IF(AND(NZ191=$OQ$2,$CI191&gt;10,CI191&lt;22.5),"BAJO PESO",IF(AND(NZ191=$OQ$2,CI191&gt;22.4,CI191&lt;27.1),"NORMAL",IF(AND(NZ191=$OQ$2,CI191&gt;27,CI191&lt;31.7),"SOBREPESO",IF(AND(NZ191=$OQ$2,CI191&gt;31.6,CI191&lt;50),"OBESIDAD",""))))</f>
        <v/>
      </c>
      <c r="OR191" s="43" t="str">
        <f t="shared" ref="OR191:OR218" si="758">IF(AND(NZ191=$OR$2,CI191&gt;10,CI191&lt;22.7),"BAJO PESO",IF(AND(NZ191=$OR$2,CI191&gt;22.6,CI191&lt;27.3),"NORMAL",IF(AND(NZ191=$OR$2,CI191&gt;27.1,CI191&lt;31.8),"SOBREPESO",IF(AND(NZ191=$OR$2,CI191&gt;31.7,CI191&lt;50),"OBESIDAD",""))))</f>
        <v/>
      </c>
      <c r="OS191" s="43" t="str">
        <f t="shared" ref="OS191:OS218" si="759">IF(AND(NZ191=$OS$2,CI191&gt;10,CI191&lt;22.8),"BAJO PESO",IF(AND(NZ191=$OS$2,CI191&gt;22.7,CI191&lt;27.4),"NORMAL",IF(AND(NZ191=$OS$2,CI191&gt;27.3,CI191&lt;31.9),"SOBREPESO",IF(AND(NZ191=$OS$2,CI191&gt;31.8,CI191&lt;50),"OBESIDAD",""))))</f>
        <v/>
      </c>
      <c r="OT191" s="43" t="str">
        <f t="shared" ref="OT191:OT218" si="760">IF(AND(NZ191=$OT$2,CI191&gt;10,CI191&lt;23),"BAJO PESO",IF(AND(NZ191=$OT$2,CI191&gt;22.9,CI191&lt;27.6),"NORMAL",IF(AND(NZ191=$OT$2,CI191&gt;27.5,CI191&lt;32),"SOBREPESO",IF(AND(NZ191=$OT$2,CI191&gt;31.9,CI191&lt;50),"OBESIDAD",""))))</f>
        <v/>
      </c>
      <c r="OU191" s="43" t="str">
        <f t="shared" ref="OU191:OU218" si="761">IF(AND(NZ191=$OU$2,CI191&gt;10,CI191&lt;23.2),"BAJO PESO",IF(AND(NZ191=$OU$2,CI191&gt;23.1,CI191&lt;27.7),"NORMAL",IF(AND(NZ191=$OU$2,CI191&gt;27.6,CI191&lt;32.1),"SOBREPESO",IF(AND(NZ191=$OU$2,CI191&gt;32,CI191&lt;50),"OBESIDAD",""))))</f>
        <v/>
      </c>
      <c r="OV191" s="110" t="str">
        <f t="shared" ref="OV191:OV218" si="762">IF(AND(NZ191=$OV$2,CI191&gt;10,CI191&lt;23.4),"BAJO PESO",IF(AND(NZ191=$OV$2,CI191&gt;23.3,CI191&lt;27.9),"NORMAL",IF(AND(NZ191=$OV$2,CI191&gt;27.8,CI191&lt;32.2),"SOBREPESO",IF(AND(NZ191=$OV$2,CI191&gt;32.1,CI191&lt;50),"OBESIDAD",""))))</f>
        <v/>
      </c>
      <c r="OW191" s="43" t="str">
        <f t="shared" ref="OW191:OW218" si="763">IF(AND(NZ191=$OW$2,CI191&gt;10,CI191&lt;23.5),"BAJO PESO",IF(AND(NZ191=$OW$2,CI191&gt;23.4,CI191&lt;28),"NORMAL",IF(AND(NZ191=$OW$2,CI191&gt;27.9,CI191&lt;32.1),"SOBREPESO",IF(AND(NZ191=$OW$2,CI191&gt;32.2,CI191&lt;50),"OBESIDAD",""))))</f>
        <v/>
      </c>
      <c r="OX191" s="43" t="str">
        <f t="shared" ref="OX191:OX218" si="764">IF(AND(NZ191=$OX$2,CI191&gt;10,CI191&lt;23.7),"BAJO PESO",IF(AND(NZ191=$OX$2,CI191&gt;23.6,CI191&lt;28.1),"NORMAL",IF(AND(NZ191=$OX$2,CI191&gt;28,CI191&lt;33.4),"SOBREPESO",IF(AND(NZ191=$OX$2,CI191&gt;33.3,CI191&lt;50),"OBESIDAD",""))))</f>
        <v/>
      </c>
      <c r="OY191" s="43" t="str">
        <f t="shared" ref="OY191:OY218" si="765">IF(AND(NZ191=$OY$2,CI191&gt;10,CI191&lt;23.9),"BAJO PESO",IF(AND(NZ191=$OY$2,CI191&gt;23.8,CI191&lt;28.2),"NORMAL",IF(AND(NZ191=$OY$2,CI191&gt;28.1,CI191&lt;33.5),"SOBREPESO",IF(AND(NZ191=$OY$2,CI191&gt;33.4,CI191&lt;50),"OBESIDAD",""))))</f>
        <v/>
      </c>
      <c r="OZ191" s="43" t="str">
        <f t="shared" ref="OZ191:OZ218" si="766">IF(AND(NZ191=$OZ$2,CI191&gt;10,CI191&lt;24),"BAJO PESO",IF(AND(NZ191=$OZ$2,CI191&gt;23.9,CI191&lt;28.4),"NORMAL",IF(AND(NZ191=$OZ$2,CI191&gt;28.3,CI191&lt;33.6),"SOBREPESO",IF(AND(NZ191=$OZ$2,CI191&gt;33.5,CI191&lt;50),"OBESIDAD",""))))</f>
        <v/>
      </c>
      <c r="PA191" s="43" t="str">
        <f t="shared" ref="PA191:PA218" si="767">IF(AND(NZ191=$PA$2,CI191&gt;10,CI191&lt;24.2),"BAJO PESO",IF(AND(NZ191=$PA$2,CI191&gt;24.1,CI191&lt;28.5),"NORMAL",IF(AND(NZ191=$PA$2,CI191&gt;28.4,CI191&lt;33.7),"SOBREPESO",IF(AND(NZ191=$PA$2,CI191&gt;33.6,CI191&lt;50),"OBESIDAD",""))))</f>
        <v/>
      </c>
      <c r="PB191" s="43" t="str">
        <f t="shared" ref="PB191:PB218" si="768">IF(AND(NZ191=$PB$2,CI191&gt;10,CI191&lt;24.3),"BAJO PESO",IF(AND(NZ191=$PB$2,CI191&gt;24.2,CI191&lt;28.6),"NORMAL",IF(AND(NZ191=$PB$2,CI191&gt;28.5,CI191&lt;33.8),"SOBREPESO",IF(AND(NZ191=$PB$2,CI191&gt;33.7,CI191&lt;50),"OBESIDAD",""))))</f>
        <v/>
      </c>
      <c r="PC191" s="43" t="str">
        <f t="shared" ref="PC191:PC218" si="769">IF(AND(NZ191=$PC$2,CI191&gt;10,CI191&lt;24.5),"BAJO PESO",IF(AND(NZ191=$PC$2,CI191&gt;24.4,CI191&lt;28.8),"NORMAL",IF(AND(NZ191=$PC$2,CI191&gt;28.7,CI191&lt;32.9),"SOBREPESO",IF(AND(NZ191=$PC$2,CI191&gt;32.8,CI191&lt;50),"OBESIDAD",""))))</f>
        <v/>
      </c>
      <c r="PD191" s="43" t="str">
        <f t="shared" ref="PD191:PD218" si="770">IF(AND(NZ191=$PD$2,CI191&gt;10,CI191&lt;24.6),"BAJO PESO",IF(AND(NZ191=$PD$2,CI191&gt;24.5,CI191&lt;28.9),"NORMAL",IF(AND(NZ191=$PD$2,CI191&gt;28.8,CI191&lt;33),"SOBREPESO",IF(AND(NZ191=$PD$2,CI191&gt;32.9,CI191&lt;50),"OBESIDAD",""))))</f>
        <v/>
      </c>
      <c r="PE191" s="43" t="str">
        <f t="shared" ref="PE191:PE218" si="771">IF(AND(NZ191=$PE$2,CI191&gt;10,CI191&lt;24.8),"BAJO PESO",IF(AND(NZ191=$PE$2,CI191&gt;24.7,CI191&lt;29),"NORMAL",IF(AND(NZ191=$PE$2,CI191&gt;28.9,CI191&lt;33.1),"SOBREPESO",IF(AND(NZ191=$PE$2,CI191&gt;33,CI191&lt;50),"OBESIDAD",""))))</f>
        <v/>
      </c>
      <c r="PF191" s="43" t="str">
        <f t="shared" ref="PF191:PF218" si="772">IF(AND(NZ191=$PF$2,CI191&gt;10,CI191&lt;25),"BAJO PESO",IF(AND(NZ191=$PF$2,CI191&gt;24.9,CI191&lt;29.2),"NORMAL",IF(AND(NZ191=$PF$2,CI191&gt;29.1,CI191&lt;33.2),"SOBREPESO",IF(AND(NZ191=$PF$2,CI191&gt;33.1,CI191&lt;50),"OBESIDAD",""))))</f>
        <v/>
      </c>
      <c r="PG191" s="43" t="str">
        <f t="shared" ref="PG191:PG218" si="773">IF(AND(NZ191=$PG$2,CI191&gt;10,CI191&lt;25.1),"BAJO PESO",IF(AND(NZ191=$PG$2,CI191&gt;25,CI191&lt;29.3),"NORMAL",IF(AND(NZ191=$PG$2,CI191&gt;29.2,CI191&lt;33.3),"SOBREPESO",IF(AND(NZ191=$PG$2,CI191&gt;33.2,CI191&lt;50),"OBESIDAD",""))))</f>
        <v/>
      </c>
      <c r="PH191" s="43" t="str">
        <f t="shared" ref="PH191:PH218" si="774">IF(AND(NZ191=$PH$2,CI191&gt;10,CI191&lt;25.1),"BAJO PESO",IF(AND(NZ191=$PH$2,CI191&gt;25,CI191&lt;29.4),"NORMAL",IF(AND(NZ191=$PH$2,CI191&gt;29.3,CI191&lt;33.3),"SOBREPESO",IF(AND(NZ191=$PH$2,CI191&gt;33.2,CI191&lt;50),"OBESIDAD",""))))</f>
        <v/>
      </c>
      <c r="PI191" s="43">
        <f t="shared" ref="PI191:PI218" si="775">IF(DZ191="","",IF(DZ191&lt;10,"Menor",DZ191))</f>
        <v>17</v>
      </c>
      <c r="PJ191" s="43" t="str">
        <f t="shared" ref="PJ191:PJ218" si="776">IF(AND(PI191=$PJ$2,CM191&gt;10,CM191&lt;18.5),"BAJO PESO",IF(AND(PI191=$PJ$2,CM191&gt;18.4,CM191&lt;25),"NORMAL",IF(AND(PI191=$PJ$2,CM191&gt;24,CM191&lt;30),"SOBREPESO",IF(AND(PI191=$PJ$2,CM191&gt;29,CM191&lt;50),"OBESIDAD",""))))</f>
        <v/>
      </c>
      <c r="PK191" s="43" t="str">
        <f t="shared" ref="PK191:PK218" si="777">IF(AND(PI191=$PK$2,CM191&gt;10,CM191&lt;20.3),"BAJO PESO",IF(AND(PI191=$PK$2,CM191&gt;20.2,CM191&lt;25.3),"NORMAL",IF(AND(PI191=$PK$2,CM191&gt;25.2,CM191&lt;30.3),"SOBREPESO",IF(AND(PI191=$PK$2,CM191&gt;30.2,CM191&lt;50),"OBESIDAD",""))))</f>
        <v/>
      </c>
      <c r="PL191" s="43" t="str">
        <f t="shared" ref="PL191:PL218" si="778">IF(AND(PI191=$PL$2,CM191&gt;10,CM191&lt;20.4),"BAJO PESO",IF(AND(PI191=$PL$2,CM191&gt;20.3,CM191&lt;25.4),"NORMAL",IF(AND(PI191=$PL$2,CM191&gt;25.3,CM191&lt;30.4),"SOBREPESO",IF(AND(PI191=$PL$2,CM191&gt;30.3,CM191&lt;50),"OBESIDAD",""))))</f>
        <v/>
      </c>
      <c r="PM191" s="43" t="str">
        <f t="shared" ref="PM191:PM218" si="779">IF(AND(PI191=$PM$2,CM191&gt;10,CM191&lt;20.5),"BAJO PESO",IF(AND(PI191=$PM$2,CM191&gt;20.4,CM191&lt;25.5),"NORMAL",IF(AND(PI191=$PM$2,CM191&gt;25.4,CM191&lt;30.4),"SOBREPESO",IF(AND(PI191=$PM$2,CM191&gt;30.3,CM191&lt;50),"OBESIDAD",""))))</f>
        <v/>
      </c>
      <c r="PN191" s="43" t="str">
        <f t="shared" ref="PN191:PN218" si="780">IF(AND(PI191=$PN$2,CM191&gt;10,CM191&lt;20.7),"BAJO PESO",IF(AND(PI191=$PN$2,CM191&gt;20.6,CM191&lt;25.7),"NORMAL",IF(AND(PI191=$PN$2,CM191&gt;25.7,CM191&lt;30.5),"SOBREPESO",IF(AND(PI191=$PN$2,CM191&gt;30.4,CM191&lt;50),"OBESIDAD",""))))</f>
        <v/>
      </c>
      <c r="PO191" s="43" t="str">
        <f t="shared" ref="PO191:PO218" si="781">IF(AND(PI191=$PO$2,CM191&gt;10,CM191&lt;20.8),"BAJO PESO",IF(AND(PI191=$PO$2,CM191&gt;20.7,CM191&lt;25.8),"NORMAL",IF(AND(PI191=$PO$2,CM191&gt;25.7,CM191&lt;30.6),"SOBREPESO",IF(AND(PI191=$PO$2,CM191&gt;30.5,CM191&lt;50),"OBESIDAD",""))))</f>
        <v/>
      </c>
      <c r="PP191" s="43" t="str">
        <f t="shared" ref="PP191:PP218" si="782">IF(AND(PI191=$PP$2,CM191&gt;10,CM191&lt;20.9),"BAJO PESO",IF(AND(PI191=$PP$2,CM191&gt;20.8,CM191&lt;25.9),"NORMAL",IF(AND(PI191=$PP$2,CM191&gt;25.8,CM191&lt;30.7),"SOBREPESO",IF(AND(PI191=$PP$2,CM191&gt;30.6,CM191&lt;50),"OBESIDAD",""))))</f>
        <v/>
      </c>
      <c r="PQ191" s="43" t="str">
        <f t="shared" ref="PQ191:PQ218" si="783">IF(AND(PI191=$PQ$2,CM191&gt;10,CM191&lt;21.1),"BAJO PESO",IF(AND(PI191=$PQ$2,CM191&gt;21,CM191&lt;26),"NORMAL",IF(AND(PI191=$PQ$2,CM191&gt;25.9,CM191&lt;30.8),"SOBREPESO",IF(AND(PI191=$PQ$2,CM191&gt;30.7,CM191&lt;50),"OBESIDAD",""))))</f>
        <v/>
      </c>
      <c r="PR191" s="43" t="str">
        <f t="shared" ref="PR191:PR218" si="784">IF(AND(PI191=$PR$2,CM191&gt;10,CM191&lt;21.2),"BAJO PESO",IF(AND(PI191=$PR$2,CM191&gt;21.1,CM191&lt;26.1),"NORMAL",IF(AND(PI191=$PR$2,CM191&gt;26,CM191&lt;31.9),"SOBREPESO",IF(AND(PI191=$PR$2,CM191&gt;30.8,CM191&lt;50),"OBESIDAD",""))))</f>
        <v>OBESIDAD</v>
      </c>
      <c r="PS191" s="43" t="str">
        <f t="shared" ref="PS191:PS218" si="785">IF(AND(PI191=$PS$2,CM191&gt;10,CM191&lt;21.3),"BAJO PESO",IF(AND(PI191=$PS$2,CM191&gt;21.2,CM191&lt;26.2),"NORMAL",IF(AND(PI191=$PS$2,CM191&gt;26.1,CM191&lt;31),"SOBREPESO",IF(AND(PI191=$PS$2,CM191&gt;30.9,CM191&lt;50),"OBESIDAD",""))))</f>
        <v/>
      </c>
      <c r="PT191" s="43" t="str">
        <f t="shared" ref="PT191:PT218" si="786">IF(AND(PI191=$PT$2,CM191&gt;10,CM191&lt;21.5),"BAJO PESO",IF(AND(PI191=$PT$2,CM191&gt;21.4,CM191&lt;26.3),"NORMAL",IF(AND(PI191=$PT$2,CM191&gt;26.2,CM191&lt;31),"SOBREPESO",IF(AND(PI191=$PT$2,CM191&gt;30.9,CM191&lt;50),"OBESIDAD",""))))</f>
        <v/>
      </c>
      <c r="PU191" s="43" t="str">
        <f t="shared" ref="PU191:PU218" si="787">IF(AND(PI191=$PU$2,CM191&gt;10,CM191&lt;21.6),"BAJO PESO",IF(AND(PI191=$PU$2,CM191&gt;21.5,CM191&lt;26.4),"NORMAL",IF(AND(PI191=$PU$2,CM191&gt;26.3,CM191&lt;31.1),"SOBREPESO",IF(AND(PI191=$PU$2,CM191&gt;31,CM191&lt;50),"OBESIDAD",""))))</f>
        <v/>
      </c>
      <c r="PV191" s="43" t="str">
        <f t="shared" ref="PV191:PV218" si="788">IF(AND(PI191=$PV$2,CM191&gt;10,CM191&lt;21.8),"BAJO PESO",IF(AND(PI191=$PV$2,CM191&gt;21.7,CM191&lt;26.5),"NORMAL",IF(AND(PI191=$PV$2,CM191&gt;26.4,CM191&lt;31.2),"SOBREPESO",IF(AND(PI191=$PV$2,CM191&gt;31.1,CM191&lt;50),"OBESIDAD",""))))</f>
        <v/>
      </c>
      <c r="PW191" s="43" t="str">
        <f t="shared" ref="PW191:PW218" si="789">IF(AND(PI191=$PW$2,CM191&gt;10,CM191&lt;21.9),"BAJO PESO",IF(AND(PI191=$PW$2,CM191&gt;21.8,CM191&lt;26.7),"NORMAL",IF(AND(PI191=$PW$2,CM191&gt;26.6,CM191&lt;31.3),"SOBREPESO",IF(AND(PI191=$PW$2,CM191&gt;31.2,CM191&lt;50),"OBESIDAD",""))))</f>
        <v/>
      </c>
      <c r="PX191" s="43" t="str">
        <f t="shared" ref="PX191:PX218" si="790">IF(AND(PI191=$PX$2,CM191&gt;10,CM191&lt;22.1),"BAJO PESO",IF(AND(PI191=$PX$2,CM191&gt;22,CM191&lt;26.8),"NORMAL",IF(AND(PI191=$PX$2,CM191&gt;26.7,CM191&lt;31.4),"SOBREPESO",IF(AND(PI191=$PX$2,CM191&gt;31.3,CM191&lt;50),"OBESIDAD",""))))</f>
        <v/>
      </c>
      <c r="PY191" s="43" t="str">
        <f t="shared" ref="PY191:PY218" si="791">IF(AND(PI191=$PY$2,CM191&gt;10,CM191&lt;22.3),"BAJO PESO",IF(AND(PI191=$PY$2,CM191&gt;22.2,CM191&lt;27),"NORMAL",IF(AND(PI191=$PY$2,CM191&gt;26.9,CM191&lt;31.6),"SOBREPESO",IF(AND(PI191=$PY$2,CM191&gt;31.5,CM191&lt;50),"OBESIDAD",""))))</f>
        <v/>
      </c>
      <c r="PZ191" s="43" t="str">
        <f t="shared" ref="PZ191:PZ218" si="792">IF(AND(PI191=$PZ$2,$CM191&gt;10,CM191&lt;22.5),"BAJO PESO",IF(AND(PI191=$PZ$2,CM191&gt;22.4,CM191&lt;27.1),"NORMAL",IF(AND(PI191=$PZ$2,CM191&gt;27,CM191&lt;31.7),"SOBREPESO",IF(AND(PI191=$PZ$2,CM191&gt;31.6,CM191&lt;50),"OBESIDAD",""))))</f>
        <v/>
      </c>
      <c r="QA191" s="43" t="str">
        <f t="shared" ref="QA191:QA218" si="793">IF(AND(PI191=$QA$2,CM191&gt;10,CM191&lt;22.7),"BAJO PESO",IF(AND(PI191=$QA$2,CM191&gt;22.6,CM191&lt;27.3),"NORMAL",IF(AND(PI191=$QA$2,CM191&gt;27.1,CM191&lt;31.8),"SOBREPESO",IF(AND(PI191=$QA$2,CM191&gt;31.7,CM191&lt;50),"OBESIDAD",""))))</f>
        <v/>
      </c>
      <c r="QB191" s="43" t="str">
        <f t="shared" ref="QB191:QB218" si="794">IF(AND(PI191=$QB$2,CM191&gt;10,CM191&lt;22.8),"BAJO PESO",IF(AND(PI191=$QB$2,CM191&gt;22.7,CM191&lt;27.4),"NORMAL",IF(AND(PI191=$QB$2,CM191&gt;27.3,CM191&lt;31.9),"SOBREPESO",IF(AND(PI191=$QB$2,CM191&gt;31.8,CM191&lt;50),"OBESIDAD",""))))</f>
        <v/>
      </c>
      <c r="QC191" s="43" t="str">
        <f t="shared" ref="QC191:QC218" si="795">IF(AND(PI191=$QC$2,CM191&gt;10,CM191&lt;23),"BAJO PESO",IF(AND(PI191=$QC$2,CM191&gt;22.9,CM191&lt;27.6),"NORMAL",IF(AND(PI191=$QC$2,CM191&gt;27.5,CM191&lt;32),"SOBREPESO",IF(AND(PI191=$QC$2,CM191&gt;31.9,CM191&lt;50),"OBESIDAD",""))))</f>
        <v/>
      </c>
      <c r="QD191" s="43" t="str">
        <f t="shared" ref="QD191:QD218" si="796">IF(AND(PI191=$QD$2,CM191&gt;10,CM191&lt;23.2),"BAJO PESO",IF(AND(PI191=$QD$2,CM191&gt;23.1,CM191&lt;27.7),"NORMAL",IF(AND(PI191=$QD$2,CM191&gt;27.6,CM191&lt;32.1),"SOBREPESO",IF(AND(PI191=$QD$2,CM191&gt;32,CM191&lt;50),"OBESIDAD",""))))</f>
        <v/>
      </c>
      <c r="QE191" s="43" t="str">
        <f t="shared" ref="QE191:QE218" si="797">IF(AND(PI191=$QE$2,CM191&gt;10,CM191&lt;23.4),"BAJO PESO",IF(AND(PI191=$QE$2,CM191&gt;23.3,CM191&lt;27.9),"NORMAL",IF(AND(PI191=$QE$2,CM191&gt;27.8,CM191&lt;32.2),"SOBREPESO",IF(AND(PI191=$QE$2,CM191&gt;32.1,CM191&lt;50),"OBESIDAD",""))))</f>
        <v/>
      </c>
      <c r="QF191" s="43" t="str">
        <f t="shared" ref="QF191:QF218" si="798">IF(AND(PI191=$QF$2,CM191&gt;10,CM191&lt;23.5),"BAJO PESO",IF(AND(PI191=$QF$2,CM191&gt;23.4,CM191&lt;28),"NORMAL",IF(AND(PI191=$QF$2,CM191&gt;27.9,CM191&lt;32.1),"SOBREPESO",IF(AND(PI191=$QF$2,CM191&gt;32.2,CM191&lt;50),"OBESIDAD",""))))</f>
        <v/>
      </c>
      <c r="QG191" s="43" t="str">
        <f t="shared" ref="QG191:QG218" si="799">IF(AND(PI191=$QG$2,CM191&gt;10,CM191&lt;23.7),"BAJO PESO",IF(AND(PI191=$QG$2,CM191&gt;23.6,CM191&lt;28.1),"NORMAL",IF(AND(PI191=$QG$2,CM191&gt;28,CM191&lt;33.4),"SOBREPESO",IF(AND(PI191=$QG$2,CM191&gt;33.3,CM191&lt;50),"OBESIDAD",""))))</f>
        <v/>
      </c>
      <c r="QH191" s="43" t="str">
        <f t="shared" ref="QH191:QH218" si="800">IF(AND(PI191=$QH$2,CM191&gt;10,CM191&lt;23.9),"BAJO PESO",IF(AND(PI191=$QH$2,CM191&gt;23.8,CM191&lt;28.2),"NORMAL",IF(AND(PI191=$QH$2,CM191&gt;28.1,CM191&lt;33.5),"SOBREPESO",IF(AND(PI191=$QH$2,CM191&gt;33.4,CM191&lt;50),"OBESIDAD",""))))</f>
        <v/>
      </c>
      <c r="QI191" s="43" t="str">
        <f t="shared" ref="QI191:QI218" si="801">IF(AND(PI191=$QI$2,CM191&gt;10,CM191&lt;24),"BAJO PESO",IF(AND(PI191=$QI$2,CM191&gt;23.9,CM191&lt;28.4),"NORMAL",IF(AND(PI191=$QI$2,CM191&gt;28.3,CM191&lt;33.6),"SOBREPESO",IF(AND(PI191=$QI$2,CM191&gt;33.5,CM191&lt;50),"OBESIDAD",""))))</f>
        <v/>
      </c>
      <c r="QJ191" s="43" t="str">
        <f t="shared" ref="QJ191:QJ218" si="802">IF(AND(PI191=$QJ$2,CM191&gt;10,CM191&lt;24.2),"BAJO PESO",IF(AND(PI191=$QJ$2,CM191&gt;24.1,CM191&lt;28.5),"NORMAL",IF(AND(PI191=$QJ$2,CM191&gt;28.4,CM191&lt;33.7),"SOBREPESO",IF(AND(PI191=$QJ$2,CM191&gt;33.6,CM191&lt;50),"OBESIDAD",""))))</f>
        <v/>
      </c>
      <c r="QK191" s="43" t="str">
        <f t="shared" ref="QK191:QK218" si="803">IF(AND(PI191=$QK$2,CM191&gt;10,CM191&lt;24.3),"BAJO PESO",IF(AND(PI191=$QK$2,CM191&gt;24.2,CM191&lt;28.6),"NORMAL",IF(AND(PI191=$QK$2,CM191&gt;28.5,CM191&lt;33.8),"SOBREPESO",IF(AND(PI191=$QK$2,CM191&gt;33.7,CM191&lt;50),"OBESIDAD",""))))</f>
        <v/>
      </c>
      <c r="QL191" s="43" t="str">
        <f t="shared" ref="QL191:QL218" si="804">IF(AND(PI191=$QL$2,CM191&gt;10,CM191&lt;24.5),"BAJO PESO",IF(AND(PI191=$QL$2,CM191&gt;24.4,CM191&lt;28.8),"NORMAL",IF(AND(PI191=$QL$2,CM191&gt;28.7,CM191&lt;32.9),"SOBREPESO",IF(AND(PI191=$QL$2,CM191&gt;32.8,CM191&lt;50),"OBESIDAD",""))))</f>
        <v/>
      </c>
      <c r="QM191" s="43" t="str">
        <f t="shared" ref="QM191:QM218" si="805">IF(AND(PI191=$QM$2,CM191&gt;10,CM191&lt;24.6),"BAJO PESO",IF(AND(PI191=$QM$2,CM191&gt;24.5,CM191&lt;28.9),"NORMAL",IF(AND(PI191=$QM$2,CM191&gt;28.8,CM191&lt;33),"SOBREPESO",IF(AND(PI191=$QM$2,CM191&gt;32.9,CM191&lt;50),"OBESIDAD",""))))</f>
        <v/>
      </c>
      <c r="QN191" s="43" t="str">
        <f t="shared" ref="QN191:QN218" si="806">IF(AND(PI191=$QN$2,CM191&gt;10,CM191&lt;24.8),"BAJO PESO",IF(AND(PI191=$QN$2,CM191&gt;24.7,CM191&lt;29),"NORMAL",IF(AND(PI191=$QN$2,CM191&gt;28.9,CM191&lt;33.1),"SOBREPESO",IF(AND(PI191=$QN$2,CM191&gt;33,CM191&lt;50),"OBESIDAD",""))))</f>
        <v/>
      </c>
      <c r="QO191" s="43" t="str">
        <f t="shared" ref="QO191:QO218" si="807">IF(AND(PI191=$QO$2,CM191&gt;10,CM191&lt;25),"BAJO PESO",IF(AND(PI191=$QO$2,CM191&gt;24.9,CM191&lt;29.2),"NORMAL",IF(AND(PI191=$QO$2,CM191&gt;29.1,CM191&lt;33.2),"SOBREPESO",IF(AND(PI191=$QO$2,CM191&gt;33.1,CM191&lt;50),"OBESIDAD",""))))</f>
        <v/>
      </c>
      <c r="QP191" s="43" t="str">
        <f t="shared" ref="QP191:QP218" si="808">IF(AND(PI191=$QP$2,CM191&gt;10,CM191&lt;25.1),"BAJO PESO",IF(AND(PI191=$QP$2,CM191&gt;25,CM191&lt;29.3),"NORMAL",IF(AND(PI191=$QP$2,CM191&gt;29.2,CM191&lt;33.3),"SOBREPESO",IF(AND(PI191=$QP$2,CM191&gt;33.2,CM191&lt;50),"OBESIDAD",""))))</f>
        <v/>
      </c>
      <c r="QQ191" s="43" t="str">
        <f t="shared" ref="QQ191:QQ218" si="809">IF(AND(PI191=$QQ$2,CM191&gt;10,CM191&lt;25.1),"BAJO PESO",IF(AND(PI191=$QQ$2,CM191&gt;25,CM191&lt;29.4),"NORMAL",IF(AND(PI191=$QQ$2,CM191&gt;29.3,CM191&lt;33.3),"SOBREPESO",IF(AND(PI191=$QQ$2,CM191&gt;33.2,CM191&lt;50),"OBESIDAD",""))))</f>
        <v/>
      </c>
      <c r="QR191" s="43">
        <f t="shared" si="672"/>
        <v>17</v>
      </c>
      <c r="QS191" s="43"/>
      <c r="QT191" s="21" t="str">
        <f t="shared" ref="QT191:QT218" si="810">IF(AND(QR191=$QT$2,CP191&gt;1,CP191&lt;8),"BAJO PARA EDAD GESTACIONAL",IF(AND(QR191=$QT$2,CP191&gt;=8,CP191&lt;=12),"ADECUADO PARA EDAD GESTACIONAL",IF(AND(QR191=$QT$2,CP191&gt;12,CP191&lt;38),"ALTO PARA EDAD GESTACIONAL","")))</f>
        <v/>
      </c>
      <c r="QU191" s="21" t="str">
        <f t="shared" ref="QU191:QU218" si="811">IF(AND(QR191=$QU$2,CP191&gt;1,CP191&lt;8.5),"BAJO PARA EDAD GESTACIONAL",IF(AND(QR191=$QU$2,CP191&gt;=8.5,CP191&lt;=14.5),"ADECUADO PARA EDAD GESTACIONAL",IF(AND(QR191=$QU$2,CP191&gt;14.5,CP191&lt;38),"ALTO PARA EDAD GESTACIONAL","")))</f>
        <v/>
      </c>
      <c r="QV191" s="21" t="str">
        <f t="shared" ref="QV191:QV218" si="812">IF(AND(QR191=$QV$2,CP191&gt;1,CP191&lt;9.5),"BAJO PARA EDAD GESTACIONAL",IF(AND(QR191=$QV$2,CP191&gt;=9.5,CP191&lt;=15),"ADECUADO PARA EDAD GESTACIONAL",IF(AND(QR191=$QV$2,CP191&gt;15,CP191&lt;38),"ALTO PARA EDAD GESTACIONAL","")))</f>
        <v/>
      </c>
      <c r="QW191" s="21" t="str">
        <f t="shared" ref="QW191:QW218" si="813">IF(AND(QR191=$QW$2,CP191&gt;1,CP191&lt;11.5),"BAJO PARA EDAD GESTACIONAL",IF(AND(QR191=$QW$2,CP191&gt;=11.5,CP191&lt;=18),"ADECUADO PARA EDAD GESTACIONAL",IF(AND(QR191=$QW$2,CP191&gt;18,CP191&lt;38),"ALTO PARA EDAD GESTACIONAL","")))</f>
        <v/>
      </c>
      <c r="QX191" s="21" t="str">
        <f t="shared" ref="QX191:QX218" si="814">IF(AND(QR191=$QX$2,CP191&gt;1,CP191&lt;12.5),"BAJO PARA EDAD GESTACIONAL",IF(AND(QR191=$QX$2,CP191&gt;=12.5,CP191&lt;=18),"ADECUADO PARA EDAD GESTACIONAL",IF(AND(QR191=$QX$2,CP191&gt;18,CP191&lt;38),"ALTO PARA EDAD GESTACIONAL","")))</f>
        <v/>
      </c>
      <c r="QY191" s="21" t="str">
        <f t="shared" ref="QY191:QY218" si="815">IF(AND(QR191=$QY$2,CP191&gt;1,CP191&lt;13.5),"BAJO PARA EDAD GESTACIONAL",IF(AND(QR191=$QY$2,CP191&gt;=13.5,CP191&lt;=19),"ADECUADO PARA EDAD GESTACIONAL",IF(AND(QR191=$QY$2,CP191&gt;19,CP191&lt;38),"ALTO PARA EDAD GESTACIONAL","")))</f>
        <v/>
      </c>
      <c r="QZ191" s="21" t="str">
        <f t="shared" ref="QZ191:QZ218" si="816">IF(AND(QR191=$QZ$2,CP191&gt;1,CP191&lt;14),"BAJO PARA EDAD GESTACIONAL",IF(AND(QR191=$QZ$2,CP191&gt;=14,CP191&lt;=19.5),"ADECUADO PARA EDAD GESTACIONAL",IF(AND(QR191=$QZ$2,CP191&gt;19.5,CP191&lt;38),"ALTO PARA EDAD GESTACIONAL","")))</f>
        <v/>
      </c>
      <c r="RA191" s="21" t="str">
        <f t="shared" ref="RA191:RA218" si="817">IF(AND(QR191=$RA$2,CP191&gt;1,CP191&lt;15),"BAJO PARA EDAD GESTACIONAL",IF(AND(QR191=$RA$2,CP191&gt;=15,CP191&lt;=21),"ADECUADO PARA EDAD GESTACIONAL",IF(AND(QR191=$RA$2,CP191&gt;21,CP191&lt;38),"ALTO PARA EDAD GESTACIONAL","")))</f>
        <v/>
      </c>
      <c r="RB191" s="21" t="str">
        <f t="shared" ref="RB191:RB218" si="818">IF(AND(QR191=$RB$2,CP191&gt;1,CP191&lt;15.5),"BAJO PARA EDAD GESTACIONAL",IF(AND(QR191=$RB$2,CP191&gt;=15.5,CP191&lt;=21.5),"ADECUADO PARA EDAD GESTACIONAL",IF(AND(QR191=$RB$2,CP191&gt;21.5,CP191&lt;38),"ALTO PARA EDAD GESTACIONAL","")))</f>
        <v/>
      </c>
      <c r="RC191" s="21" t="str">
        <f t="shared" ref="RC191:RC218" si="819">IF(AND(QR191=$RC$2,CP191&gt;1,CP191&lt;16.5),"BAJO PARA EDAD GESTACIONAL",IF(AND(QR191=$RC$2,CP191&gt;=16.5,CP191&lt;=22.5),"ADECUADO PARA EDAD GESTACIONAL",IF(AND(QR191=$RC$2,CP191&gt;22.5,CP191&lt;38),"ALTO PARA EDAD GESTACIONAL","")))</f>
        <v/>
      </c>
      <c r="RD191" s="21" t="str">
        <f t="shared" ref="RD191:RD218" si="820">IF(AND(QR191=$RD$2,CP191&gt;1,CP191&lt;17.5),"BAJO PARA EDAD GESTACIONAL",IF(AND(QR191=$RD$2,CP191&gt;=17.5,CP191&lt;=23),"ADECUADO PARA EDAD GESTACIONAL",IF(AND(QR191=$RD$2,CP191&gt;23,CP191&lt;38),"ALTO PARA EDAD GESTACIONAL","")))</f>
        <v/>
      </c>
      <c r="RE191" s="21" t="str">
        <f t="shared" ref="RE191:RE218" si="821">IF(AND(QR191=$RE$2,CP191&gt;1,CP191&lt;18.5),"BAJO PARA EDAD GESTACIONAL",IF(AND(QR191=$RE$2,CP191&gt;=18.5,CP191&lt;=24),"ADECUADO PARA EDAD GESTACIONAL",IF(AND(QR191=$RE$2,CP191&gt;24,CP191&lt;38),"ALTO PARA EDAD GESTACIONAL","")))</f>
        <v/>
      </c>
      <c r="RF191" s="21" t="str">
        <f t="shared" ref="RF191:RF218" si="822">IF(AND(QR191=$RF$2,CP191&gt;1,CP191&lt;19.5),"BAJO PARA EDAD GESTACIONAL",IF(AND(QR191=$RF$2,CP191&gt;=19.5,CP191&lt;=25),"ADECUADO PARA EDAD GESTACIONAL",IF(AND(QR191=$RF$2,CP191&gt;25,CP191&lt;38),"ALTO PARA EDAD GESTACIONAL","")))</f>
        <v/>
      </c>
      <c r="RG191" s="21" t="str">
        <f t="shared" ref="RG191:RG218" si="823">IF(AND(QR191=$RG$2,CP191&gt;1,CP191&lt;20),"BAJO PARA EDAD GESTACIONAL",IF(AND(QR191=$RG$2,CP191&gt;=20,CP191&lt;=25.5),"ADECUADO PARA EDAD GESTACIONAL",IF(AND(QR191=$RG$2,CP191&gt;25.5,CP191&lt;38),"ALTO PARA EDAD GESTACIONAL","")))</f>
        <v/>
      </c>
      <c r="RH191" s="21" t="str">
        <f t="shared" ref="RH191:RH218" si="824">IF(AND(QR191=$RH$2,CP191&gt;1,CP191&lt;20.5),"BAJO PARA EDAD GESTACIONAL",IF(AND(QR191=$RH$2,CP191&gt;=20.5,CP191&lt;=26.5),"ADECUADO PARA EDAD GESTACIONAL",IF(AND(QR191=$RH$2,CP191&gt;26.5,CP191&lt;38),"ALTO PARA EDAD GESTACIONAL","")))</f>
        <v/>
      </c>
      <c r="RI191" s="21" t="str">
        <f t="shared" ref="RI191:RI218" si="825">IF(AND(QR191=$RI$2,CP191&gt;1,CP191&lt;21),"BAJO PARA EDAD GESTACIONAL",IF(AND(QR191=$RI$2,CP191&gt;=21,CP191&lt;=27),"ADECUADO PARA EDAD GESTACIONAL",IF(AND(QR191=$RI$2,CP191&gt;27,CP191&lt;38),"ALTO PARA EDAD GESTACIONAL","")))</f>
        <v/>
      </c>
      <c r="RJ191" s="21" t="str">
        <f t="shared" ref="RJ191:RJ218" si="826">IF(AND(QR191=$RJ$2,CP191&gt;1,CP191&lt;22.5),"BAJO PARA EDAD GESTACIONAL",IF(AND(QR191=$RJ$2,CP191&gt;=22.5,CP191&lt;=28),"ADECUADO PARA EDAD GESTACIONAL",IF(AND(QR191=$RJ$2,CP191&gt;28,CP191&lt;38),"ALTO PARA EDAD GESTACIONAL","")))</f>
        <v/>
      </c>
      <c r="RK191" s="21" t="str">
        <f t="shared" ref="RK191:RK218" si="827">IF(AND(QR191=$RK$2,CP191&gt;1,CP191&lt;23.5),"BAJO PARA EDAD GESTACIONAL",IF(AND(QR191=$RK$2,CP191&gt;=23.5,CP191&lt;=29),"ADECUADO PARA EDAD GESTACIONAL",IF(AND(QR191=$RK$2,CP191&gt;29,CP191&lt;38),"ALTO PARA EDAD GESTACIONAL","")))</f>
        <v/>
      </c>
      <c r="RL191" s="21" t="str">
        <f t="shared" ref="RL191:RL218" si="828">IF(AND(QR191=$RL$2,CP191&gt;1,CP191&lt;24),"BAJO PARA EDAD GESTACIONAL",IF(AND(QR191=$RL$2,CP191&gt;=24,CP191&lt;=29.5),"ADECUADO PARA EDAD GESTACIONAL",IF(AND(QR191=$RL$2,CP191&gt;29.5,CP191&lt;38),"ALTO PARA EDAD GESTACIONAL","")))</f>
        <v/>
      </c>
      <c r="RM191" s="21" t="str">
        <f t="shared" ref="RM191:RM218" si="829">IF(AND(QR191=$RM$2,CP191&gt;1,CP191&lt;25),"BAJO PARA EDAD GESTACIONAL",IF(AND(QR191=$RM$2,CP191&gt;=25,CP191&lt;=30),"ADECUADO PARA EDAD GESTACIONAL",IF(AND(QR191=$RM$2,CP191&gt;30,CP191&lt;38),"ALTO PARA EDAD GESTACIONAL","")))</f>
        <v/>
      </c>
      <c r="RN191" s="21" t="str">
        <f t="shared" ref="RN191:RN218" si="830">IF(AND(QR191=$RN$2,CP191&gt;1,CP191&lt;25.5),"BAJO PARA EDAD GESTACIONAL",IF(AND(QR191=$RN$2,CP191&gt;=25.5,CP191&lt;=31),"ADECUADO PARA EDAD GESTACIONAL",IF(AND(QR191=$RN$2,CP191&gt;31,CP191&lt;38),"ALTO PARA EDAD GESTACIONAL","")))</f>
        <v/>
      </c>
      <c r="RO191" s="21" t="str">
        <f t="shared" ref="RO191:RO218" si="831">IF(AND(QR191=$RO$2,CP191&gt;1,CP191&lt;26),"BAJO PARA EDAD GESTACIONAL",IF(AND(QR191=$RO$2,CP191&gt;=26,CP191&lt;=32),"ADECUADO PARA EDAD GESTACIONAL",IF(AND(QR191=$RO$2,CP191&gt;32,CP191&lt;38),"ALTO PARA EDAD GESTACIONAL","")))</f>
        <v/>
      </c>
      <c r="RP191" s="21" t="str">
        <f t="shared" ref="RP191:RP218" si="832">IF(AND(QR191=$RP$2,CP191&gt;1,CP191&lt;26.5),"BAJO PARA EDAD GESTACIONAL",IF(AND(QR191=$RP$2,CP191&gt;=26.5,CP191&lt;=33),"ADECUADO PARA EDAD GESTACIONAL",IF(AND(QR191=$RP$2,CP191&gt;33,CP191&lt;38),"ALTO PARA EDAD GESTACIONAL","")))</f>
        <v/>
      </c>
      <c r="RQ191" s="21" t="str">
        <f t="shared" ref="RQ191:RQ218" si="833">IF(AND(QR191=$RQ$2,CP191&gt;1,CP191&lt;28),"BAJO PARA EDAD GESTACIONAL",IF(AND(QR191=$RQ$2,CP191&gt;=28,CP191&lt;=33),"ADECUADO PARA EDAD GESTACIONAL",IF(AND(QR191=$RQ$2,CP191&gt;33,CP191&lt;38),"ALTO PARA EDAD GESTACIONAL","")))</f>
        <v/>
      </c>
      <c r="RR191" s="21" t="str">
        <f t="shared" ref="RR191:RR218" si="834">IF(AND(QR191=$RR$2,CP191&gt;1,CP191&lt;28.5),"BAJO PARA EDAD GESTACIONAL",IF(AND(QR191=$RR$2,CP191&gt;=28.5,CP191&lt;=34),"ADECUADO PARA EDAD GESTACIONAL",IF(AND(QR191=$RR$2,CP191&gt;34,CP191&lt;38),"ALTO PARA EDAD GESTACIONAL","")))</f>
        <v/>
      </c>
      <c r="RS191" s="21" t="str">
        <f t="shared" ref="RS191:RS218" si="835">IF(AND(QR191=$RS$2,CP191&gt;1,CP191&lt;29.5),"BAJO PARA EDAD GESTACIONAL",IF(AND(QR191=$RS$2,CP191&gt;=29.5,CP191&lt;=34),"ADECUADO PARA EDAD GESTACIONAL",IF(AND(QR191=$RS$2,CP191&gt;34,CP191&lt;38),"ALTO PARA EDAD GESTACIONAL","")))</f>
        <v/>
      </c>
      <c r="RT191" s="21" t="str">
        <f t="shared" ref="RT191:RT218" si="836">IF(AND(QR191=$RT$2,CP191&gt;1,CP191&lt;30.5),"BAJO PARA EDAD GESTACIONAL",IF(AND(QR191=$RT$2,CP191&gt;=30.5,CP191&lt;=34),"ADECUADO PARA EDAD GESTACIONAL",IF(AND(QR191=$RT$2,CP191&gt;34,CP191&lt;38),"ALTO PARA EDAD GESTACIONAL","")))</f>
        <v/>
      </c>
      <c r="RU191" s="21" t="str">
        <f t="shared" ref="RU191:RU218" si="837">IF(AND(QR191=$RU$2,CP191&gt;1,CP191&lt;31),"BAJO PARA EDAD GESTACIONAL",IF(AND(QR191=$RU$2,CP191&gt;=31,CP191&lt;=34.5),"ADECUADO PARA EDAD GESTACIONAL",IF(AND(QR191=$RU$2,CP191&gt;34.5,CP191&lt;38),"ALTO PARA EDAD GESTACIONAL","")))</f>
        <v/>
      </c>
      <c r="RV191" s="21">
        <f t="shared" ref="RV191:RV218" si="838">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3"/>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1"/>
        <v>36.06849315068493</v>
      </c>
      <c r="O192" s="22">
        <v>45073</v>
      </c>
      <c r="P192" s="214" t="str">
        <f t="shared" si="675"/>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2"/>
        <v>66.833333333333329</v>
      </c>
      <c r="BR192" s="223" t="str">
        <f t="shared" si="603"/>
        <v/>
      </c>
      <c r="BS192" s="224">
        <f t="shared" si="604"/>
        <v>13.428571428571429</v>
      </c>
      <c r="BT192" s="216" t="str">
        <f t="shared" si="605"/>
        <v>II TRIM</v>
      </c>
      <c r="BU192" s="214">
        <f t="shared" ca="1" si="606"/>
        <v>36.142857142857146</v>
      </c>
      <c r="BV192" s="25"/>
      <c r="BW192" s="22"/>
      <c r="BX192" s="28"/>
      <c r="BY192" s="28"/>
      <c r="BZ192" s="22"/>
      <c r="CA192" s="21"/>
      <c r="CB192" s="26"/>
      <c r="CC192" s="26"/>
      <c r="CD192" s="26"/>
      <c r="CE192" s="26"/>
      <c r="CF192" s="22" t="s">
        <v>1517</v>
      </c>
      <c r="CG192" s="21">
        <v>1.5</v>
      </c>
      <c r="CH192" s="21">
        <v>52</v>
      </c>
      <c r="CI192" s="214">
        <f t="shared" si="607"/>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8"/>
        <v>45121</v>
      </c>
      <c r="CL192" s="21">
        <v>55</v>
      </c>
      <c r="CM192" s="214">
        <f t="shared" si="609"/>
        <v>24.444444444444443</v>
      </c>
      <c r="CN192" s="216">
        <f t="shared" si="610"/>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9"/>
        <v/>
      </c>
      <c r="DA192" s="21">
        <v>100</v>
      </c>
      <c r="DB192" s="21">
        <v>60</v>
      </c>
      <c r="DC192" s="217" t="str">
        <f t="shared" si="611"/>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6"/>
        <v>CONCERTAR PLAN DE PARTO INMEDIATO</v>
      </c>
      <c r="DV192" s="226" t="str">
        <f t="shared" si="677"/>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2"/>
        <v>#REF!</v>
      </c>
      <c r="DY192" s="212">
        <f>IF(R192="","",IF(R192&gt;0,MAX(Tabla1[[#This Row],[FECHA C2]:[FECHA C13]],Tabla1[[#This Row],[FECHA CONSULTA PRIMERA VEZ PROGRAMA CPN ]])))</f>
        <v>45121</v>
      </c>
      <c r="DZ192" s="216">
        <f t="shared" si="613"/>
        <v>20</v>
      </c>
      <c r="EA192" s="222">
        <f>IF(R192&gt;0,SUM(COUNTA(DF192:DQ192)+COUNTA(Tabla1[[#This Row],[FECHA CONSULTA PRIMERA VEZ PROGRAMA CPN ]])),"")</f>
        <v>2</v>
      </c>
      <c r="EB192" s="222" t="str">
        <f t="shared" si="614"/>
        <v>NO</v>
      </c>
      <c r="EC192" s="214">
        <f t="shared" si="615"/>
        <v>8</v>
      </c>
      <c r="ED192" s="227">
        <f t="shared" si="616"/>
        <v>0.25</v>
      </c>
      <c r="EE192" s="22">
        <v>45073</v>
      </c>
      <c r="EF192" s="22">
        <v>45121</v>
      </c>
      <c r="EG192" s="22">
        <v>45073</v>
      </c>
      <c r="EH192" s="22"/>
      <c r="EI192" s="22">
        <v>45073</v>
      </c>
      <c r="EJ192" s="22"/>
      <c r="EK192" s="22"/>
      <c r="EL192" s="21"/>
      <c r="EM192" s="21">
        <v>12.2</v>
      </c>
      <c r="EN192" s="22">
        <v>45124</v>
      </c>
      <c r="EO192" s="222">
        <f t="shared" si="617"/>
        <v>20.714285714285715</v>
      </c>
      <c r="EP192" s="214" t="str">
        <f t="shared" si="618"/>
        <v>NORMAL- SUMINISTRAR SULFATO FERROSO</v>
      </c>
      <c r="EQ192" s="216" t="str">
        <f t="shared" si="619"/>
        <v>II TRIM</v>
      </c>
      <c r="ER192" s="24"/>
      <c r="ES192" s="22"/>
      <c r="ET192" s="29" t="str">
        <f t="shared" ca="1" si="678"/>
        <v>TOMA DE HEMOGLOBINA TARDÍA</v>
      </c>
      <c r="EU192" s="25" t="str">
        <f t="shared" si="620"/>
        <v/>
      </c>
      <c r="EV192" s="24" t="s">
        <v>1510</v>
      </c>
      <c r="EW192" s="22">
        <v>45124</v>
      </c>
      <c r="EX192" s="22"/>
      <c r="EY192" s="29">
        <f t="shared" si="693"/>
        <v>20.714285714285715</v>
      </c>
      <c r="EZ192" s="25" t="str">
        <f t="shared" si="694"/>
        <v>SIN RIESGO DE ISOINMUNIZACIÓN</v>
      </c>
      <c r="FA192" s="21">
        <v>74</v>
      </c>
      <c r="FB192" s="22">
        <v>45124</v>
      </c>
      <c r="FC192" s="29">
        <f t="shared" si="621"/>
        <v>20.714285714285715</v>
      </c>
      <c r="FD192" s="29"/>
      <c r="FE192" s="29"/>
      <c r="FF192" s="29"/>
      <c r="FG192" s="21" t="str">
        <f t="shared" ca="1" si="622"/>
        <v>TOMAR PTOG</v>
      </c>
      <c r="FH192" s="31"/>
      <c r="FI192" s="29" t="str">
        <f t="shared" si="623"/>
        <v>TOMAR EXAMEN</v>
      </c>
      <c r="FJ192" s="22"/>
      <c r="FK192" s="22"/>
      <c r="FL192" s="29" t="str">
        <f t="shared" ca="1" si="624"/>
        <v>NO APLICA-INGRESO TARDIO</v>
      </c>
      <c r="FM192" s="22" t="s">
        <v>867</v>
      </c>
      <c r="FN192" s="32">
        <v>45124</v>
      </c>
      <c r="FO192" s="29">
        <f t="shared" ca="1" si="679"/>
        <v>20.714285714285715</v>
      </c>
      <c r="FP192" s="22"/>
      <c r="FQ192" s="32"/>
      <c r="FR192" s="29" t="str">
        <f t="shared" ca="1" si="680"/>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5"/>
        <v>TOMAR EXAMEN</v>
      </c>
      <c r="FY192" s="22"/>
      <c r="FZ192" s="22"/>
      <c r="GA192" s="29" t="str">
        <f t="shared" ca="1" si="739"/>
        <v>NO APLICA-INGRESO TARDIO</v>
      </c>
      <c r="GB192" s="22" t="s">
        <v>868</v>
      </c>
      <c r="GC192" s="32">
        <v>45124</v>
      </c>
      <c r="GD192" s="29">
        <f t="shared" ca="1" si="732"/>
        <v>20.714285714285715</v>
      </c>
      <c r="GE192" s="22"/>
      <c r="GF192" s="22"/>
      <c r="GG192" s="29" t="str">
        <f t="shared" ca="1" si="682"/>
        <v>TOMA INMEDIATA DE TAMIZAJE</v>
      </c>
      <c r="GH192" s="22"/>
      <c r="GI192" s="29"/>
      <c r="GJ192" s="22"/>
      <c r="GK192" s="22"/>
      <c r="GL192" s="22"/>
      <c r="GM192" s="22"/>
      <c r="GN192" s="28" t="s">
        <v>869</v>
      </c>
      <c r="GO192" s="32">
        <v>45124</v>
      </c>
      <c r="GP192" s="29">
        <f t="shared" si="626"/>
        <v>20.714285714285715</v>
      </c>
      <c r="GQ192" s="28" t="s">
        <v>880</v>
      </c>
      <c r="GR192" s="28"/>
      <c r="GS192" s="22" t="str">
        <f t="shared" si="728"/>
        <v/>
      </c>
      <c r="GT192" s="22">
        <v>45124</v>
      </c>
      <c r="GU192" s="29">
        <f t="shared" si="628"/>
        <v>20.714285714285715</v>
      </c>
      <c r="GV192" s="21" t="str">
        <f t="shared" si="629"/>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30"/>
        <v>#REF!</v>
      </c>
      <c r="HI192" s="22" t="e">
        <f t="shared" ca="1" si="631"/>
        <v>#REF!</v>
      </c>
      <c r="HJ192" s="21" t="str">
        <f t="shared" ca="1" si="632"/>
        <v>*********************MULTIPARIDAD***RIESGO POR EDAD***************</v>
      </c>
      <c r="HK192" s="21" t="str">
        <f t="shared" si="633"/>
        <v>SIN ANTECEDENTES DE RIESGO</v>
      </c>
      <c r="HL192" s="24" t="str">
        <f t="shared" si="634"/>
        <v>APARENTEMENTE NORMAL</v>
      </c>
      <c r="HM192" s="21" t="e">
        <f t="shared" ca="1" si="635"/>
        <v>#REF!</v>
      </c>
      <c r="HN192" s="30" t="str">
        <f t="shared" si="683"/>
        <v>ACTIVA INGRESO A CPN</v>
      </c>
      <c r="HO192" s="21"/>
      <c r="HP192" s="21"/>
      <c r="HQ192" s="349"/>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6"/>
        <v>PENDIENTE CONSULTA</v>
      </c>
      <c r="IA192" s="26"/>
      <c r="IB192" s="26"/>
      <c r="IC192" s="111"/>
      <c r="ID192" s="22"/>
      <c r="IE192" s="22" t="str">
        <f t="shared" ca="1" si="637"/>
        <v>INASISTENTE</v>
      </c>
      <c r="IF192" s="22"/>
      <c r="IG192" s="22">
        <f t="shared" si="638"/>
        <v>45259</v>
      </c>
      <c r="IH192" s="29">
        <f t="shared" ca="1" si="639"/>
        <v>27</v>
      </c>
      <c r="II192" s="22" t="str">
        <f t="shared" ca="1" si="640"/>
        <v>MENOS DE 4 SEMANAS</v>
      </c>
      <c r="IJ192" s="22"/>
      <c r="IK192" s="21"/>
      <c r="IL192" s="21"/>
      <c r="IM192" s="34"/>
      <c r="IN192" s="22"/>
      <c r="IO192" s="21"/>
      <c r="IP192" s="29" t="str">
        <f t="shared" si="730"/>
        <v/>
      </c>
      <c r="IQ192" s="35"/>
      <c r="IR192" s="21"/>
      <c r="IS192" s="21"/>
      <c r="IT192" s="21"/>
      <c r="IU192" s="21"/>
      <c r="IV192" s="21"/>
      <c r="IW192" s="21"/>
      <c r="IX192" s="21"/>
      <c r="IY192" s="21"/>
      <c r="IZ192" s="21"/>
      <c r="JA192" s="21"/>
      <c r="JB192" s="30"/>
      <c r="JC192" s="21"/>
      <c r="JD192" s="36"/>
      <c r="JE192" s="21" t="str">
        <f t="shared" si="733"/>
        <v/>
      </c>
      <c r="JF192" s="30"/>
      <c r="JG192" s="21"/>
      <c r="JH192" s="21"/>
      <c r="JI192" s="21"/>
      <c r="JJ192" s="30"/>
      <c r="JK192" s="22"/>
      <c r="JL192" s="22"/>
      <c r="JM192" s="21"/>
      <c r="JN192" s="36"/>
      <c r="JO192" s="21" t="str">
        <f t="shared" si="734"/>
        <v/>
      </c>
      <c r="JP192" s="22"/>
      <c r="JQ192" s="21"/>
      <c r="JR192" s="21"/>
      <c r="JS192" s="21"/>
      <c r="JT192" s="30"/>
      <c r="JU192" s="22"/>
      <c r="JV192" s="22"/>
      <c r="JW192" s="33"/>
      <c r="JX192" s="28" t="str">
        <f t="shared" si="735"/>
        <v/>
      </c>
      <c r="JY192" s="33"/>
      <c r="JZ192" s="28" t="str">
        <f t="shared" si="736"/>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7"/>
        <v>0</v>
      </c>
      <c r="MI192" s="43" t="str">
        <f t="shared" si="698"/>
        <v/>
      </c>
      <c r="MJ192" s="43" t="str">
        <f t="shared" si="699"/>
        <v/>
      </c>
      <c r="MK192" s="43">
        <f t="shared" si="700"/>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701"/>
        <v>13.428571428571429</v>
      </c>
      <c r="MN192" s="43">
        <f t="shared" si="702"/>
        <v>5</v>
      </c>
      <c r="MO192" s="43">
        <f t="shared" si="703"/>
        <v>2023</v>
      </c>
      <c r="MP192" s="43" t="str">
        <f t="shared" si="704"/>
        <v>II TRIMESTRE AÑO</v>
      </c>
      <c r="MQ192" s="43">
        <f t="shared" si="705"/>
        <v>35.096364432763906</v>
      </c>
      <c r="MR192" s="43">
        <f t="shared" si="706"/>
        <v>2</v>
      </c>
      <c r="MS192" s="43" t="str">
        <f t="shared" si="707"/>
        <v xml:space="preserve"> DE 35 A 39 AÑOS</v>
      </c>
      <c r="MT192" s="43">
        <f t="shared" si="708"/>
        <v>0</v>
      </c>
      <c r="MU192" s="43">
        <f t="shared" si="709"/>
        <v>2</v>
      </c>
      <c r="MV192" s="43">
        <f t="shared" si="710"/>
        <v>0</v>
      </c>
      <c r="MW192" s="43">
        <f t="shared" si="711"/>
        <v>0</v>
      </c>
      <c r="MX192" s="43" t="str">
        <f t="shared" si="712"/>
        <v/>
      </c>
      <c r="MY192" s="43" t="str">
        <f t="shared" ca="1" si="737"/>
        <v/>
      </c>
      <c r="MZ192" s="43" t="str">
        <f t="shared" si="713"/>
        <v/>
      </c>
      <c r="NA192" s="43" t="str">
        <f t="shared" si="714"/>
        <v/>
      </c>
      <c r="NB192" s="43" t="str">
        <f t="shared" si="715"/>
        <v/>
      </c>
      <c r="NC192" s="43" t="str">
        <f t="shared" si="716"/>
        <v/>
      </c>
      <c r="ND192" s="43">
        <f t="shared" ca="1" si="717"/>
        <v>4</v>
      </c>
      <c r="NE192" s="43">
        <f>IF(OR(O192&gt;0,R192&gt;0),SUM(COUNTIF(Tabla1[[#This Row],[AÑOS AL INICIO5 CPN]],"&gt;=40"),COUNTIF(AS192,"0"),COUNTIF(AR192,"SI"),COUNTIF(CC192,"SI"),COUNTIF(BQ192,"&gt;119"),COUNTIF(CI192,"&gt;=35")),"")</f>
        <v>0</v>
      </c>
      <c r="NF192" s="43" t="str">
        <f t="shared" si="718"/>
        <v/>
      </c>
      <c r="NG192" s="43">
        <f t="shared" si="719"/>
        <v>0</v>
      </c>
      <c r="NH192" s="43" t="str">
        <f t="shared" si="720"/>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21"/>
        <v>X</v>
      </c>
      <c r="NM192" s="43" t="str">
        <f t="shared" si="695"/>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2"/>
        <v>II TRIM</v>
      </c>
      <c r="NQ192" s="21" t="str">
        <f t="shared" si="731"/>
        <v/>
      </c>
      <c r="NR192" s="21">
        <f t="shared" ca="1" si="738"/>
        <v>2</v>
      </c>
      <c r="NS192" s="205">
        <f t="shared" ca="1" si="723"/>
        <v>1</v>
      </c>
      <c r="NT192" s="21">
        <f t="shared" ca="1" si="724"/>
        <v>1</v>
      </c>
      <c r="NU192" s="21" t="str">
        <f t="shared" ca="1" si="725"/>
        <v>INCOMPLETO</v>
      </c>
      <c r="NV192" s="21" t="str">
        <f t="shared" ca="1" si="726"/>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7"/>
        <v>SIN VACUNAR</v>
      </c>
      <c r="NY192" s="43">
        <f>ROW(Tabla1[[#This Row],['# DE TAMIZAJES SIFILIS TOMADOS ]])</f>
        <v>192</v>
      </c>
      <c r="NZ192" s="43">
        <f t="shared" si="740"/>
        <v>13</v>
      </c>
      <c r="OA192" s="43" t="str">
        <f t="shared" si="741"/>
        <v/>
      </c>
      <c r="OB192" s="43" t="str">
        <f t="shared" si="742"/>
        <v/>
      </c>
      <c r="OC192" s="43" t="str">
        <f t="shared" si="743"/>
        <v/>
      </c>
      <c r="OD192" s="43" t="str">
        <f t="shared" si="744"/>
        <v/>
      </c>
      <c r="OE192" s="43" t="str">
        <f t="shared" si="745"/>
        <v>NORMAL</v>
      </c>
      <c r="OF192" s="43" t="str">
        <f t="shared" si="746"/>
        <v/>
      </c>
      <c r="OG192" s="43" t="str">
        <f t="shared" si="747"/>
        <v/>
      </c>
      <c r="OH192" s="43" t="str">
        <f t="shared" si="748"/>
        <v/>
      </c>
      <c r="OI192" s="43" t="str">
        <f t="shared" si="749"/>
        <v/>
      </c>
      <c r="OJ192" s="43" t="str">
        <f t="shared" si="750"/>
        <v/>
      </c>
      <c r="OK192" s="43" t="str">
        <f t="shared" si="751"/>
        <v/>
      </c>
      <c r="OL192" s="43" t="str">
        <f t="shared" si="752"/>
        <v/>
      </c>
      <c r="OM192" s="43" t="str">
        <f t="shared" si="753"/>
        <v/>
      </c>
      <c r="ON192" s="43" t="str">
        <f t="shared" si="754"/>
        <v/>
      </c>
      <c r="OO192" s="43" t="str">
        <f t="shared" si="755"/>
        <v/>
      </c>
      <c r="OP192" s="43" t="str">
        <f t="shared" si="756"/>
        <v/>
      </c>
      <c r="OQ192" s="43" t="str">
        <f t="shared" si="757"/>
        <v/>
      </c>
      <c r="OR192" s="43" t="str">
        <f t="shared" si="758"/>
        <v/>
      </c>
      <c r="OS192" s="43" t="str">
        <f t="shared" si="759"/>
        <v/>
      </c>
      <c r="OT192" s="43" t="str">
        <f t="shared" si="760"/>
        <v/>
      </c>
      <c r="OU192" s="43" t="str">
        <f t="shared" si="761"/>
        <v/>
      </c>
      <c r="OV192" s="110" t="str">
        <f t="shared" si="762"/>
        <v/>
      </c>
      <c r="OW192" s="43" t="str">
        <f t="shared" si="763"/>
        <v/>
      </c>
      <c r="OX192" s="43" t="str">
        <f t="shared" si="764"/>
        <v/>
      </c>
      <c r="OY192" s="43" t="str">
        <f t="shared" si="765"/>
        <v/>
      </c>
      <c r="OZ192" s="43" t="str">
        <f t="shared" si="766"/>
        <v/>
      </c>
      <c r="PA192" s="43" t="str">
        <f t="shared" si="767"/>
        <v/>
      </c>
      <c r="PB192" s="43" t="str">
        <f t="shared" si="768"/>
        <v/>
      </c>
      <c r="PC192" s="43" t="str">
        <f t="shared" si="769"/>
        <v/>
      </c>
      <c r="PD192" s="43" t="str">
        <f t="shared" si="770"/>
        <v/>
      </c>
      <c r="PE192" s="43" t="str">
        <f t="shared" si="771"/>
        <v/>
      </c>
      <c r="PF192" s="43" t="str">
        <f t="shared" si="772"/>
        <v/>
      </c>
      <c r="PG192" s="43" t="str">
        <f t="shared" si="773"/>
        <v/>
      </c>
      <c r="PH192" s="43" t="str">
        <f t="shared" si="774"/>
        <v/>
      </c>
      <c r="PI192" s="43">
        <f t="shared" si="775"/>
        <v>20</v>
      </c>
      <c r="PJ192" s="43" t="str">
        <f t="shared" si="776"/>
        <v/>
      </c>
      <c r="PK192" s="43" t="str">
        <f t="shared" si="777"/>
        <v/>
      </c>
      <c r="PL192" s="43" t="str">
        <f t="shared" si="778"/>
        <v/>
      </c>
      <c r="PM192" s="43" t="str">
        <f t="shared" si="779"/>
        <v/>
      </c>
      <c r="PN192" s="43" t="str">
        <f t="shared" si="780"/>
        <v/>
      </c>
      <c r="PO192" s="43" t="str">
        <f t="shared" si="781"/>
        <v/>
      </c>
      <c r="PP192" s="43" t="str">
        <f t="shared" si="782"/>
        <v/>
      </c>
      <c r="PQ192" s="43" t="str">
        <f t="shared" si="783"/>
        <v/>
      </c>
      <c r="PR192" s="43" t="str">
        <f t="shared" si="784"/>
        <v/>
      </c>
      <c r="PS192" s="43" t="str">
        <f t="shared" si="785"/>
        <v/>
      </c>
      <c r="PT192" s="43" t="str">
        <f t="shared" si="786"/>
        <v/>
      </c>
      <c r="PU192" s="43" t="str">
        <f t="shared" si="787"/>
        <v>NORMAL</v>
      </c>
      <c r="PV192" s="43" t="str">
        <f t="shared" si="788"/>
        <v/>
      </c>
      <c r="PW192" s="43" t="str">
        <f t="shared" si="789"/>
        <v/>
      </c>
      <c r="PX192" s="43" t="str">
        <f t="shared" si="790"/>
        <v/>
      </c>
      <c r="PY192" s="43" t="str">
        <f t="shared" si="791"/>
        <v/>
      </c>
      <c r="PZ192" s="43" t="str">
        <f t="shared" si="792"/>
        <v/>
      </c>
      <c r="QA192" s="43" t="str">
        <f t="shared" si="793"/>
        <v/>
      </c>
      <c r="QB192" s="43" t="str">
        <f t="shared" si="794"/>
        <v/>
      </c>
      <c r="QC192" s="43" t="str">
        <f t="shared" si="795"/>
        <v/>
      </c>
      <c r="QD192" s="43" t="str">
        <f t="shared" si="796"/>
        <v/>
      </c>
      <c r="QE192" s="43" t="str">
        <f t="shared" si="797"/>
        <v/>
      </c>
      <c r="QF192" s="43" t="str">
        <f t="shared" si="798"/>
        <v/>
      </c>
      <c r="QG192" s="43" t="str">
        <f t="shared" si="799"/>
        <v/>
      </c>
      <c r="QH192" s="43" t="str">
        <f t="shared" si="800"/>
        <v/>
      </c>
      <c r="QI192" s="43" t="str">
        <f t="shared" si="801"/>
        <v/>
      </c>
      <c r="QJ192" s="43" t="str">
        <f t="shared" si="802"/>
        <v/>
      </c>
      <c r="QK192" s="43" t="str">
        <f t="shared" si="803"/>
        <v/>
      </c>
      <c r="QL192" s="43" t="str">
        <f t="shared" si="804"/>
        <v/>
      </c>
      <c r="QM192" s="43" t="str">
        <f t="shared" si="805"/>
        <v/>
      </c>
      <c r="QN192" s="43" t="str">
        <f t="shared" si="806"/>
        <v/>
      </c>
      <c r="QO192" s="43" t="str">
        <f t="shared" si="807"/>
        <v/>
      </c>
      <c r="QP192" s="43" t="str">
        <f t="shared" si="808"/>
        <v/>
      </c>
      <c r="QQ192" s="43" t="str">
        <f t="shared" si="809"/>
        <v/>
      </c>
      <c r="QR192" s="43">
        <f t="shared" ref="QR192:QR218" si="839">IF(DZ192="","",IF(DZ192&lt;13,"Menor",IF(DZ192&gt;40,"Mayor",DZ192)))</f>
        <v>20</v>
      </c>
      <c r="QS192" s="43"/>
      <c r="QT192" s="21" t="str">
        <f t="shared" si="810"/>
        <v/>
      </c>
      <c r="QU192" s="21" t="str">
        <f t="shared" si="811"/>
        <v/>
      </c>
      <c r="QV192" s="21" t="str">
        <f t="shared" si="812"/>
        <v/>
      </c>
      <c r="QW192" s="21" t="str">
        <f t="shared" si="813"/>
        <v/>
      </c>
      <c r="QX192" s="21" t="str">
        <f t="shared" si="814"/>
        <v/>
      </c>
      <c r="QY192" s="21" t="str">
        <f t="shared" si="815"/>
        <v/>
      </c>
      <c r="QZ192" s="21" t="str">
        <f t="shared" si="816"/>
        <v/>
      </c>
      <c r="RA192" s="21" t="str">
        <f t="shared" si="817"/>
        <v>ADECUADO PARA EDAD GESTACIONAL</v>
      </c>
      <c r="RB192" s="21" t="str">
        <f t="shared" si="818"/>
        <v/>
      </c>
      <c r="RC192" s="21" t="str">
        <f t="shared" si="819"/>
        <v/>
      </c>
      <c r="RD192" s="21" t="str">
        <f t="shared" si="820"/>
        <v/>
      </c>
      <c r="RE192" s="21" t="str">
        <f t="shared" si="821"/>
        <v/>
      </c>
      <c r="RF192" s="21" t="str">
        <f t="shared" si="822"/>
        <v/>
      </c>
      <c r="RG192" s="21" t="str">
        <f t="shared" si="823"/>
        <v/>
      </c>
      <c r="RH192" s="21" t="str">
        <f t="shared" si="824"/>
        <v/>
      </c>
      <c r="RI192" s="21" t="str">
        <f t="shared" si="825"/>
        <v/>
      </c>
      <c r="RJ192" s="21" t="str">
        <f t="shared" si="826"/>
        <v/>
      </c>
      <c r="RK192" s="21" t="str">
        <f t="shared" si="827"/>
        <v/>
      </c>
      <c r="RL192" s="21" t="str">
        <f t="shared" si="828"/>
        <v/>
      </c>
      <c r="RM192" s="21" t="str">
        <f t="shared" si="829"/>
        <v/>
      </c>
      <c r="RN192" s="21" t="str">
        <f t="shared" si="830"/>
        <v/>
      </c>
      <c r="RO192" s="21" t="str">
        <f t="shared" si="831"/>
        <v/>
      </c>
      <c r="RP192" s="21" t="str">
        <f t="shared" si="832"/>
        <v/>
      </c>
      <c r="RQ192" s="21" t="str">
        <f t="shared" si="833"/>
        <v/>
      </c>
      <c r="RR192" s="21" t="str">
        <f t="shared" si="834"/>
        <v/>
      </c>
      <c r="RS192" s="21" t="str">
        <f t="shared" si="835"/>
        <v/>
      </c>
      <c r="RT192" s="21" t="str">
        <f t="shared" si="836"/>
        <v/>
      </c>
      <c r="RU192" s="21" t="str">
        <f t="shared" si="837"/>
        <v/>
      </c>
      <c r="RV192" s="21">
        <f t="shared" si="838"/>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40">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1"/>
        <v>33.789041095890411</v>
      </c>
      <c r="O193" s="22">
        <v>45000</v>
      </c>
      <c r="P193" s="214" t="str">
        <f t="shared" si="675"/>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2"/>
        <v>0</v>
      </c>
      <c r="BR193" s="223">
        <f t="shared" si="603"/>
        <v>44918</v>
      </c>
      <c r="BS193" s="224">
        <f t="shared" si="604"/>
        <v>11.714285714285714</v>
      </c>
      <c r="BT193" s="216" t="str">
        <f t="shared" si="605"/>
        <v>II TRIM</v>
      </c>
      <c r="BU193" s="214" t="str">
        <f t="shared" ca="1" si="606"/>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7"/>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8"/>
        <v>45148</v>
      </c>
      <c r="CL193" s="21">
        <v>61.5</v>
      </c>
      <c r="CM193" s="214">
        <f t="shared" si="609"/>
        <v>24.635475084121129</v>
      </c>
      <c r="CN193" s="216">
        <f t="shared" si="610"/>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9"/>
        <v>APARENTEMENTE NORMAL</v>
      </c>
      <c r="DA193" s="21">
        <v>100</v>
      </c>
      <c r="DB193" s="21">
        <v>60</v>
      </c>
      <c r="DC193" s="217" t="str">
        <f t="shared" si="611"/>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6"/>
        <v>CONCERTAR PLAN DE PARTO INMEDIATO</v>
      </c>
      <c r="DV193" s="226" t="str">
        <f t="shared" si="677"/>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2"/>
        <v>#REF!</v>
      </c>
      <c r="DY193" s="212">
        <f>IF(R193="","",IF(R193&gt;0,MAX(Tabla1[[#This Row],[FECHA C2]:[FECHA C13]],Tabla1[[#This Row],[FECHA CONSULTA PRIMERA VEZ PROGRAMA CPN ]])))</f>
        <v>45148</v>
      </c>
      <c r="DZ193" s="216">
        <f t="shared" si="613"/>
        <v>32</v>
      </c>
      <c r="EA193" s="222">
        <f>IF(R193&gt;0,SUM(COUNTA(DF193:DQ193)+COUNTA(Tabla1[[#This Row],[FECHA CONSULTA PRIMERA VEZ PROGRAMA CPN ]])),"")</f>
        <v>3</v>
      </c>
      <c r="EB193" s="222" t="str">
        <f t="shared" si="614"/>
        <v>NO</v>
      </c>
      <c r="EC193" s="214">
        <f t="shared" si="615"/>
        <v>9</v>
      </c>
      <c r="ED193" s="227">
        <f t="shared" si="616"/>
        <v>0.33333333333333331</v>
      </c>
      <c r="EE193" s="22">
        <v>45000</v>
      </c>
      <c r="EF193" s="22">
        <v>45045</v>
      </c>
      <c r="EG193" s="22">
        <v>45000</v>
      </c>
      <c r="EH193" s="22"/>
      <c r="EI193" s="22">
        <v>45000</v>
      </c>
      <c r="EJ193" s="22"/>
      <c r="EK193" s="22"/>
      <c r="EL193" s="21"/>
      <c r="EM193" s="21"/>
      <c r="EN193" s="22"/>
      <c r="EO193" s="222" t="str">
        <f t="shared" si="617"/>
        <v>TOMAR EXAMEN</v>
      </c>
      <c r="EP193" s="214" t="str">
        <f t="shared" si="618"/>
        <v/>
      </c>
      <c r="EQ193" s="216" t="str">
        <f t="shared" si="619"/>
        <v>POR DEFINIR</v>
      </c>
      <c r="ER193" s="24"/>
      <c r="ES193" s="22"/>
      <c r="ET193" s="29" t="str">
        <f t="shared" ca="1" si="678"/>
        <v>TOMA DE HEMOGLOBINA TARDÍA</v>
      </c>
      <c r="EU193" s="25" t="str">
        <f t="shared" si="620"/>
        <v/>
      </c>
      <c r="EV193" s="24"/>
      <c r="EW193" s="24"/>
      <c r="EX193" s="22"/>
      <c r="EY193" s="29" t="str">
        <f t="shared" si="693"/>
        <v>TOMAR EXAMEN</v>
      </c>
      <c r="EZ193" s="25" t="str">
        <f t="shared" ca="1" si="694"/>
        <v/>
      </c>
      <c r="FA193" s="21"/>
      <c r="FB193" s="22"/>
      <c r="FC193" s="29" t="str">
        <f t="shared" si="621"/>
        <v>TOMAR EXAMEN</v>
      </c>
      <c r="FD193" s="29"/>
      <c r="FE193" s="29"/>
      <c r="FF193" s="29"/>
      <c r="FG193" s="21" t="str">
        <f t="shared" ca="1" si="622"/>
        <v/>
      </c>
      <c r="FH193" s="31"/>
      <c r="FI193" s="29" t="str">
        <f t="shared" si="623"/>
        <v>TOMAR EXAMEN</v>
      </c>
      <c r="FJ193" s="22"/>
      <c r="FK193" s="22"/>
      <c r="FL193" s="29" t="str">
        <f t="shared" ca="1" si="624"/>
        <v>PIERDE TOMA DE TAMIZAJE</v>
      </c>
      <c r="FM193" s="22"/>
      <c r="FN193" s="32"/>
      <c r="FO193" s="29" t="str">
        <f t="shared" ca="1" si="679"/>
        <v>PIERDE TOMA DE TAMIZAJE</v>
      </c>
      <c r="FP193" s="22"/>
      <c r="FQ193" s="32"/>
      <c r="FR193" s="29" t="str">
        <f t="shared" ca="1" si="680"/>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5"/>
        <v>TOMAR EXAMEN</v>
      </c>
      <c r="FY193" s="22"/>
      <c r="FZ193" s="22"/>
      <c r="GA193" s="29" t="str">
        <f t="shared" ca="1" si="739"/>
        <v>PIERDE TOMA DE TAMIZAJE</v>
      </c>
      <c r="GB193" s="22"/>
      <c r="GC193" s="22"/>
      <c r="GD193" s="29" t="str">
        <f t="shared" ca="1" si="732"/>
        <v>PIERDE TOMA DE TAMIZAJE</v>
      </c>
      <c r="GE193" s="22"/>
      <c r="GF193" s="22"/>
      <c r="GG193" s="29" t="str">
        <f t="shared" ca="1" si="682"/>
        <v>TOMA INMEDIATA DE TAMIZAJE</v>
      </c>
      <c r="GH193" s="22"/>
      <c r="GI193" s="29"/>
      <c r="GJ193" s="22"/>
      <c r="GK193" s="22"/>
      <c r="GL193" s="22"/>
      <c r="GM193" s="22"/>
      <c r="GN193" s="28"/>
      <c r="GO193" s="22"/>
      <c r="GP193" s="29" t="str">
        <f t="shared" si="626"/>
        <v>TOMAR EXAMEN</v>
      </c>
      <c r="GQ193" s="28"/>
      <c r="GR193" s="28"/>
      <c r="GS193" s="22" t="str">
        <f t="shared" si="728"/>
        <v/>
      </c>
      <c r="GT193" s="22"/>
      <c r="GU193" s="29" t="str">
        <f t="shared" si="628"/>
        <v>TOMAR EXAMEN</v>
      </c>
      <c r="GV193" s="21" t="str">
        <f t="shared" si="629"/>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30"/>
        <v>#REF!</v>
      </c>
      <c r="HI193" s="22" t="e">
        <f t="shared" ca="1" si="631"/>
        <v>#REF!</v>
      </c>
      <c r="HJ193" s="21" t="str">
        <f t="shared" ca="1" si="632"/>
        <v>*********************MULTIPARIDAD******************</v>
      </c>
      <c r="HK193" s="21" t="str">
        <f t="shared" si="633"/>
        <v>SIN ANTECEDENTES DE RIESGO</v>
      </c>
      <c r="HL193" s="24" t="str">
        <f t="shared" si="634"/>
        <v>APARENTEMENTE NORMAL</v>
      </c>
      <c r="HM193" s="21" t="e">
        <f t="shared" ca="1" si="635"/>
        <v>#REF!</v>
      </c>
      <c r="HN193" s="30" t="str">
        <f t="shared" si="683"/>
        <v>ACTIVA INGRESO A CPN</v>
      </c>
      <c r="HO193" s="21"/>
      <c r="HP193" s="21"/>
      <c r="HQ193" s="349"/>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6"/>
        <v>PENDIENTE CONSULTA</v>
      </c>
      <c r="IA193" s="26"/>
      <c r="IB193" s="26"/>
      <c r="IC193" s="111"/>
      <c r="ID193" s="22"/>
      <c r="IE193" s="22" t="str">
        <f t="shared" ca="1" si="637"/>
        <v/>
      </c>
      <c r="IF193" s="22"/>
      <c r="IG193" s="22">
        <f t="shared" si="638"/>
        <v>45198</v>
      </c>
      <c r="IH193" s="29">
        <f t="shared" ca="1" si="639"/>
        <v>-34</v>
      </c>
      <c r="II193" s="22" t="str">
        <f t="shared" ca="1" si="640"/>
        <v>POSIBLEMENTE NACIO</v>
      </c>
      <c r="IJ193" s="22"/>
      <c r="IK193" s="21"/>
      <c r="IL193" s="21"/>
      <c r="IM193" s="34"/>
      <c r="IN193" s="22"/>
      <c r="IO193" s="21"/>
      <c r="IP193" s="29" t="str">
        <f t="shared" si="730"/>
        <v/>
      </c>
      <c r="IQ193" s="35"/>
      <c r="IR193" s="21"/>
      <c r="IS193" s="21"/>
      <c r="IT193" s="21"/>
      <c r="IU193" s="21"/>
      <c r="IV193" s="21"/>
      <c r="IW193" s="21"/>
      <c r="IX193" s="21"/>
      <c r="IY193" s="21"/>
      <c r="IZ193" s="21"/>
      <c r="JA193" s="21"/>
      <c r="JB193" s="30"/>
      <c r="JC193" s="21"/>
      <c r="JD193" s="36"/>
      <c r="JE193" s="21" t="str">
        <f t="shared" si="733"/>
        <v/>
      </c>
      <c r="JF193" s="30"/>
      <c r="JG193" s="21"/>
      <c r="JH193" s="21"/>
      <c r="JI193" s="21"/>
      <c r="JJ193" s="30"/>
      <c r="JK193" s="22"/>
      <c r="JL193" s="22"/>
      <c r="JM193" s="21"/>
      <c r="JN193" s="36"/>
      <c r="JO193" s="21" t="str">
        <f t="shared" si="734"/>
        <v/>
      </c>
      <c r="JP193" s="22"/>
      <c r="JQ193" s="21"/>
      <c r="JR193" s="21"/>
      <c r="JS193" s="21"/>
      <c r="JT193" s="30"/>
      <c r="JU193" s="22"/>
      <c r="JV193" s="22"/>
      <c r="JW193" s="33"/>
      <c r="JX193" s="28" t="str">
        <f t="shared" si="735"/>
        <v/>
      </c>
      <c r="JY193" s="33"/>
      <c r="JZ193" s="28" t="str">
        <f t="shared" si="736"/>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7"/>
        <v>0</v>
      </c>
      <c r="MI193" s="43" t="str">
        <f t="shared" si="698"/>
        <v/>
      </c>
      <c r="MJ193" s="43" t="str">
        <f t="shared" si="699"/>
        <v/>
      </c>
      <c r="MK193" s="43">
        <f t="shared" si="700"/>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701"/>
        <v>11.714285714285714</v>
      </c>
      <c r="MN193" s="43">
        <f t="shared" si="702"/>
        <v>3</v>
      </c>
      <c r="MO193" s="43">
        <f t="shared" si="703"/>
        <v>2023</v>
      </c>
      <c r="MP193" s="43" t="str">
        <f t="shared" si="704"/>
        <v>I TRIMESTRE AÑO</v>
      </c>
      <c r="MQ193" s="43">
        <f t="shared" si="705"/>
        <v>32.657139728427502</v>
      </c>
      <c r="MR193" s="43">
        <f t="shared" si="706"/>
        <v>0</v>
      </c>
      <c r="MS193" s="43" t="str">
        <f t="shared" si="707"/>
        <v xml:space="preserve"> DE 30 A 34 AÑOS</v>
      </c>
      <c r="MT193" s="43">
        <f t="shared" si="708"/>
        <v>0</v>
      </c>
      <c r="MU193" s="43">
        <f t="shared" si="709"/>
        <v>2</v>
      </c>
      <c r="MV193" s="43">
        <f t="shared" si="710"/>
        <v>0</v>
      </c>
      <c r="MW193" s="43">
        <f t="shared" si="711"/>
        <v>0</v>
      </c>
      <c r="MX193" s="43" t="str">
        <f t="shared" si="712"/>
        <v/>
      </c>
      <c r="MY193" s="43" t="str">
        <f t="shared" ca="1" si="737"/>
        <v/>
      </c>
      <c r="MZ193" s="43" t="str">
        <f t="shared" si="713"/>
        <v/>
      </c>
      <c r="NA193" s="43">
        <f t="shared" si="714"/>
        <v>0</v>
      </c>
      <c r="NB193" s="43" t="str">
        <f t="shared" si="715"/>
        <v/>
      </c>
      <c r="NC193" s="43" t="str">
        <f t="shared" si="716"/>
        <v/>
      </c>
      <c r="ND193" s="43">
        <f t="shared" ca="1" si="717"/>
        <v>2</v>
      </c>
      <c r="NE193" s="43">
        <f>IF(OR(O193&gt;0,R193&gt;0),SUM(COUNTIF(Tabla1[[#This Row],[AÑOS AL INICIO5 CPN]],"&gt;=40"),COUNTIF(AS193,"0"),COUNTIF(AR193,"SI"),COUNTIF(CC193,"SI"),COUNTIF(BQ193,"&gt;119"),COUNTIF(CI193,"&gt;=35")),"")</f>
        <v>0</v>
      </c>
      <c r="NF193" s="43" t="str">
        <f t="shared" si="718"/>
        <v/>
      </c>
      <c r="NG193" s="43">
        <f t="shared" si="719"/>
        <v>0</v>
      </c>
      <c r="NH193" s="43">
        <f t="shared" si="720"/>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21"/>
        <v>X</v>
      </c>
      <c r="NM193" s="43" t="str">
        <f t="shared" si="695"/>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2"/>
        <v>I TRIM</v>
      </c>
      <c r="NQ193" s="21" t="str">
        <f t="shared" si="731"/>
        <v/>
      </c>
      <c r="NR193" s="21" t="str">
        <f t="shared" ca="1" si="738"/>
        <v>REVISAR FUM O FECHA SALIDA PROGRAMA</v>
      </c>
      <c r="NS193" s="205">
        <f t="shared" ca="1" si="723"/>
        <v>0</v>
      </c>
      <c r="NT193" s="21">
        <f t="shared" ca="1" si="724"/>
        <v>0</v>
      </c>
      <c r="NU193" s="21" t="str">
        <f t="shared" ca="1" si="725"/>
        <v>POR DEFINIR</v>
      </c>
      <c r="NV193" s="21" t="str">
        <f t="shared" ca="1" si="726"/>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7"/>
        <v>SIN VACUNAR</v>
      </c>
      <c r="NY193" s="43">
        <f>ROW(Tabla1[[#This Row],['# DE TAMIZAJES SIFILIS TOMADOS ]])</f>
        <v>193</v>
      </c>
      <c r="NZ193" s="43">
        <f t="shared" si="740"/>
        <v>11</v>
      </c>
      <c r="OA193" s="43" t="str">
        <f t="shared" si="741"/>
        <v/>
      </c>
      <c r="OB193" s="43" t="str">
        <f t="shared" si="742"/>
        <v/>
      </c>
      <c r="OC193" s="43" t="str">
        <f t="shared" si="743"/>
        <v>NORMAL</v>
      </c>
      <c r="OD193" s="43" t="str">
        <f t="shared" si="744"/>
        <v/>
      </c>
      <c r="OE193" s="43" t="str">
        <f t="shared" si="745"/>
        <v/>
      </c>
      <c r="OF193" s="43" t="str">
        <f t="shared" si="746"/>
        <v/>
      </c>
      <c r="OG193" s="43" t="str">
        <f t="shared" si="747"/>
        <v/>
      </c>
      <c r="OH193" s="43" t="str">
        <f t="shared" si="748"/>
        <v/>
      </c>
      <c r="OI193" s="43" t="str">
        <f t="shared" si="749"/>
        <v/>
      </c>
      <c r="OJ193" s="43" t="str">
        <f t="shared" si="750"/>
        <v/>
      </c>
      <c r="OK193" s="43" t="str">
        <f t="shared" si="751"/>
        <v/>
      </c>
      <c r="OL193" s="43" t="str">
        <f t="shared" si="752"/>
        <v/>
      </c>
      <c r="OM193" s="43" t="str">
        <f t="shared" si="753"/>
        <v/>
      </c>
      <c r="ON193" s="43" t="str">
        <f t="shared" si="754"/>
        <v/>
      </c>
      <c r="OO193" s="43" t="str">
        <f t="shared" si="755"/>
        <v/>
      </c>
      <c r="OP193" s="43" t="str">
        <f t="shared" si="756"/>
        <v/>
      </c>
      <c r="OQ193" s="43" t="str">
        <f t="shared" si="757"/>
        <v/>
      </c>
      <c r="OR193" s="43" t="str">
        <f t="shared" si="758"/>
        <v/>
      </c>
      <c r="OS193" s="43" t="str">
        <f t="shared" si="759"/>
        <v/>
      </c>
      <c r="OT193" s="43" t="str">
        <f t="shared" si="760"/>
        <v/>
      </c>
      <c r="OU193" s="43" t="str">
        <f t="shared" si="761"/>
        <v/>
      </c>
      <c r="OV193" s="110" t="str">
        <f t="shared" si="762"/>
        <v/>
      </c>
      <c r="OW193" s="43" t="str">
        <f t="shared" si="763"/>
        <v/>
      </c>
      <c r="OX193" s="43" t="str">
        <f t="shared" si="764"/>
        <v/>
      </c>
      <c r="OY193" s="43" t="str">
        <f t="shared" si="765"/>
        <v/>
      </c>
      <c r="OZ193" s="43" t="str">
        <f t="shared" si="766"/>
        <v/>
      </c>
      <c r="PA193" s="43" t="str">
        <f t="shared" si="767"/>
        <v/>
      </c>
      <c r="PB193" s="43" t="str">
        <f t="shared" si="768"/>
        <v/>
      </c>
      <c r="PC193" s="43" t="str">
        <f t="shared" si="769"/>
        <v/>
      </c>
      <c r="PD193" s="43" t="str">
        <f t="shared" si="770"/>
        <v/>
      </c>
      <c r="PE193" s="43" t="str">
        <f t="shared" si="771"/>
        <v/>
      </c>
      <c r="PF193" s="43" t="str">
        <f t="shared" si="772"/>
        <v/>
      </c>
      <c r="PG193" s="43" t="str">
        <f t="shared" si="773"/>
        <v/>
      </c>
      <c r="PH193" s="43" t="str">
        <f t="shared" si="774"/>
        <v/>
      </c>
      <c r="PI193" s="43">
        <f t="shared" si="775"/>
        <v>32</v>
      </c>
      <c r="PJ193" s="43" t="str">
        <f t="shared" si="776"/>
        <v/>
      </c>
      <c r="PK193" s="43" t="str">
        <f t="shared" si="777"/>
        <v/>
      </c>
      <c r="PL193" s="43" t="str">
        <f t="shared" si="778"/>
        <v/>
      </c>
      <c r="PM193" s="43" t="str">
        <f t="shared" si="779"/>
        <v/>
      </c>
      <c r="PN193" s="43" t="str">
        <f t="shared" si="780"/>
        <v/>
      </c>
      <c r="PO193" s="43" t="str">
        <f t="shared" si="781"/>
        <v/>
      </c>
      <c r="PP193" s="43" t="str">
        <f t="shared" si="782"/>
        <v/>
      </c>
      <c r="PQ193" s="43" t="str">
        <f t="shared" si="783"/>
        <v/>
      </c>
      <c r="PR193" s="43" t="str">
        <f t="shared" si="784"/>
        <v/>
      </c>
      <c r="PS193" s="43" t="str">
        <f t="shared" si="785"/>
        <v/>
      </c>
      <c r="PT193" s="43" t="str">
        <f t="shared" si="786"/>
        <v/>
      </c>
      <c r="PU193" s="43" t="str">
        <f t="shared" si="787"/>
        <v/>
      </c>
      <c r="PV193" s="43" t="str">
        <f t="shared" si="788"/>
        <v/>
      </c>
      <c r="PW193" s="43" t="str">
        <f t="shared" si="789"/>
        <v/>
      </c>
      <c r="PX193" s="43" t="str">
        <f t="shared" si="790"/>
        <v/>
      </c>
      <c r="PY193" s="43" t="str">
        <f t="shared" si="791"/>
        <v/>
      </c>
      <c r="PZ193" s="43" t="str">
        <f t="shared" si="792"/>
        <v/>
      </c>
      <c r="QA193" s="43" t="str">
        <f t="shared" si="793"/>
        <v/>
      </c>
      <c r="QB193" s="43" t="str">
        <f t="shared" si="794"/>
        <v/>
      </c>
      <c r="QC193" s="43" t="str">
        <f t="shared" si="795"/>
        <v/>
      </c>
      <c r="QD193" s="43" t="str">
        <f t="shared" si="796"/>
        <v/>
      </c>
      <c r="QE193" s="43" t="str">
        <f t="shared" si="797"/>
        <v/>
      </c>
      <c r="QF193" s="43" t="str">
        <f t="shared" si="798"/>
        <v/>
      </c>
      <c r="QG193" s="43" t="str">
        <f t="shared" si="799"/>
        <v>NORMAL</v>
      </c>
      <c r="QH193" s="43" t="str">
        <f t="shared" si="800"/>
        <v/>
      </c>
      <c r="QI193" s="43" t="str">
        <f t="shared" si="801"/>
        <v/>
      </c>
      <c r="QJ193" s="43" t="str">
        <f t="shared" si="802"/>
        <v/>
      </c>
      <c r="QK193" s="43" t="str">
        <f t="shared" si="803"/>
        <v/>
      </c>
      <c r="QL193" s="43" t="str">
        <f t="shared" si="804"/>
        <v/>
      </c>
      <c r="QM193" s="43" t="str">
        <f t="shared" si="805"/>
        <v/>
      </c>
      <c r="QN193" s="43" t="str">
        <f t="shared" si="806"/>
        <v/>
      </c>
      <c r="QO193" s="43" t="str">
        <f t="shared" si="807"/>
        <v/>
      </c>
      <c r="QP193" s="43" t="str">
        <f t="shared" si="808"/>
        <v/>
      </c>
      <c r="QQ193" s="43" t="str">
        <f t="shared" si="809"/>
        <v/>
      </c>
      <c r="QR193" s="43">
        <f t="shared" si="839"/>
        <v>32</v>
      </c>
      <c r="QS193" s="43"/>
      <c r="QT193" s="21" t="str">
        <f t="shared" si="810"/>
        <v/>
      </c>
      <c r="QU193" s="21" t="str">
        <f t="shared" si="811"/>
        <v/>
      </c>
      <c r="QV193" s="21" t="str">
        <f t="shared" si="812"/>
        <v/>
      </c>
      <c r="QW193" s="21" t="str">
        <f t="shared" si="813"/>
        <v/>
      </c>
      <c r="QX193" s="21" t="str">
        <f t="shared" si="814"/>
        <v/>
      </c>
      <c r="QY193" s="21" t="str">
        <f t="shared" si="815"/>
        <v/>
      </c>
      <c r="QZ193" s="21" t="str">
        <f t="shared" si="816"/>
        <v/>
      </c>
      <c r="RA193" s="21" t="str">
        <f t="shared" si="817"/>
        <v/>
      </c>
      <c r="RB193" s="21" t="str">
        <f t="shared" si="818"/>
        <v/>
      </c>
      <c r="RC193" s="21" t="str">
        <f t="shared" si="819"/>
        <v/>
      </c>
      <c r="RD193" s="21" t="str">
        <f t="shared" si="820"/>
        <v/>
      </c>
      <c r="RE193" s="21" t="str">
        <f t="shared" si="821"/>
        <v/>
      </c>
      <c r="RF193" s="21" t="str">
        <f t="shared" si="822"/>
        <v/>
      </c>
      <c r="RG193" s="21" t="str">
        <f t="shared" si="823"/>
        <v/>
      </c>
      <c r="RH193" s="21" t="str">
        <f t="shared" si="824"/>
        <v/>
      </c>
      <c r="RI193" s="21" t="str">
        <f t="shared" si="825"/>
        <v/>
      </c>
      <c r="RJ193" s="21" t="str">
        <f t="shared" si="826"/>
        <v/>
      </c>
      <c r="RK193" s="21" t="str">
        <f t="shared" si="827"/>
        <v/>
      </c>
      <c r="RL193" s="21" t="str">
        <f t="shared" si="828"/>
        <v/>
      </c>
      <c r="RM193" s="21" t="str">
        <f t="shared" si="829"/>
        <v>ADECUADO PARA EDAD GESTACIONAL</v>
      </c>
      <c r="RN193" s="21" t="str">
        <f t="shared" si="830"/>
        <v/>
      </c>
      <c r="RO193" s="21" t="str">
        <f t="shared" si="831"/>
        <v/>
      </c>
      <c r="RP193" s="21" t="str">
        <f t="shared" si="832"/>
        <v/>
      </c>
      <c r="RQ193" s="21" t="str">
        <f t="shared" si="833"/>
        <v/>
      </c>
      <c r="RR193" s="21" t="str">
        <f t="shared" si="834"/>
        <v/>
      </c>
      <c r="RS193" s="21" t="str">
        <f t="shared" si="835"/>
        <v/>
      </c>
      <c r="RT193" s="21" t="str">
        <f t="shared" si="836"/>
        <v/>
      </c>
      <c r="RU193" s="21" t="str">
        <f t="shared" si="837"/>
        <v/>
      </c>
      <c r="RV193" s="21">
        <f t="shared" si="838"/>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40"/>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41">IF(M194&gt;0,SUM(TODAY()-M194)/365,"")</f>
        <v>28.849315068493151</v>
      </c>
      <c r="O194" s="22">
        <v>45087</v>
      </c>
      <c r="P194" s="214" t="str">
        <f t="shared" si="675"/>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2">IF(OR(BN194="SD",RW194=""),"",IF(BN194="",0,SUM(RW194-BN194)/30))</f>
        <v>0</v>
      </c>
      <c r="BR194" s="223" t="str">
        <f t="shared" ref="BR194:BR248" si="843">IF(BX194&gt;0,SUM(BW194-NH194),"")</f>
        <v/>
      </c>
      <c r="BS194" s="224">
        <f t="shared" ref="BS194:BS248" si="844">IF(AND(BP194="Corregida",BO194&gt;0,R194&gt;0,ISBLANK(BX194)),"SIN SEMANAS X ECO",IF(AND(BP194="Corregida",BO194&gt;0,R194&gt;0),SUM(R194-BR194)/7,IF(AND(OR(BP194="SI",BP194="NO"),BO194&gt;0,R194&gt;0),SUM(R194-BO194)/7,"")))</f>
        <v>12</v>
      </c>
      <c r="BT194" s="216" t="str">
        <f t="shared" ref="BT194:BT248" si="845">IF(AND(BS194="",IG194=""),"",IF(AND(BS194="",IG194="DEFINIR FPP POR ECO"),"SIN DATO",IF(BS194&lt;0,"ERROR FUM O INGRESO O ECO",IF(BP194="NO","DEFINIR CON ECO",IF(BS194&lt;10,"I TRIM",IF(BS194&lt;27,"II TRIM",IF(AND(BS194&gt;26,BS194&lt;45),"III TRIM","ERROR FUM O INGRESO O ECO")))))))</f>
        <v>II TRIM</v>
      </c>
      <c r="BU194" s="214">
        <f t="shared" ref="BU194:BU204" ca="1" si="846">IF(AND(BO194="",BR194=""),"",IF(SUM((TODAY()-RW194)/7)&gt;43.1,"",IF(AND(RW194&gt;0,OR(BP194="si",BP194="Corregida",BP194="NO")),SUM((TODAY()-RW194)/7),"")))</f>
        <v>32.714285714285715</v>
      </c>
      <c r="BV194" s="25"/>
      <c r="BW194" s="22"/>
      <c r="BX194" s="28"/>
      <c r="BY194" s="28"/>
      <c r="BZ194" s="22"/>
      <c r="CA194" s="21"/>
      <c r="CB194" s="26"/>
      <c r="CC194" s="26"/>
      <c r="CD194" s="26"/>
      <c r="CE194" s="26"/>
      <c r="CF194" s="22" t="s">
        <v>1517</v>
      </c>
      <c r="CG194" s="21">
        <v>1.47</v>
      </c>
      <c r="CH194" s="21">
        <v>56</v>
      </c>
      <c r="CI194" s="214">
        <f t="shared" ref="CI194:CI248" si="847">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8">DY194</f>
        <v>45140</v>
      </c>
      <c r="CL194" s="21">
        <v>63.2</v>
      </c>
      <c r="CM194" s="214">
        <f t="shared" ref="CM194:CM248" si="849">IF(AND(OR(O194&gt;0,R194&gt;0),CG194=""),"SD",IF(AND(OR(O194="",R194=""),CG194=""),"",IF(AND(OR(O194&gt;0,R194&gt;0),CG194&gt;0),SUM(CL194)/(CG194*CG194),"X")))</f>
        <v>29.24707297885141</v>
      </c>
      <c r="CN194" s="216">
        <f t="shared" ref="CN194:CN248" si="850">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9"/>
        <v/>
      </c>
      <c r="DA194" s="21">
        <v>90</v>
      </c>
      <c r="DB194" s="21">
        <v>60</v>
      </c>
      <c r="DC194" s="217" t="str">
        <f t="shared" ref="DC194:DC248" si="851">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6"/>
        <v>PLANEAR PLAN DE PARTO</v>
      </c>
      <c r="DV194" s="226" t="str">
        <f t="shared" si="677"/>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2">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3">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4">IF(AND(EA194&gt;=0,EA194&lt;4),"NO",IF(AND(EA194&gt;=4,EA194&lt;12),"SI",""))</f>
        <v>NO</v>
      </c>
      <c r="EC194" s="214">
        <f t="shared" ref="EC194:EC248" si="855">IF(BS194="","",IF(BS194&gt;0,INT(SUM(((40-BS194)/4)+2)),"X"))</f>
        <v>9</v>
      </c>
      <c r="ED194" s="227">
        <f t="shared" ref="ED194:ED248" si="856">IF(EC194="","",IF(EA194&gt;0,SUM(EA194/EC194),"X"))</f>
        <v>0.22222222222222221</v>
      </c>
      <c r="EE194" s="22">
        <v>45087</v>
      </c>
      <c r="EF194" s="22"/>
      <c r="EG194" s="22">
        <v>45087</v>
      </c>
      <c r="EH194" s="22"/>
      <c r="EI194" s="22">
        <v>45087</v>
      </c>
      <c r="EJ194" s="22"/>
      <c r="EK194" s="22"/>
      <c r="EL194" s="21"/>
      <c r="EM194" s="21">
        <v>13.6</v>
      </c>
      <c r="EN194" s="22">
        <v>45087</v>
      </c>
      <c r="EO194" s="222">
        <f t="shared" ref="EO194:EO248" si="857">IF(AND(BT194="ERROR FUM O INGRESO",EN194&gt;0),"ERROR FUM O INGRESO",IF(AND(EN194="",R194="",O194=""),"",IF(OR(AND(EN194&lt;&gt;"",EN194&lt;RW194),AND(EN194&lt;&gt;"",SUM((EN194-RW194)/7)&gt;40)),"CORREGIR FECHA RESULTADO",IF(AND(EN194="",OR(O194&gt;0,R194&gt;0)),"TOMAR EXAMEN",IF(EN194&gt;0,SUM(EN194-RW194)/7,"")))))</f>
        <v>12</v>
      </c>
      <c r="EP194" s="214" t="str">
        <f t="shared" ref="EP194:EP248" si="858">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9">IF(AND(EO194="",BT194=""),"",IF(AND(EO194&lt;&gt;"",BT194="SIN DATO"),"SIN DATO",IF(AND(EO194="",BT194&lt;&gt;""),"",IF(AND(EO194&lt;0,BT194&gt;0),"ERROR FUM O INGRESO",IF(EO194&lt;=13,"I TRIM",IF(EO194&lt;28,"II TRIM",IF(AND(EO194&gt;27,EO194&lt;45),"III TRIM","POR DEFINIR")))))))</f>
        <v>I TRIM</v>
      </c>
      <c r="ER194" s="24"/>
      <c r="ES194" s="22"/>
      <c r="ET194" s="29" t="str">
        <f t="shared" ca="1" si="678"/>
        <v>TOMA DE HEMOGLOBINA TARDÍA</v>
      </c>
      <c r="EU194" s="25" t="str">
        <f t="shared" ref="EU194:EU248" si="860">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3"/>
        <v>12</v>
      </c>
      <c r="EZ194" s="25" t="str">
        <f t="shared" si="694"/>
        <v>SIN RIESGO DE ISOINMUNIZACIÓN</v>
      </c>
      <c r="FA194" s="21">
        <v>108</v>
      </c>
      <c r="FB194" s="22">
        <v>45087</v>
      </c>
      <c r="FC194" s="29">
        <f t="shared" ref="FC194:FC248" si="861">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2">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3">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4">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9"/>
        <v>PIERDE TOMA DE TAMIZAJE</v>
      </c>
      <c r="FP194" s="22"/>
      <c r="FQ194" s="32"/>
      <c r="FR194" s="29" t="str">
        <f t="shared" ca="1" si="680"/>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5">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9"/>
        <v>12</v>
      </c>
      <c r="GB194" s="22"/>
      <c r="GC194" s="22"/>
      <c r="GD194" s="29" t="str">
        <f t="shared" ca="1" si="732"/>
        <v>PIERDE TOMA DE TAMIZAJE</v>
      </c>
      <c r="GE194" s="22"/>
      <c r="GF194" s="22"/>
      <c r="GG194" s="29" t="str">
        <f t="shared" ca="1" si="682"/>
        <v>EN RANGO PARA TOMAR EXAMEN</v>
      </c>
      <c r="GH194" s="22"/>
      <c r="GI194" s="29"/>
      <c r="GJ194" s="22"/>
      <c r="GK194" s="22"/>
      <c r="GL194" s="22"/>
      <c r="GM194" s="22"/>
      <c r="GN194" s="28" t="s">
        <v>869</v>
      </c>
      <c r="GO194" s="22">
        <v>45087</v>
      </c>
      <c r="GP194" s="29">
        <f t="shared" ref="GP194:GP248" si="866">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8"/>
        <v>CONTROL Igm</v>
      </c>
      <c r="GT194" s="22">
        <v>45087</v>
      </c>
      <c r="GU194" s="29">
        <f t="shared" ref="GU194:GU248" si="867">IF(AND(BT194="ERROR FUM O INGRESO",GT194&gt;0),"ERROR FUM O INGRESO",IF(AND(GT194="",R194="",O194=""),"",IF(OR(AND(GT194&lt;&gt;"",GT194&lt;BO194),AND(GT194&lt;&gt;"",SUM((GT194-BO194)/7)&gt;40)),"CORREGIR FECHA RESULTADO",IF(AND(GT194="",OR(O194&gt;0,R194&gt;0)),"TOMAR EXAMEN",IF(GT194&gt;0,SUM(GT194-BO194)/7,"")))))</f>
        <v>12</v>
      </c>
      <c r="GV194" s="21" t="str">
        <f t="shared" ref="GV194:GV248" si="868">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9">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70">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t="str">
        <f t="shared" ref="HJ194:HJ248" ca="1" si="871">IF(OR(O194&gt;0,R194&gt;0),CONCATENATE(IF(AK194="CON RIESGO","RIESGO PSICOSOCIAL",""),"*",CONCATENATE(IF(AL194="SI","ANTECEDENTE PREECLAMPSIA",""),"*",CONCATENATE(IF(AM194="SI","ANTECEDENTE HEMORRAGIA POSTPARTO O RETENCIÓN DE PLACENTA",""),"*",CONCATENATE(IF(AN194="SI","ANTECEDENTE RN BAJO PESO",""),"*",CONCATENATE(IF(AQ194="SI","ANTECEDENTE TRABAJO DE PARTO PROLONGADO",""),"*",CONCATENATE(IF(AV194="SI","INFERTILIDAD",""),"*",CONCATENATE(IF(BD194="SI","ENFERMERDAD AUTOINMUNE",""),"*",CONCATENATE(IF(BE194="SI","DIABETES PREGESTACIONAL",""),"*",CONCATENATE(IF(BF194="SI","ENFERMEDAD CARDIACA",""),"*",CONCATENATE(IF(BG194="SI","HTA CRÓNICA",""),"*",CONCATENATE(IF(BH194="SI","ENFERMEDAD RENAL CRÓNICA",""),"*",CONCATENATE(IF(BK194="SI","ANOMALIA CONGÉNITA",""),"*",CONCATENATE(IF(OR(BL194="SI",BM194="SI"),"HEMORRAGIA DURANTE LA GESTACIÓN",""),"*",CONCATENATE(IF(CB194="SI","RCIU",""),"*",CONCATENATE(IF(CC194="SI","EMBARAZO GEMELAR",""),"*",CONCATENATE(IF(NA194=3,"PRESENTACIÓN FETAL PODALICA O TRANSVERSA",""),"*",CONCATENATE(IF(CE194="SI","POLIHIDRAMNIOS",""),"*",CONCATENATE(IF(FG194="DIABETES, REMITIR","DIABETES GESTACIONAL",""),"*",CONCATENATE(IF(FU194&lt;&gt;"","SEGUIMIENTO PARA SIFILIS GESTACIONAL",""),"*",CONCATENATE(IF(MZ194=3,"SEGUIMIENTO PARA VIH",""),"*",CONCATENATE(IF(MX194=1,"SEGUIMIENTO PARA ANEMIA",""),"*",CONCATENATE(IF(MU194=2,"MULTIPARIDAD",""),"*",CONCATENATE(IF(MU194=1,"MULTIPARIDAD",""),"*",CONCATENATE(IF(MT194=1,"ANTECEDENTE MUERTE PERINATAL",""),"*",CONCATENATE(IF(OR(MR194=2,MR194=1),"RIESGO POR EDAD",""),"*",CONCATENATE(IF(OR(MV194=1,MV194=2),"CESAREAS PREVIAS",""),"*",CONCATENATE(IF(MW194=1,"ANTECEDENTE ECTOPICO O CX UTERINA",""),"*",CONCATENATE(IF(MY194=1,"EMBARAZO PROLONGADO",""),"*",CONCATENATE(IF(NB194=2,"SEGUIMIENTO PARA CHAGAS",""),"*",CONCATENATE(IF(NC194=3,"SEGUIMIENTO PARA MALARIA",""),"*",CONCATENATE(IF(OR(HF194="COVID19 PRIMER TRIMESTRE",HF194="COVID19 SEGUNDO TRIMESTRE",HF194="COVID19 TERCER TRIMESTRE",HF194="COVID19 PUERPERIO"),"SEGUIMIENTO PARA COVID19",""),"*",CONCATENATE(IF(EZ194="COOMBS C/MES Y RESUMAN SEM 28","RIESGO DE ISOINMUNIZACIÓN RH",""),"*",CONCATENATE(IF(EZ194="TOMAR COOMBS CUANTITATIVO Y REMISIÓN","ISOINMUNIZACIÓN RH",""),"*",CONCATENATE(IF(BC194="SI, CONTROLADA","EPILEPSIA CONTROLADA",""),"*",CONCATENATE(IF(BC194="SI, SIN MANEJO","EPILEPSIA SIN MANEJO",""),"*",CONCATENATE(IF(BC194="SI, NO CONTROLADA","EPILEPSIA NO CONTROLADA",""),"*",CONCATENATE(IF(AP194="SI","AMENAZA PARTO PRETERMINO",""),"*",CONCATENATE(IF(AO194="SI","ANTECEDENTE MACROSOMICO",""),"*",CONCATENATE(IF(AD194="Consumo ActualI","USO SUSTANCIAS PSICOACTIVAS",""),"*"))))))))))))))))))))))))))))))))))))))),"")</f>
        <v>*****INFERTILIDAD**********************************</v>
      </c>
      <c r="HK194" s="21" t="str">
        <f t="shared" ref="HK194:HK248" si="872">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3">DC194</f>
        <v>APARENTEMENTE NORMAL</v>
      </c>
      <c r="HM194" s="21" t="str">
        <f t="shared" ref="HM194:HM248" si="874">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3"/>
        <v>ACTIVA INGRESO A CPN</v>
      </c>
      <c r="HO194" s="21"/>
      <c r="HP194" s="21"/>
      <c r="HQ194" s="349"/>
      <c r="HR194" s="21"/>
      <c r="HS194" s="22"/>
      <c r="HT194" s="22"/>
      <c r="HU194" s="22">
        <v>45087</v>
      </c>
      <c r="HV194" s="22" t="s">
        <v>1506</v>
      </c>
      <c r="HW194" s="22">
        <v>45087</v>
      </c>
      <c r="HX194" s="22" t="s">
        <v>1511</v>
      </c>
      <c r="HY194" s="22">
        <v>45087</v>
      </c>
      <c r="HZ194" s="28">
        <f t="shared" ref="HZ194:HZ248" si="875">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6">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7">IF(OR(BP194="SI",BP194="Corregida",BP194="NO"),(RW194+280),IF(BP194="Sin Dato","DEFINIR FPP POR ECO",""))</f>
        <v>45283</v>
      </c>
      <c r="IH194" s="29">
        <f t="shared" ref="IH194:IH248" ca="1" si="878">IF(OR(IG194="DEFINIR FPP POR ECO",BT194="ERROR FUM O INGRESO"),"SIN DEFINIR",IF(IG194="","",IF(IG194&gt;0,SUM(IG194-TODAY()),"X")))</f>
        <v>51</v>
      </c>
      <c r="II194" s="22" t="str">
        <f t="shared" ref="II194:II248" ca="1" si="879">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40"/>
        <v>12</v>
      </c>
      <c r="OA194" s="43" t="str">
        <f t="shared" si="741"/>
        <v/>
      </c>
      <c r="OB194" s="43" t="str">
        <f t="shared" si="742"/>
        <v/>
      </c>
      <c r="OC194" s="43" t="str">
        <f t="shared" si="743"/>
        <v/>
      </c>
      <c r="OD194" s="43" t="str">
        <f t="shared" si="744"/>
        <v>SOBREPESO</v>
      </c>
      <c r="OE194" s="43" t="str">
        <f t="shared" si="745"/>
        <v/>
      </c>
      <c r="OF194" s="43" t="str">
        <f t="shared" si="746"/>
        <v/>
      </c>
      <c r="OG194" s="43" t="str">
        <f t="shared" si="747"/>
        <v/>
      </c>
      <c r="OH194" s="43" t="str">
        <f t="shared" si="748"/>
        <v/>
      </c>
      <c r="OI194" s="43" t="str">
        <f t="shared" si="749"/>
        <v/>
      </c>
      <c r="OJ194" s="43" t="str">
        <f t="shared" si="750"/>
        <v/>
      </c>
      <c r="OK194" s="43" t="str">
        <f t="shared" si="751"/>
        <v/>
      </c>
      <c r="OL194" s="43" t="str">
        <f t="shared" si="752"/>
        <v/>
      </c>
      <c r="OM194" s="43" t="str">
        <f t="shared" si="753"/>
        <v/>
      </c>
      <c r="ON194" s="43" t="str">
        <f t="shared" si="754"/>
        <v/>
      </c>
      <c r="OO194" s="43" t="str">
        <f t="shared" si="755"/>
        <v/>
      </c>
      <c r="OP194" s="43" t="str">
        <f t="shared" si="756"/>
        <v/>
      </c>
      <c r="OQ194" s="43" t="str">
        <f t="shared" si="757"/>
        <v/>
      </c>
      <c r="OR194" s="43" t="str">
        <f t="shared" si="758"/>
        <v/>
      </c>
      <c r="OS194" s="43" t="str">
        <f t="shared" si="759"/>
        <v/>
      </c>
      <c r="OT194" s="43" t="str">
        <f t="shared" si="760"/>
        <v/>
      </c>
      <c r="OU194" s="43" t="str">
        <f t="shared" si="761"/>
        <v/>
      </c>
      <c r="OV194" s="110" t="str">
        <f t="shared" si="762"/>
        <v/>
      </c>
      <c r="OW194" s="43" t="str">
        <f t="shared" si="763"/>
        <v/>
      </c>
      <c r="OX194" s="43" t="str">
        <f t="shared" si="764"/>
        <v/>
      </c>
      <c r="OY194" s="43" t="str">
        <f t="shared" si="765"/>
        <v/>
      </c>
      <c r="OZ194" s="43" t="str">
        <f t="shared" si="766"/>
        <v/>
      </c>
      <c r="PA194" s="43" t="str">
        <f t="shared" si="767"/>
        <v/>
      </c>
      <c r="PB194" s="43" t="str">
        <f t="shared" si="768"/>
        <v/>
      </c>
      <c r="PC194" s="43" t="str">
        <f t="shared" si="769"/>
        <v/>
      </c>
      <c r="PD194" s="43" t="str">
        <f t="shared" si="770"/>
        <v/>
      </c>
      <c r="PE194" s="43" t="str">
        <f t="shared" si="771"/>
        <v/>
      </c>
      <c r="PF194" s="43" t="str">
        <f t="shared" si="772"/>
        <v/>
      </c>
      <c r="PG194" s="43" t="str">
        <f t="shared" si="773"/>
        <v/>
      </c>
      <c r="PH194" s="43" t="str">
        <f t="shared" si="774"/>
        <v/>
      </c>
      <c r="PI194" s="43">
        <f t="shared" si="775"/>
        <v>19</v>
      </c>
      <c r="PJ194" s="43" t="str">
        <f t="shared" si="776"/>
        <v/>
      </c>
      <c r="PK194" s="43" t="str">
        <f t="shared" si="777"/>
        <v/>
      </c>
      <c r="PL194" s="43" t="str">
        <f t="shared" si="778"/>
        <v/>
      </c>
      <c r="PM194" s="43" t="str">
        <f t="shared" si="779"/>
        <v/>
      </c>
      <c r="PN194" s="43" t="str">
        <f t="shared" si="780"/>
        <v/>
      </c>
      <c r="PO194" s="43" t="str">
        <f t="shared" si="781"/>
        <v/>
      </c>
      <c r="PP194" s="43" t="str">
        <f t="shared" si="782"/>
        <v/>
      </c>
      <c r="PQ194" s="43" t="str">
        <f t="shared" si="783"/>
        <v/>
      </c>
      <c r="PR194" s="43" t="str">
        <f t="shared" si="784"/>
        <v/>
      </c>
      <c r="PS194" s="43" t="str">
        <f t="shared" si="785"/>
        <v/>
      </c>
      <c r="PT194" s="43" t="str">
        <f t="shared" si="786"/>
        <v>SOBREPESO</v>
      </c>
      <c r="PU194" s="43" t="str">
        <f t="shared" si="787"/>
        <v/>
      </c>
      <c r="PV194" s="43" t="str">
        <f t="shared" si="788"/>
        <v/>
      </c>
      <c r="PW194" s="43" t="str">
        <f t="shared" si="789"/>
        <v/>
      </c>
      <c r="PX194" s="43" t="str">
        <f t="shared" si="790"/>
        <v/>
      </c>
      <c r="PY194" s="43" t="str">
        <f t="shared" si="791"/>
        <v/>
      </c>
      <c r="PZ194" s="43" t="str">
        <f t="shared" si="792"/>
        <v/>
      </c>
      <c r="QA194" s="43" t="str">
        <f t="shared" si="793"/>
        <v/>
      </c>
      <c r="QB194" s="43" t="str">
        <f t="shared" si="794"/>
        <v/>
      </c>
      <c r="QC194" s="43" t="str">
        <f t="shared" si="795"/>
        <v/>
      </c>
      <c r="QD194" s="43" t="str">
        <f t="shared" si="796"/>
        <v/>
      </c>
      <c r="QE194" s="43" t="str">
        <f t="shared" si="797"/>
        <v/>
      </c>
      <c r="QF194" s="43" t="str">
        <f t="shared" si="798"/>
        <v/>
      </c>
      <c r="QG194" s="43" t="str">
        <f t="shared" si="799"/>
        <v/>
      </c>
      <c r="QH194" s="43" t="str">
        <f t="shared" si="800"/>
        <v/>
      </c>
      <c r="QI194" s="43" t="str">
        <f t="shared" si="801"/>
        <v/>
      </c>
      <c r="QJ194" s="43" t="str">
        <f t="shared" si="802"/>
        <v/>
      </c>
      <c r="QK194" s="43" t="str">
        <f t="shared" si="803"/>
        <v/>
      </c>
      <c r="QL194" s="43" t="str">
        <f t="shared" si="804"/>
        <v/>
      </c>
      <c r="QM194" s="43" t="str">
        <f t="shared" si="805"/>
        <v/>
      </c>
      <c r="QN194" s="43" t="str">
        <f t="shared" si="806"/>
        <v/>
      </c>
      <c r="QO194" s="43" t="str">
        <f t="shared" si="807"/>
        <v/>
      </c>
      <c r="QP194" s="43" t="str">
        <f t="shared" si="808"/>
        <v/>
      </c>
      <c r="QQ194" s="43" t="str">
        <f t="shared" si="809"/>
        <v/>
      </c>
      <c r="QR194" s="43">
        <f t="shared" si="839"/>
        <v>19</v>
      </c>
      <c r="QS194" s="43"/>
      <c r="QT194" s="21" t="str">
        <f t="shared" si="810"/>
        <v/>
      </c>
      <c r="QU194" s="21" t="str">
        <f t="shared" si="811"/>
        <v/>
      </c>
      <c r="QV194" s="21" t="str">
        <f t="shared" si="812"/>
        <v/>
      </c>
      <c r="QW194" s="21" t="str">
        <f t="shared" si="813"/>
        <v/>
      </c>
      <c r="QX194" s="21" t="str">
        <f t="shared" si="814"/>
        <v/>
      </c>
      <c r="QY194" s="21" t="str">
        <f t="shared" si="815"/>
        <v/>
      </c>
      <c r="QZ194" s="21" t="str">
        <f t="shared" si="816"/>
        <v>ADECUADO PARA EDAD GESTACIONAL</v>
      </c>
      <c r="RA194" s="21" t="str">
        <f t="shared" si="817"/>
        <v/>
      </c>
      <c r="RB194" s="21" t="str">
        <f t="shared" si="818"/>
        <v/>
      </c>
      <c r="RC194" s="21" t="str">
        <f t="shared" si="819"/>
        <v/>
      </c>
      <c r="RD194" s="21" t="str">
        <f t="shared" si="820"/>
        <v/>
      </c>
      <c r="RE194" s="21" t="str">
        <f t="shared" si="821"/>
        <v/>
      </c>
      <c r="RF194" s="21" t="str">
        <f t="shared" si="822"/>
        <v/>
      </c>
      <c r="RG194" s="21" t="str">
        <f t="shared" si="823"/>
        <v/>
      </c>
      <c r="RH194" s="21" t="str">
        <f t="shared" si="824"/>
        <v/>
      </c>
      <c r="RI194" s="21" t="str">
        <f t="shared" si="825"/>
        <v/>
      </c>
      <c r="RJ194" s="21" t="str">
        <f t="shared" si="826"/>
        <v/>
      </c>
      <c r="RK194" s="21" t="str">
        <f t="shared" si="827"/>
        <v/>
      </c>
      <c r="RL194" s="21" t="str">
        <f t="shared" si="828"/>
        <v/>
      </c>
      <c r="RM194" s="21" t="str">
        <f t="shared" si="829"/>
        <v/>
      </c>
      <c r="RN194" s="21" t="str">
        <f t="shared" si="830"/>
        <v/>
      </c>
      <c r="RO194" s="21" t="str">
        <f t="shared" si="831"/>
        <v/>
      </c>
      <c r="RP194" s="21" t="str">
        <f t="shared" si="832"/>
        <v/>
      </c>
      <c r="RQ194" s="21" t="str">
        <f t="shared" si="833"/>
        <v/>
      </c>
      <c r="RR194" s="21" t="str">
        <f t="shared" si="834"/>
        <v/>
      </c>
      <c r="RS194" s="21" t="str">
        <f t="shared" si="835"/>
        <v/>
      </c>
      <c r="RT194" s="21" t="str">
        <f t="shared" si="836"/>
        <v/>
      </c>
      <c r="RU194" s="21" t="str">
        <f t="shared" si="837"/>
        <v/>
      </c>
      <c r="RV194" s="21">
        <f t="shared" si="838"/>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40"/>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41"/>
        <v>30.479452054794521</v>
      </c>
      <c r="O195" s="22">
        <v>45087</v>
      </c>
      <c r="P195" s="214" t="str">
        <f t="shared" si="675"/>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2"/>
        <v>56.8</v>
      </c>
      <c r="BR195" s="223" t="str">
        <f t="shared" si="843"/>
        <v/>
      </c>
      <c r="BS195" s="224">
        <f t="shared" si="844"/>
        <v>7.8571428571428568</v>
      </c>
      <c r="BT195" s="216" t="str">
        <f t="shared" si="845"/>
        <v>I TRIM</v>
      </c>
      <c r="BU195" s="214">
        <f t="shared" ca="1" si="846"/>
        <v>28.571428571428573</v>
      </c>
      <c r="BV195" s="25"/>
      <c r="BW195" s="22"/>
      <c r="BX195" s="28"/>
      <c r="BY195" s="28"/>
      <c r="BZ195" s="22"/>
      <c r="CA195" s="21"/>
      <c r="CB195" s="26"/>
      <c r="CC195" s="26"/>
      <c r="CD195" s="26"/>
      <c r="CE195" s="26"/>
      <c r="CF195" s="22" t="s">
        <v>1517</v>
      </c>
      <c r="CG195" s="21">
        <v>1.48</v>
      </c>
      <c r="CH195" s="21">
        <v>44</v>
      </c>
      <c r="CI195" s="214">
        <f t="shared" si="847"/>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8"/>
        <v>45142</v>
      </c>
      <c r="CL195" s="21">
        <v>45.1</v>
      </c>
      <c r="CM195" s="214">
        <f t="shared" si="849"/>
        <v>20.589846603360119</v>
      </c>
      <c r="CN195" s="216">
        <f t="shared" si="850"/>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9"/>
        <v/>
      </c>
      <c r="DA195" s="21">
        <v>90</v>
      </c>
      <c r="DB195" s="21">
        <v>60</v>
      </c>
      <c r="DC195" s="217" t="str">
        <f t="shared" si="851"/>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6"/>
        <v>PLANEAR PLAN DE PARTO</v>
      </c>
      <c r="DV195" s="226" t="str">
        <f t="shared" si="677"/>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2"/>
        <v>DIA DE CONTROL</v>
      </c>
      <c r="DY195" s="212">
        <f>IF(R195="","",IF(R195&gt;0,MAX(Tabla1[[#This Row],[FECHA C2]:[FECHA C13]],Tabla1[[#This Row],[FECHA CONSULTA PRIMERA VEZ PROGRAMA CPN ]])))</f>
        <v>45142</v>
      </c>
      <c r="DZ195" s="216">
        <f t="shared" si="853"/>
        <v>15</v>
      </c>
      <c r="EA195" s="222">
        <f>IF(R195&gt;0,SUM(COUNTA(DF195:DQ195)+COUNTA(Tabla1[[#This Row],[FECHA CONSULTA PRIMERA VEZ PROGRAMA CPN ]])),"")</f>
        <v>3</v>
      </c>
      <c r="EB195" s="222" t="str">
        <f t="shared" si="854"/>
        <v>NO</v>
      </c>
      <c r="EC195" s="214">
        <f t="shared" si="855"/>
        <v>10</v>
      </c>
      <c r="ED195" s="227">
        <f t="shared" si="856"/>
        <v>0.3</v>
      </c>
      <c r="EE195" s="22">
        <v>45087</v>
      </c>
      <c r="EF195" s="22">
        <v>45087</v>
      </c>
      <c r="EG195" s="22">
        <v>45087</v>
      </c>
      <c r="EH195" s="22"/>
      <c r="EI195" s="22">
        <v>45087</v>
      </c>
      <c r="EJ195" s="22"/>
      <c r="EK195" s="22"/>
      <c r="EL195" s="21"/>
      <c r="EM195" s="21">
        <v>13</v>
      </c>
      <c r="EN195" s="22">
        <v>45087</v>
      </c>
      <c r="EO195" s="222">
        <f t="shared" si="857"/>
        <v>7.8571428571428568</v>
      </c>
      <c r="EP195" s="214" t="str">
        <f t="shared" si="858"/>
        <v>NORMAL- SUMINISTRAR SULFATO FERROSO</v>
      </c>
      <c r="EQ195" s="216" t="str">
        <f t="shared" si="859"/>
        <v>I TRIM</v>
      </c>
      <c r="ER195" s="24"/>
      <c r="ES195" s="22"/>
      <c r="ET195" s="29" t="str">
        <f t="shared" ca="1" si="678"/>
        <v>EN SEMANA 28 TOMA INMEDIATA DE EXAMEN</v>
      </c>
      <c r="EU195" s="25" t="str">
        <f t="shared" si="860"/>
        <v/>
      </c>
      <c r="EV195" s="24" t="s">
        <v>1510</v>
      </c>
      <c r="EW195" s="22">
        <v>45087</v>
      </c>
      <c r="EX195" s="22"/>
      <c r="EY195" s="29">
        <f t="shared" si="693"/>
        <v>7.8571428571428568</v>
      </c>
      <c r="EZ195" s="25" t="str">
        <f t="shared" si="694"/>
        <v>SIN RIESGO DE ISOINMUNIZACIÓN</v>
      </c>
      <c r="FA195" s="21">
        <v>81</v>
      </c>
      <c r="FB195" s="22">
        <v>45087</v>
      </c>
      <c r="FC195" s="29">
        <f t="shared" si="861"/>
        <v>7.8571428571428568</v>
      </c>
      <c r="FD195" s="29"/>
      <c r="FE195" s="29"/>
      <c r="FF195" s="29"/>
      <c r="FG195" s="21" t="str">
        <f t="shared" ca="1" si="862"/>
        <v>TOMAR PTOG</v>
      </c>
      <c r="FH195" s="31"/>
      <c r="FI195" s="29" t="str">
        <f t="shared" si="863"/>
        <v>TOMAR EXAMEN</v>
      </c>
      <c r="FJ195" s="22" t="s">
        <v>867</v>
      </c>
      <c r="FK195" s="22">
        <v>45087</v>
      </c>
      <c r="FL195" s="29">
        <f t="shared" ca="1" si="864"/>
        <v>7.8571428571428568</v>
      </c>
      <c r="FM195" s="22"/>
      <c r="FN195" s="22"/>
      <c r="FO195" s="29" t="str">
        <f t="shared" ca="1" si="679"/>
        <v>PIERDE TOMA DE TAMIZAJE</v>
      </c>
      <c r="FP195" s="22"/>
      <c r="FQ195" s="32"/>
      <c r="FR195" s="29" t="str">
        <f t="shared" ca="1" si="680"/>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5"/>
        <v>TOMAR EXAMEN</v>
      </c>
      <c r="FY195" s="22" t="s">
        <v>868</v>
      </c>
      <c r="FZ195" s="22">
        <v>45087</v>
      </c>
      <c r="GA195" s="29">
        <f t="shared" ca="1" si="739"/>
        <v>7.8571428571428568</v>
      </c>
      <c r="GB195" s="22"/>
      <c r="GC195" s="22"/>
      <c r="GD195" s="29" t="str">
        <f t="shared" ca="1" si="732"/>
        <v>PIERDE TOMA DE TAMIZAJE</v>
      </c>
      <c r="GE195" s="22"/>
      <c r="GF195" s="22"/>
      <c r="GG195" s="29" t="str">
        <f t="shared" ca="1" si="682"/>
        <v>EN RANGO PARA TOMAR EXAMEN</v>
      </c>
      <c r="GH195" s="22"/>
      <c r="GI195" s="29"/>
      <c r="GJ195" s="22"/>
      <c r="GK195" s="22"/>
      <c r="GL195" s="22"/>
      <c r="GM195" s="22"/>
      <c r="GN195" s="28" t="s">
        <v>869</v>
      </c>
      <c r="GO195" s="22">
        <v>45087</v>
      </c>
      <c r="GP195" s="29">
        <f t="shared" si="866"/>
        <v>7.8571428571428568</v>
      </c>
      <c r="GQ195" s="28" t="s">
        <v>869</v>
      </c>
      <c r="GR195" s="28" t="s">
        <v>869</v>
      </c>
      <c r="GS195" s="22" t="str">
        <f t="shared" si="728"/>
        <v>CONTROL Igm</v>
      </c>
      <c r="GT195" s="22">
        <v>45087</v>
      </c>
      <c r="GU195" s="29">
        <f t="shared" si="867"/>
        <v>7.8571428571428568</v>
      </c>
      <c r="GV195" s="21" t="str">
        <f t="shared" si="868"/>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9"/>
        <v>#REF!</v>
      </c>
      <c r="HI195" s="22" t="e">
        <f t="shared" si="870"/>
        <v>#REF!</v>
      </c>
      <c r="HJ195" s="21" t="str">
        <f t="shared" ca="1" si="871"/>
        <v>***************************************</v>
      </c>
      <c r="HK195" s="21" t="str">
        <f t="shared" si="872"/>
        <v>SIN ANTECEDENTES DE RIESGO</v>
      </c>
      <c r="HL195" s="24" t="str">
        <f t="shared" si="873"/>
        <v>APARENTEMENTE NORMAL</v>
      </c>
      <c r="HM195" s="21" t="str">
        <f t="shared" si="874"/>
        <v>DIA DE CONTROL</v>
      </c>
      <c r="HN195" s="30" t="str">
        <f t="shared" si="683"/>
        <v>ACTIVA INGRESO A CPN</v>
      </c>
      <c r="HO195" s="21" t="s">
        <v>854</v>
      </c>
      <c r="HP195" s="21"/>
      <c r="HQ195" s="349"/>
      <c r="HR195" s="21"/>
      <c r="HS195" s="22"/>
      <c r="HT195" s="22"/>
      <c r="HU195" s="22">
        <v>45087</v>
      </c>
      <c r="HV195" s="22" t="s">
        <v>1506</v>
      </c>
      <c r="HW195" s="22">
        <v>45087</v>
      </c>
      <c r="HX195" s="22" t="s">
        <v>1511</v>
      </c>
      <c r="HY195" s="22"/>
      <c r="HZ195" s="28" t="str">
        <f t="shared" si="875"/>
        <v>PENDIENTE CONSULTA</v>
      </c>
      <c r="IA195" s="26"/>
      <c r="IB195" s="26"/>
      <c r="IC195" s="111"/>
      <c r="ID195" s="22"/>
      <c r="IE195" s="22" t="str">
        <f t="shared" ca="1" si="876"/>
        <v>INASISTENTE</v>
      </c>
      <c r="IF195" s="22"/>
      <c r="IG195" s="22">
        <f t="shared" si="877"/>
        <v>45312</v>
      </c>
      <c r="IH195" s="29">
        <f t="shared" ca="1" si="878"/>
        <v>80</v>
      </c>
      <c r="II195" s="22" t="str">
        <f t="shared" ca="1" si="879"/>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40"/>
        <v>Menor</v>
      </c>
      <c r="OA195" s="43" t="str">
        <f t="shared" si="741"/>
        <v>NORMAL</v>
      </c>
      <c r="OB195" s="43" t="str">
        <f t="shared" si="742"/>
        <v/>
      </c>
      <c r="OC195" s="43" t="str">
        <f t="shared" si="743"/>
        <v/>
      </c>
      <c r="OD195" s="43" t="str">
        <f t="shared" si="744"/>
        <v/>
      </c>
      <c r="OE195" s="43" t="str">
        <f t="shared" si="745"/>
        <v/>
      </c>
      <c r="OF195" s="43" t="str">
        <f t="shared" si="746"/>
        <v/>
      </c>
      <c r="OG195" s="43" t="str">
        <f t="shared" si="747"/>
        <v/>
      </c>
      <c r="OH195" s="43" t="str">
        <f t="shared" si="748"/>
        <v/>
      </c>
      <c r="OI195" s="43" t="str">
        <f t="shared" si="749"/>
        <v/>
      </c>
      <c r="OJ195" s="43" t="str">
        <f t="shared" si="750"/>
        <v/>
      </c>
      <c r="OK195" s="43" t="str">
        <f t="shared" si="751"/>
        <v/>
      </c>
      <c r="OL195" s="43" t="str">
        <f t="shared" si="752"/>
        <v/>
      </c>
      <c r="OM195" s="43" t="str">
        <f t="shared" si="753"/>
        <v/>
      </c>
      <c r="ON195" s="43" t="str">
        <f t="shared" si="754"/>
        <v/>
      </c>
      <c r="OO195" s="43" t="str">
        <f t="shared" si="755"/>
        <v/>
      </c>
      <c r="OP195" s="43" t="str">
        <f t="shared" si="756"/>
        <v/>
      </c>
      <c r="OQ195" s="43" t="str">
        <f t="shared" si="757"/>
        <v/>
      </c>
      <c r="OR195" s="43" t="str">
        <f t="shared" si="758"/>
        <v/>
      </c>
      <c r="OS195" s="43" t="str">
        <f t="shared" si="759"/>
        <v/>
      </c>
      <c r="OT195" s="43" t="str">
        <f t="shared" si="760"/>
        <v/>
      </c>
      <c r="OU195" s="43" t="str">
        <f t="shared" si="761"/>
        <v/>
      </c>
      <c r="OV195" s="110" t="str">
        <f t="shared" si="762"/>
        <v/>
      </c>
      <c r="OW195" s="43" t="str">
        <f t="shared" si="763"/>
        <v/>
      </c>
      <c r="OX195" s="43" t="str">
        <f t="shared" si="764"/>
        <v/>
      </c>
      <c r="OY195" s="43" t="str">
        <f t="shared" si="765"/>
        <v/>
      </c>
      <c r="OZ195" s="43" t="str">
        <f t="shared" si="766"/>
        <v/>
      </c>
      <c r="PA195" s="43" t="str">
        <f t="shared" si="767"/>
        <v/>
      </c>
      <c r="PB195" s="43" t="str">
        <f t="shared" si="768"/>
        <v/>
      </c>
      <c r="PC195" s="43" t="str">
        <f t="shared" si="769"/>
        <v/>
      </c>
      <c r="PD195" s="43" t="str">
        <f t="shared" si="770"/>
        <v/>
      </c>
      <c r="PE195" s="43" t="str">
        <f t="shared" si="771"/>
        <v/>
      </c>
      <c r="PF195" s="43" t="str">
        <f t="shared" si="772"/>
        <v/>
      </c>
      <c r="PG195" s="43" t="str">
        <f t="shared" si="773"/>
        <v/>
      </c>
      <c r="PH195" s="43" t="str">
        <f t="shared" si="774"/>
        <v/>
      </c>
      <c r="PI195" s="43">
        <f t="shared" si="775"/>
        <v>15</v>
      </c>
      <c r="PJ195" s="43" t="str">
        <f t="shared" si="776"/>
        <v/>
      </c>
      <c r="PK195" s="43" t="str">
        <f t="shared" si="777"/>
        <v/>
      </c>
      <c r="PL195" s="43" t="str">
        <f t="shared" si="778"/>
        <v/>
      </c>
      <c r="PM195" s="43" t="str">
        <f t="shared" si="779"/>
        <v/>
      </c>
      <c r="PN195" s="43" t="str">
        <f t="shared" si="780"/>
        <v/>
      </c>
      <c r="PO195" s="43" t="str">
        <f t="shared" si="781"/>
        <v/>
      </c>
      <c r="PP195" s="43" t="str">
        <f t="shared" si="782"/>
        <v>BAJO PESO</v>
      </c>
      <c r="PQ195" s="43" t="str">
        <f t="shared" si="783"/>
        <v/>
      </c>
      <c r="PR195" s="43" t="str">
        <f t="shared" si="784"/>
        <v/>
      </c>
      <c r="PS195" s="43" t="str">
        <f t="shared" si="785"/>
        <v/>
      </c>
      <c r="PT195" s="43" t="str">
        <f t="shared" si="786"/>
        <v/>
      </c>
      <c r="PU195" s="43" t="str">
        <f t="shared" si="787"/>
        <v/>
      </c>
      <c r="PV195" s="43" t="str">
        <f t="shared" si="788"/>
        <v/>
      </c>
      <c r="PW195" s="43" t="str">
        <f t="shared" si="789"/>
        <v/>
      </c>
      <c r="PX195" s="43" t="str">
        <f t="shared" si="790"/>
        <v/>
      </c>
      <c r="PY195" s="43" t="str">
        <f t="shared" si="791"/>
        <v/>
      </c>
      <c r="PZ195" s="43" t="str">
        <f t="shared" si="792"/>
        <v/>
      </c>
      <c r="QA195" s="43" t="str">
        <f t="shared" si="793"/>
        <v/>
      </c>
      <c r="QB195" s="43" t="str">
        <f t="shared" si="794"/>
        <v/>
      </c>
      <c r="QC195" s="43" t="str">
        <f t="shared" si="795"/>
        <v/>
      </c>
      <c r="QD195" s="43" t="str">
        <f t="shared" si="796"/>
        <v/>
      </c>
      <c r="QE195" s="43" t="str">
        <f t="shared" si="797"/>
        <v/>
      </c>
      <c r="QF195" s="43" t="str">
        <f t="shared" si="798"/>
        <v/>
      </c>
      <c r="QG195" s="43" t="str">
        <f t="shared" si="799"/>
        <v/>
      </c>
      <c r="QH195" s="43" t="str">
        <f t="shared" si="800"/>
        <v/>
      </c>
      <c r="QI195" s="43" t="str">
        <f t="shared" si="801"/>
        <v/>
      </c>
      <c r="QJ195" s="43" t="str">
        <f t="shared" si="802"/>
        <v/>
      </c>
      <c r="QK195" s="43" t="str">
        <f t="shared" si="803"/>
        <v/>
      </c>
      <c r="QL195" s="43" t="str">
        <f t="shared" si="804"/>
        <v/>
      </c>
      <c r="QM195" s="43" t="str">
        <f t="shared" si="805"/>
        <v/>
      </c>
      <c r="QN195" s="43" t="str">
        <f t="shared" si="806"/>
        <v/>
      </c>
      <c r="QO195" s="43" t="str">
        <f t="shared" si="807"/>
        <v/>
      </c>
      <c r="QP195" s="43" t="str">
        <f t="shared" si="808"/>
        <v/>
      </c>
      <c r="QQ195" s="43" t="str">
        <f t="shared" si="809"/>
        <v/>
      </c>
      <c r="QR195" s="43">
        <f t="shared" si="839"/>
        <v>15</v>
      </c>
      <c r="QS195" s="43"/>
      <c r="QT195" s="21" t="str">
        <f t="shared" si="810"/>
        <v/>
      </c>
      <c r="QU195" s="21" t="str">
        <f t="shared" si="811"/>
        <v/>
      </c>
      <c r="QV195" s="21" t="str">
        <f t="shared" si="812"/>
        <v>ADECUADO PARA EDAD GESTACIONAL</v>
      </c>
      <c r="QW195" s="21" t="str">
        <f t="shared" si="813"/>
        <v/>
      </c>
      <c r="QX195" s="21" t="str">
        <f t="shared" si="814"/>
        <v/>
      </c>
      <c r="QY195" s="21" t="str">
        <f t="shared" si="815"/>
        <v/>
      </c>
      <c r="QZ195" s="21" t="str">
        <f t="shared" si="816"/>
        <v/>
      </c>
      <c r="RA195" s="21" t="str">
        <f t="shared" si="817"/>
        <v/>
      </c>
      <c r="RB195" s="21" t="str">
        <f t="shared" si="818"/>
        <v/>
      </c>
      <c r="RC195" s="21" t="str">
        <f t="shared" si="819"/>
        <v/>
      </c>
      <c r="RD195" s="21" t="str">
        <f t="shared" si="820"/>
        <v/>
      </c>
      <c r="RE195" s="21" t="str">
        <f t="shared" si="821"/>
        <v/>
      </c>
      <c r="RF195" s="21" t="str">
        <f t="shared" si="822"/>
        <v/>
      </c>
      <c r="RG195" s="21" t="str">
        <f t="shared" si="823"/>
        <v/>
      </c>
      <c r="RH195" s="21" t="str">
        <f t="shared" si="824"/>
        <v/>
      </c>
      <c r="RI195" s="21" t="str">
        <f t="shared" si="825"/>
        <v/>
      </c>
      <c r="RJ195" s="21" t="str">
        <f t="shared" si="826"/>
        <v/>
      </c>
      <c r="RK195" s="21" t="str">
        <f t="shared" si="827"/>
        <v/>
      </c>
      <c r="RL195" s="21" t="str">
        <f t="shared" si="828"/>
        <v/>
      </c>
      <c r="RM195" s="21" t="str">
        <f t="shared" si="829"/>
        <v/>
      </c>
      <c r="RN195" s="21" t="str">
        <f t="shared" si="830"/>
        <v/>
      </c>
      <c r="RO195" s="21" t="str">
        <f t="shared" si="831"/>
        <v/>
      </c>
      <c r="RP195" s="21" t="str">
        <f t="shared" si="832"/>
        <v/>
      </c>
      <c r="RQ195" s="21" t="str">
        <f t="shared" si="833"/>
        <v/>
      </c>
      <c r="RR195" s="21" t="str">
        <f t="shared" si="834"/>
        <v/>
      </c>
      <c r="RS195" s="21" t="str">
        <f t="shared" si="835"/>
        <v/>
      </c>
      <c r="RT195" s="21" t="str">
        <f t="shared" si="836"/>
        <v/>
      </c>
      <c r="RU195" s="21" t="str">
        <f t="shared" si="837"/>
        <v/>
      </c>
      <c r="RV195" s="21">
        <f t="shared" si="838"/>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40"/>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41"/>
        <v>19.843835616438355</v>
      </c>
      <c r="O196" s="22">
        <v>45090</v>
      </c>
      <c r="P196" s="214" t="str">
        <f t="shared" si="675"/>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2"/>
        <v>0</v>
      </c>
      <c r="BR196" s="223">
        <f t="shared" si="843"/>
        <v>44944</v>
      </c>
      <c r="BS196" s="224">
        <f t="shared" si="844"/>
        <v>20.857142857142858</v>
      </c>
      <c r="BT196" s="216" t="str">
        <f t="shared" si="845"/>
        <v>II TRIM</v>
      </c>
      <c r="BU196" s="214">
        <f t="shared" ca="1" si="846"/>
        <v>41.142857142857146</v>
      </c>
      <c r="BV196" s="25" t="s">
        <v>1478</v>
      </c>
      <c r="BW196" s="22">
        <v>44944</v>
      </c>
      <c r="BX196" s="28">
        <v>6</v>
      </c>
      <c r="BY196" s="28"/>
      <c r="BZ196" s="22"/>
      <c r="CA196" s="21"/>
      <c r="CB196" s="26"/>
      <c r="CC196" s="26"/>
      <c r="CD196" s="26"/>
      <c r="CE196" s="26"/>
      <c r="CF196" s="22" t="s">
        <v>1517</v>
      </c>
      <c r="CG196" s="21">
        <v>1.54</v>
      </c>
      <c r="CH196" s="21">
        <v>58.6</v>
      </c>
      <c r="CI196" s="214">
        <f t="shared" si="847"/>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8"/>
        <v>45121</v>
      </c>
      <c r="CL196" s="21">
        <v>61.2</v>
      </c>
      <c r="CM196" s="214">
        <f t="shared" si="849"/>
        <v>25.805363467701131</v>
      </c>
      <c r="CN196" s="216">
        <f t="shared" si="850"/>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9"/>
        <v>APARENTEMENTE NORMAL</v>
      </c>
      <c r="DA196" s="21">
        <v>90</v>
      </c>
      <c r="DB196" s="21">
        <v>60</v>
      </c>
      <c r="DC196" s="217" t="str">
        <f t="shared" si="851"/>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6"/>
        <v>CONCERTAR PLAN DE PARTO INMEDIATO</v>
      </c>
      <c r="DV196" s="226" t="str">
        <f t="shared" si="677"/>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2"/>
        <v>DIA DE CONTROL</v>
      </c>
      <c r="DY196" s="212">
        <f>IF(R196="","",IF(R196&gt;0,MAX(Tabla1[[#This Row],[FECHA C2]:[FECHA C13]],Tabla1[[#This Row],[FECHA CONSULTA PRIMERA VEZ PROGRAMA CPN ]])))</f>
        <v>45121</v>
      </c>
      <c r="DZ196" s="216">
        <f t="shared" si="853"/>
        <v>25</v>
      </c>
      <c r="EA196" s="222">
        <f>IF(R196&gt;0,SUM(COUNTA(DF196:DQ196)+COUNTA(Tabla1[[#This Row],[FECHA CONSULTA PRIMERA VEZ PROGRAMA CPN ]])),"")</f>
        <v>2</v>
      </c>
      <c r="EB196" s="222" t="str">
        <f t="shared" si="854"/>
        <v>NO</v>
      </c>
      <c r="EC196" s="214">
        <f t="shared" si="855"/>
        <v>6</v>
      </c>
      <c r="ED196" s="227">
        <f t="shared" si="856"/>
        <v>0.33333333333333331</v>
      </c>
      <c r="EE196" s="22">
        <v>45090</v>
      </c>
      <c r="EF196" s="22"/>
      <c r="EG196" s="22">
        <v>45090</v>
      </c>
      <c r="EH196" s="22"/>
      <c r="EI196" s="22">
        <v>45090</v>
      </c>
      <c r="EJ196" s="22"/>
      <c r="EK196" s="22"/>
      <c r="EL196" s="21"/>
      <c r="EM196" s="21">
        <v>15</v>
      </c>
      <c r="EN196" s="22">
        <v>44946</v>
      </c>
      <c r="EO196" s="222">
        <f t="shared" si="857"/>
        <v>0.2857142857142857</v>
      </c>
      <c r="EP196" s="214" t="str">
        <f t="shared" si="858"/>
        <v>NO DAR SULFATO FERROSO</v>
      </c>
      <c r="EQ196" s="216" t="str">
        <f t="shared" si="859"/>
        <v>I TRIM</v>
      </c>
      <c r="ER196" s="24"/>
      <c r="ES196" s="22"/>
      <c r="ET196" s="29" t="str">
        <f t="shared" ca="1" si="678"/>
        <v>TOMA DE HEMOGLOBINA TARDÍA</v>
      </c>
      <c r="EU196" s="25" t="str">
        <f t="shared" si="860"/>
        <v/>
      </c>
      <c r="EV196" s="24" t="s">
        <v>1510</v>
      </c>
      <c r="EW196" s="32">
        <v>44947</v>
      </c>
      <c r="EX196" s="22"/>
      <c r="EY196" s="29">
        <f t="shared" si="693"/>
        <v>0.42857142857142855</v>
      </c>
      <c r="EZ196" s="25" t="str">
        <f t="shared" si="694"/>
        <v>SIN RIESGO DE ISOINMUNIZACIÓN</v>
      </c>
      <c r="FA196" s="21">
        <v>79</v>
      </c>
      <c r="FB196" s="22">
        <v>44947</v>
      </c>
      <c r="FC196" s="29">
        <f t="shared" si="861"/>
        <v>0.42857142857142855</v>
      </c>
      <c r="FD196" s="29">
        <v>73</v>
      </c>
      <c r="FE196" s="29">
        <v>108</v>
      </c>
      <c r="FF196" s="29">
        <v>100</v>
      </c>
      <c r="FG196" s="21" t="str">
        <f t="shared" ca="1" si="862"/>
        <v>NORMAL</v>
      </c>
      <c r="FH196" s="31">
        <v>45121</v>
      </c>
      <c r="FI196" s="29">
        <f t="shared" si="863"/>
        <v>25.285714285714285</v>
      </c>
      <c r="FJ196" s="22" t="s">
        <v>867</v>
      </c>
      <c r="FK196" s="22">
        <v>44947</v>
      </c>
      <c r="FL196" s="29">
        <f t="shared" ca="1" si="864"/>
        <v>0.42857142857142855</v>
      </c>
      <c r="FM196" s="22"/>
      <c r="FN196" s="32"/>
      <c r="FO196" s="29" t="str">
        <f t="shared" ca="1" si="679"/>
        <v>PIERDE TOMA DE TAMIZAJE</v>
      </c>
      <c r="FP196" s="22"/>
      <c r="FQ196" s="32"/>
      <c r="FR196" s="29" t="str">
        <f t="shared" ca="1" si="680"/>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5"/>
        <v>TOMAR EXAMEN</v>
      </c>
      <c r="FY196" s="22" t="s">
        <v>868</v>
      </c>
      <c r="FZ196" s="22">
        <v>44947</v>
      </c>
      <c r="GA196" s="29">
        <f t="shared" ca="1" si="739"/>
        <v>0.42857142857142855</v>
      </c>
      <c r="GB196" s="22"/>
      <c r="GC196" s="22"/>
      <c r="GD196" s="29" t="str">
        <f t="shared" ca="1" si="732"/>
        <v>PIERDE TOMA DE TAMIZAJE</v>
      </c>
      <c r="GE196" s="22"/>
      <c r="GF196" s="22"/>
      <c r="GG196" s="29" t="str">
        <f t="shared" ca="1" si="682"/>
        <v>TOMA INMEDIATA DE TAMIZAJE</v>
      </c>
      <c r="GH196" s="22"/>
      <c r="GI196" s="29"/>
      <c r="GJ196" s="22"/>
      <c r="GK196" s="22"/>
      <c r="GL196" s="22"/>
      <c r="GM196" s="22"/>
      <c r="GN196" s="28" t="s">
        <v>869</v>
      </c>
      <c r="GO196" s="22">
        <v>44947</v>
      </c>
      <c r="GP196" s="29">
        <f t="shared" si="866"/>
        <v>0.42857142857142855</v>
      </c>
      <c r="GQ196" s="28" t="s">
        <v>869</v>
      </c>
      <c r="GR196" s="28" t="s">
        <v>869</v>
      </c>
      <c r="GS196" s="22" t="str">
        <f t="shared" si="728"/>
        <v>CONTROL Igm</v>
      </c>
      <c r="GT196" s="22">
        <v>44947</v>
      </c>
      <c r="GU196" s="29">
        <f t="shared" si="867"/>
        <v>7.7142857142857144</v>
      </c>
      <c r="GV196" s="21" t="str">
        <f t="shared" si="868"/>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9"/>
        <v>#REF!</v>
      </c>
      <c r="HI196" s="22" t="e">
        <f t="shared" si="870"/>
        <v>#REF!</v>
      </c>
      <c r="HJ196" s="21" t="str">
        <f t="shared" ca="1" si="871"/>
        <v>***************************************</v>
      </c>
      <c r="HK196" s="21" t="str">
        <f t="shared" si="872"/>
        <v>SIN ANTECEDENTES DE RIESGO</v>
      </c>
      <c r="HL196" s="24" t="str">
        <f t="shared" si="873"/>
        <v>APARENTEMENTE NORMAL</v>
      </c>
      <c r="HM196" s="21" t="str">
        <f t="shared" si="874"/>
        <v>DIA DE CONTROL</v>
      </c>
      <c r="HN196" s="30" t="str">
        <f t="shared" si="683"/>
        <v>ACTIVA INGRESO A CPN</v>
      </c>
      <c r="HO196" s="21"/>
      <c r="HP196" s="21"/>
      <c r="HQ196" s="349"/>
      <c r="HR196" s="21"/>
      <c r="HS196" s="22"/>
      <c r="HT196" s="22"/>
      <c r="HU196" s="22"/>
      <c r="HV196" s="22"/>
      <c r="HW196" s="22"/>
      <c r="HX196" s="22"/>
      <c r="HY196" s="22"/>
      <c r="HZ196" s="28" t="str">
        <f t="shared" si="875"/>
        <v>PENDIENTE CONSULTA</v>
      </c>
      <c r="IA196" s="26"/>
      <c r="IB196" s="26"/>
      <c r="IC196" s="111"/>
      <c r="ID196" s="22"/>
      <c r="IE196" s="22" t="str">
        <f t="shared" ca="1" si="876"/>
        <v>INASISTENTE</v>
      </c>
      <c r="IF196" s="22"/>
      <c r="IG196" s="22">
        <f t="shared" si="877"/>
        <v>45224</v>
      </c>
      <c r="IH196" s="29">
        <f t="shared" ca="1" si="878"/>
        <v>-8</v>
      </c>
      <c r="II196" s="22" t="str">
        <f t="shared" ca="1" si="879"/>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40"/>
        <v>20</v>
      </c>
      <c r="OA196" s="43" t="str">
        <f t="shared" si="741"/>
        <v/>
      </c>
      <c r="OB196" s="43" t="str">
        <f t="shared" si="742"/>
        <v/>
      </c>
      <c r="OC196" s="43" t="str">
        <f t="shared" si="743"/>
        <v/>
      </c>
      <c r="OD196" s="43" t="str">
        <f t="shared" si="744"/>
        <v/>
      </c>
      <c r="OE196" s="43" t="str">
        <f t="shared" si="745"/>
        <v/>
      </c>
      <c r="OF196" s="43" t="str">
        <f t="shared" si="746"/>
        <v/>
      </c>
      <c r="OG196" s="43" t="str">
        <f t="shared" si="747"/>
        <v/>
      </c>
      <c r="OH196" s="43" t="str">
        <f t="shared" si="748"/>
        <v/>
      </c>
      <c r="OI196" s="43" t="str">
        <f t="shared" si="749"/>
        <v/>
      </c>
      <c r="OJ196" s="43" t="str">
        <f t="shared" si="750"/>
        <v/>
      </c>
      <c r="OK196" s="43" t="str">
        <f t="shared" si="751"/>
        <v/>
      </c>
      <c r="OL196" s="43" t="str">
        <f t="shared" si="752"/>
        <v>NORMAL</v>
      </c>
      <c r="OM196" s="43" t="str">
        <f t="shared" si="753"/>
        <v/>
      </c>
      <c r="ON196" s="43" t="str">
        <f t="shared" si="754"/>
        <v/>
      </c>
      <c r="OO196" s="43" t="str">
        <f t="shared" si="755"/>
        <v/>
      </c>
      <c r="OP196" s="43" t="str">
        <f t="shared" si="756"/>
        <v/>
      </c>
      <c r="OQ196" s="43" t="str">
        <f t="shared" si="757"/>
        <v/>
      </c>
      <c r="OR196" s="43" t="str">
        <f t="shared" si="758"/>
        <v/>
      </c>
      <c r="OS196" s="43" t="str">
        <f t="shared" si="759"/>
        <v/>
      </c>
      <c r="OT196" s="43" t="str">
        <f t="shared" si="760"/>
        <v/>
      </c>
      <c r="OU196" s="43" t="str">
        <f t="shared" si="761"/>
        <v/>
      </c>
      <c r="OV196" s="110" t="str">
        <f t="shared" si="762"/>
        <v/>
      </c>
      <c r="OW196" s="43" t="str">
        <f t="shared" si="763"/>
        <v/>
      </c>
      <c r="OX196" s="43" t="str">
        <f t="shared" si="764"/>
        <v/>
      </c>
      <c r="OY196" s="43" t="str">
        <f t="shared" si="765"/>
        <v/>
      </c>
      <c r="OZ196" s="43" t="str">
        <f t="shared" si="766"/>
        <v/>
      </c>
      <c r="PA196" s="43" t="str">
        <f t="shared" si="767"/>
        <v/>
      </c>
      <c r="PB196" s="43" t="str">
        <f t="shared" si="768"/>
        <v/>
      </c>
      <c r="PC196" s="43" t="str">
        <f t="shared" si="769"/>
        <v/>
      </c>
      <c r="PD196" s="43" t="str">
        <f t="shared" si="770"/>
        <v/>
      </c>
      <c r="PE196" s="43" t="str">
        <f t="shared" si="771"/>
        <v/>
      </c>
      <c r="PF196" s="43" t="str">
        <f t="shared" si="772"/>
        <v/>
      </c>
      <c r="PG196" s="43" t="str">
        <f t="shared" si="773"/>
        <v/>
      </c>
      <c r="PH196" s="43" t="str">
        <f t="shared" si="774"/>
        <v/>
      </c>
      <c r="PI196" s="43">
        <f t="shared" si="775"/>
        <v>25</v>
      </c>
      <c r="PJ196" s="43" t="str">
        <f t="shared" si="776"/>
        <v/>
      </c>
      <c r="PK196" s="43" t="str">
        <f t="shared" si="777"/>
        <v/>
      </c>
      <c r="PL196" s="43" t="str">
        <f t="shared" si="778"/>
        <v/>
      </c>
      <c r="PM196" s="43" t="str">
        <f t="shared" si="779"/>
        <v/>
      </c>
      <c r="PN196" s="43" t="str">
        <f t="shared" si="780"/>
        <v/>
      </c>
      <c r="PO196" s="43" t="str">
        <f t="shared" si="781"/>
        <v/>
      </c>
      <c r="PP196" s="43" t="str">
        <f t="shared" si="782"/>
        <v/>
      </c>
      <c r="PQ196" s="43" t="str">
        <f t="shared" si="783"/>
        <v/>
      </c>
      <c r="PR196" s="43" t="str">
        <f t="shared" si="784"/>
        <v/>
      </c>
      <c r="PS196" s="43" t="str">
        <f t="shared" si="785"/>
        <v/>
      </c>
      <c r="PT196" s="43" t="str">
        <f t="shared" si="786"/>
        <v/>
      </c>
      <c r="PU196" s="43" t="str">
        <f t="shared" si="787"/>
        <v/>
      </c>
      <c r="PV196" s="43" t="str">
        <f t="shared" si="788"/>
        <v/>
      </c>
      <c r="PW196" s="43" t="str">
        <f t="shared" si="789"/>
        <v/>
      </c>
      <c r="PX196" s="43" t="str">
        <f t="shared" si="790"/>
        <v/>
      </c>
      <c r="PY196" s="43" t="str">
        <f t="shared" si="791"/>
        <v/>
      </c>
      <c r="PZ196" s="43" t="str">
        <f t="shared" si="792"/>
        <v>NORMAL</v>
      </c>
      <c r="QA196" s="43" t="str">
        <f t="shared" si="793"/>
        <v/>
      </c>
      <c r="QB196" s="43" t="str">
        <f t="shared" si="794"/>
        <v/>
      </c>
      <c r="QC196" s="43" t="str">
        <f t="shared" si="795"/>
        <v/>
      </c>
      <c r="QD196" s="43" t="str">
        <f t="shared" si="796"/>
        <v/>
      </c>
      <c r="QE196" s="43" t="str">
        <f t="shared" si="797"/>
        <v/>
      </c>
      <c r="QF196" s="43" t="str">
        <f t="shared" si="798"/>
        <v/>
      </c>
      <c r="QG196" s="43" t="str">
        <f t="shared" si="799"/>
        <v/>
      </c>
      <c r="QH196" s="43" t="str">
        <f t="shared" si="800"/>
        <v/>
      </c>
      <c r="QI196" s="43" t="str">
        <f t="shared" si="801"/>
        <v/>
      </c>
      <c r="QJ196" s="43" t="str">
        <f t="shared" si="802"/>
        <v/>
      </c>
      <c r="QK196" s="43" t="str">
        <f t="shared" si="803"/>
        <v/>
      </c>
      <c r="QL196" s="43" t="str">
        <f t="shared" si="804"/>
        <v/>
      </c>
      <c r="QM196" s="43" t="str">
        <f t="shared" si="805"/>
        <v/>
      </c>
      <c r="QN196" s="43" t="str">
        <f t="shared" si="806"/>
        <v/>
      </c>
      <c r="QO196" s="43" t="str">
        <f t="shared" si="807"/>
        <v/>
      </c>
      <c r="QP196" s="43" t="str">
        <f t="shared" si="808"/>
        <v/>
      </c>
      <c r="QQ196" s="43" t="str">
        <f t="shared" si="809"/>
        <v/>
      </c>
      <c r="QR196" s="43">
        <f t="shared" si="839"/>
        <v>25</v>
      </c>
      <c r="QS196" s="43"/>
      <c r="QT196" s="21" t="str">
        <f t="shared" si="810"/>
        <v/>
      </c>
      <c r="QU196" s="21" t="str">
        <f t="shared" si="811"/>
        <v/>
      </c>
      <c r="QV196" s="21" t="str">
        <f t="shared" si="812"/>
        <v/>
      </c>
      <c r="QW196" s="21" t="str">
        <f t="shared" si="813"/>
        <v/>
      </c>
      <c r="QX196" s="21" t="str">
        <f t="shared" si="814"/>
        <v/>
      </c>
      <c r="QY196" s="21" t="str">
        <f t="shared" si="815"/>
        <v/>
      </c>
      <c r="QZ196" s="21" t="str">
        <f t="shared" si="816"/>
        <v/>
      </c>
      <c r="RA196" s="21" t="str">
        <f t="shared" si="817"/>
        <v/>
      </c>
      <c r="RB196" s="21" t="str">
        <f t="shared" si="818"/>
        <v/>
      </c>
      <c r="RC196" s="21" t="str">
        <f t="shared" si="819"/>
        <v/>
      </c>
      <c r="RD196" s="21" t="str">
        <f t="shared" si="820"/>
        <v/>
      </c>
      <c r="RE196" s="21" t="str">
        <f t="shared" si="821"/>
        <v/>
      </c>
      <c r="RF196" s="21" t="str">
        <f t="shared" si="822"/>
        <v>ALTO PARA EDAD GESTACIONAL</v>
      </c>
      <c r="RG196" s="21" t="str">
        <f t="shared" si="823"/>
        <v/>
      </c>
      <c r="RH196" s="21" t="str">
        <f t="shared" si="824"/>
        <v/>
      </c>
      <c r="RI196" s="21" t="str">
        <f t="shared" si="825"/>
        <v/>
      </c>
      <c r="RJ196" s="21" t="str">
        <f t="shared" si="826"/>
        <v/>
      </c>
      <c r="RK196" s="21" t="str">
        <f t="shared" si="827"/>
        <v/>
      </c>
      <c r="RL196" s="21" t="str">
        <f t="shared" si="828"/>
        <v/>
      </c>
      <c r="RM196" s="21" t="str">
        <f t="shared" si="829"/>
        <v/>
      </c>
      <c r="RN196" s="21" t="str">
        <f t="shared" si="830"/>
        <v/>
      </c>
      <c r="RO196" s="21" t="str">
        <f t="shared" si="831"/>
        <v/>
      </c>
      <c r="RP196" s="21" t="str">
        <f t="shared" si="832"/>
        <v/>
      </c>
      <c r="RQ196" s="21" t="str">
        <f t="shared" si="833"/>
        <v/>
      </c>
      <c r="RR196" s="21" t="str">
        <f t="shared" si="834"/>
        <v/>
      </c>
      <c r="RS196" s="21" t="str">
        <f t="shared" si="835"/>
        <v/>
      </c>
      <c r="RT196" s="21" t="str">
        <f t="shared" si="836"/>
        <v/>
      </c>
      <c r="RU196" s="21" t="str">
        <f t="shared" si="837"/>
        <v/>
      </c>
      <c r="RV196" s="21">
        <f t="shared" si="838"/>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40"/>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41"/>
        <v>27.693150684931506</v>
      </c>
      <c r="O197" s="22">
        <v>45092</v>
      </c>
      <c r="P197" s="214" t="str">
        <f t="shared" si="675"/>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2"/>
        <v>0</v>
      </c>
      <c r="BR197" s="223" t="str">
        <f t="shared" si="843"/>
        <v/>
      </c>
      <c r="BS197" s="224">
        <f t="shared" si="844"/>
        <v>13</v>
      </c>
      <c r="BT197" s="216" t="str">
        <f t="shared" si="845"/>
        <v>II TRIM</v>
      </c>
      <c r="BU197" s="214">
        <f t="shared" ca="1" si="846"/>
        <v>33</v>
      </c>
      <c r="BV197" s="25"/>
      <c r="BW197" s="22"/>
      <c r="BX197" s="28"/>
      <c r="BY197" s="28"/>
      <c r="BZ197" s="22"/>
      <c r="CA197" s="21"/>
      <c r="CB197" s="26"/>
      <c r="CC197" s="26"/>
      <c r="CD197" s="26"/>
      <c r="CE197" s="26"/>
      <c r="CF197" s="22" t="s">
        <v>1517</v>
      </c>
      <c r="CG197" s="21">
        <v>1.5</v>
      </c>
      <c r="CH197" s="21">
        <v>57</v>
      </c>
      <c r="CI197" s="214">
        <f t="shared" si="847"/>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8"/>
        <v>45092</v>
      </c>
      <c r="CL197" s="21">
        <v>57</v>
      </c>
      <c r="CM197" s="214">
        <f t="shared" si="849"/>
        <v>25.333333333333332</v>
      </c>
      <c r="CN197" s="216">
        <f t="shared" si="850"/>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9"/>
        <v/>
      </c>
      <c r="DA197" s="21">
        <v>100</v>
      </c>
      <c r="DB197" s="21">
        <v>60</v>
      </c>
      <c r="DC197" s="217" t="str">
        <f t="shared" si="851"/>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6"/>
        <v>PLANEAR PLAN DE PARTO</v>
      </c>
      <c r="DV197" s="226" t="str">
        <f t="shared" si="677"/>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2"/>
        <v>DIA DE CONTROL</v>
      </c>
      <c r="DY197" s="212">
        <f>IF(R197="","",IF(R197&gt;0,MAX(Tabla1[[#This Row],[FECHA C2]:[FECHA C13]],Tabla1[[#This Row],[FECHA CONSULTA PRIMERA VEZ PROGRAMA CPN ]])))</f>
        <v>45092</v>
      </c>
      <c r="DZ197" s="216">
        <f t="shared" si="853"/>
        <v>13</v>
      </c>
      <c r="EA197" s="222">
        <f>IF(R197&gt;0,SUM(COUNTA(DF197:DQ197)+COUNTA(Tabla1[[#This Row],[FECHA CONSULTA PRIMERA VEZ PROGRAMA CPN ]])),"")</f>
        <v>1</v>
      </c>
      <c r="EB197" s="222" t="str">
        <f t="shared" si="854"/>
        <v>NO</v>
      </c>
      <c r="EC197" s="214">
        <f t="shared" si="855"/>
        <v>8</v>
      </c>
      <c r="ED197" s="227">
        <f t="shared" si="856"/>
        <v>0.125</v>
      </c>
      <c r="EE197" s="22">
        <v>45092</v>
      </c>
      <c r="EF197" s="22">
        <v>45092</v>
      </c>
      <c r="EG197" s="22">
        <v>45092</v>
      </c>
      <c r="EH197" s="22"/>
      <c r="EI197" s="22">
        <v>45092</v>
      </c>
      <c r="EJ197" s="22"/>
      <c r="EK197" s="22"/>
      <c r="EL197" s="21"/>
      <c r="EM197" s="21">
        <v>13.4</v>
      </c>
      <c r="EN197" s="22">
        <v>45092</v>
      </c>
      <c r="EO197" s="222">
        <f t="shared" si="857"/>
        <v>13</v>
      </c>
      <c r="EP197" s="214" t="str">
        <f t="shared" si="858"/>
        <v>NORMAL- SUMINISTRAR SULFATO FERROSO</v>
      </c>
      <c r="EQ197" s="216" t="str">
        <f t="shared" si="859"/>
        <v>I TRIM</v>
      </c>
      <c r="ER197" s="24"/>
      <c r="ES197" s="22"/>
      <c r="ET197" s="29" t="str">
        <f t="shared" ca="1" si="678"/>
        <v>TOMA DE HEMOGLOBINA TARDÍA</v>
      </c>
      <c r="EU197" s="25" t="str">
        <f t="shared" si="860"/>
        <v/>
      </c>
      <c r="EV197" s="24" t="s">
        <v>1510</v>
      </c>
      <c r="EW197" s="32">
        <v>45092</v>
      </c>
      <c r="EX197" s="22"/>
      <c r="EY197" s="29">
        <f t="shared" si="693"/>
        <v>13</v>
      </c>
      <c r="EZ197" s="25" t="str">
        <f t="shared" si="694"/>
        <v>SIN RIESGO DE ISOINMUNIZACIÓN</v>
      </c>
      <c r="FA197" s="21">
        <v>84</v>
      </c>
      <c r="FB197" s="32">
        <v>45092</v>
      </c>
      <c r="FC197" s="29">
        <f t="shared" si="861"/>
        <v>13</v>
      </c>
      <c r="FD197" s="29"/>
      <c r="FE197" s="29"/>
      <c r="FF197" s="29"/>
      <c r="FG197" s="21" t="str">
        <f t="shared" ca="1" si="862"/>
        <v>TOMAR PTOG</v>
      </c>
      <c r="FH197" s="31"/>
      <c r="FI197" s="29" t="str">
        <f t="shared" si="863"/>
        <v>TOMAR EXAMEN</v>
      </c>
      <c r="FJ197" s="22"/>
      <c r="FK197" s="32"/>
      <c r="FL197" s="29" t="str">
        <f t="shared" ca="1" si="864"/>
        <v>NO APLICA-INGRESO TARDIO</v>
      </c>
      <c r="FM197" s="22" t="s">
        <v>867</v>
      </c>
      <c r="FN197" s="32">
        <v>45092</v>
      </c>
      <c r="FO197" s="29">
        <f t="shared" ca="1" si="679"/>
        <v>13</v>
      </c>
      <c r="FP197" s="22"/>
      <c r="FQ197" s="32"/>
      <c r="FR197" s="29" t="str">
        <f t="shared" ca="1" si="680"/>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5"/>
        <v>TOMAR EXAMEN</v>
      </c>
      <c r="FY197" s="22"/>
      <c r="FZ197" s="32"/>
      <c r="GA197" s="29" t="str">
        <f t="shared" ca="1" si="739"/>
        <v>NO APLICA-INGRESO TARDIO</v>
      </c>
      <c r="GB197" s="22" t="s">
        <v>868</v>
      </c>
      <c r="GC197" s="32">
        <v>45092</v>
      </c>
      <c r="GD197" s="29">
        <f t="shared" ca="1" si="732"/>
        <v>13</v>
      </c>
      <c r="GE197" s="22"/>
      <c r="GF197" s="22"/>
      <c r="GG197" s="29" t="str">
        <f t="shared" ca="1" si="682"/>
        <v>EN RANGO PARA TOMAR EXAMEN</v>
      </c>
      <c r="GH197" s="22"/>
      <c r="GI197" s="29"/>
      <c r="GJ197" s="22"/>
      <c r="GK197" s="22"/>
      <c r="GL197" s="22"/>
      <c r="GM197" s="22"/>
      <c r="GN197" s="28" t="s">
        <v>869</v>
      </c>
      <c r="GO197" s="32">
        <v>45092</v>
      </c>
      <c r="GP197" s="29">
        <f t="shared" si="866"/>
        <v>13</v>
      </c>
      <c r="GQ197" s="28" t="s">
        <v>869</v>
      </c>
      <c r="GR197" s="28" t="s">
        <v>869</v>
      </c>
      <c r="GS197" s="22" t="str">
        <f t="shared" si="728"/>
        <v>CONTROL Igm</v>
      </c>
      <c r="GT197" s="32">
        <v>45092</v>
      </c>
      <c r="GU197" s="29">
        <f t="shared" si="867"/>
        <v>13</v>
      </c>
      <c r="GV197" s="21" t="str">
        <f t="shared" si="868"/>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9"/>
        <v>#REF!</v>
      </c>
      <c r="HI197" s="22" t="e">
        <f t="shared" si="870"/>
        <v>#REF!</v>
      </c>
      <c r="HJ197" s="21" t="str">
        <f t="shared" ca="1" si="871"/>
        <v>***************************************</v>
      </c>
      <c r="HK197" s="21" t="str">
        <f t="shared" si="872"/>
        <v>SIN ANTECEDENTES DE RIESGO</v>
      </c>
      <c r="HL197" s="24" t="str">
        <f t="shared" si="873"/>
        <v>APARENTEMENTE NORMAL</v>
      </c>
      <c r="HM197" s="21" t="str">
        <f t="shared" si="874"/>
        <v>DIA DE CONTROL</v>
      </c>
      <c r="HN197" s="30" t="str">
        <f t="shared" si="683"/>
        <v>ACTIVA INGRESO A CPN</v>
      </c>
      <c r="HO197" s="21"/>
      <c r="HP197" s="21"/>
      <c r="HQ197" s="349"/>
      <c r="HR197" s="21"/>
      <c r="HS197" s="22"/>
      <c r="HT197" s="22"/>
      <c r="HU197" s="22">
        <v>45092</v>
      </c>
      <c r="HV197" s="22" t="s">
        <v>1506</v>
      </c>
      <c r="HW197" s="22">
        <v>45092</v>
      </c>
      <c r="HX197" s="22" t="s">
        <v>1511</v>
      </c>
      <c r="HY197" s="22"/>
      <c r="HZ197" s="28" t="str">
        <f t="shared" si="875"/>
        <v>PENDIENTE CONSULTA</v>
      </c>
      <c r="IA197" s="22">
        <v>45092</v>
      </c>
      <c r="IB197" s="26"/>
      <c r="IC197" s="111"/>
      <c r="ID197" s="22"/>
      <c r="IE197" s="22" t="str">
        <f t="shared" ca="1" si="876"/>
        <v>INASISTENTE</v>
      </c>
      <c r="IF197" s="22"/>
      <c r="IG197" s="22">
        <f t="shared" si="877"/>
        <v>45281</v>
      </c>
      <c r="IH197" s="29">
        <f t="shared" ca="1" si="878"/>
        <v>49</v>
      </c>
      <c r="II197" s="22" t="str">
        <f t="shared" ca="1" si="879"/>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40"/>
        <v>13</v>
      </c>
      <c r="OA197" s="43" t="str">
        <f t="shared" si="741"/>
        <v/>
      </c>
      <c r="OB197" s="43" t="str">
        <f t="shared" si="742"/>
        <v/>
      </c>
      <c r="OC197" s="43" t="str">
        <f t="shared" si="743"/>
        <v/>
      </c>
      <c r="OD197" s="43" t="str">
        <f t="shared" si="744"/>
        <v/>
      </c>
      <c r="OE197" s="43" t="str">
        <f t="shared" si="745"/>
        <v>NORMAL</v>
      </c>
      <c r="OF197" s="43" t="str">
        <f t="shared" si="746"/>
        <v/>
      </c>
      <c r="OG197" s="43" t="str">
        <f t="shared" si="747"/>
        <v/>
      </c>
      <c r="OH197" s="43" t="str">
        <f t="shared" si="748"/>
        <v/>
      </c>
      <c r="OI197" s="43" t="str">
        <f t="shared" si="749"/>
        <v/>
      </c>
      <c r="OJ197" s="43" t="str">
        <f t="shared" si="750"/>
        <v/>
      </c>
      <c r="OK197" s="43" t="str">
        <f t="shared" si="751"/>
        <v/>
      </c>
      <c r="OL197" s="43" t="str">
        <f t="shared" si="752"/>
        <v/>
      </c>
      <c r="OM197" s="43" t="str">
        <f t="shared" si="753"/>
        <v/>
      </c>
      <c r="ON197" s="43" t="str">
        <f t="shared" si="754"/>
        <v/>
      </c>
      <c r="OO197" s="43" t="str">
        <f t="shared" si="755"/>
        <v/>
      </c>
      <c r="OP197" s="43" t="str">
        <f t="shared" si="756"/>
        <v/>
      </c>
      <c r="OQ197" s="43" t="str">
        <f t="shared" si="757"/>
        <v/>
      </c>
      <c r="OR197" s="43" t="str">
        <f t="shared" si="758"/>
        <v/>
      </c>
      <c r="OS197" s="43" t="str">
        <f t="shared" si="759"/>
        <v/>
      </c>
      <c r="OT197" s="43" t="str">
        <f t="shared" si="760"/>
        <v/>
      </c>
      <c r="OU197" s="43" t="str">
        <f t="shared" si="761"/>
        <v/>
      </c>
      <c r="OV197" s="110" t="str">
        <f t="shared" si="762"/>
        <v/>
      </c>
      <c r="OW197" s="43" t="str">
        <f t="shared" si="763"/>
        <v/>
      </c>
      <c r="OX197" s="43" t="str">
        <f t="shared" si="764"/>
        <v/>
      </c>
      <c r="OY197" s="43" t="str">
        <f t="shared" si="765"/>
        <v/>
      </c>
      <c r="OZ197" s="43" t="str">
        <f t="shared" si="766"/>
        <v/>
      </c>
      <c r="PA197" s="43" t="str">
        <f t="shared" si="767"/>
        <v/>
      </c>
      <c r="PB197" s="43" t="str">
        <f t="shared" si="768"/>
        <v/>
      </c>
      <c r="PC197" s="43" t="str">
        <f t="shared" si="769"/>
        <v/>
      </c>
      <c r="PD197" s="43" t="str">
        <f t="shared" si="770"/>
        <v/>
      </c>
      <c r="PE197" s="43" t="str">
        <f t="shared" si="771"/>
        <v/>
      </c>
      <c r="PF197" s="43" t="str">
        <f t="shared" si="772"/>
        <v/>
      </c>
      <c r="PG197" s="43" t="str">
        <f t="shared" si="773"/>
        <v/>
      </c>
      <c r="PH197" s="43" t="str">
        <f t="shared" si="774"/>
        <v/>
      </c>
      <c r="PI197" s="43">
        <f t="shared" si="775"/>
        <v>13</v>
      </c>
      <c r="PJ197" s="43" t="str">
        <f t="shared" si="776"/>
        <v/>
      </c>
      <c r="PK197" s="43" t="str">
        <f t="shared" si="777"/>
        <v/>
      </c>
      <c r="PL197" s="43" t="str">
        <f t="shared" si="778"/>
        <v/>
      </c>
      <c r="PM197" s="43" t="str">
        <f t="shared" si="779"/>
        <v/>
      </c>
      <c r="PN197" s="43" t="str">
        <f t="shared" si="780"/>
        <v>NORMAL</v>
      </c>
      <c r="PO197" s="43" t="str">
        <f t="shared" si="781"/>
        <v/>
      </c>
      <c r="PP197" s="43" t="str">
        <f t="shared" si="782"/>
        <v/>
      </c>
      <c r="PQ197" s="43" t="str">
        <f t="shared" si="783"/>
        <v/>
      </c>
      <c r="PR197" s="43" t="str">
        <f t="shared" si="784"/>
        <v/>
      </c>
      <c r="PS197" s="43" t="str">
        <f t="shared" si="785"/>
        <v/>
      </c>
      <c r="PT197" s="43" t="str">
        <f t="shared" si="786"/>
        <v/>
      </c>
      <c r="PU197" s="43" t="str">
        <f t="shared" si="787"/>
        <v/>
      </c>
      <c r="PV197" s="43" t="str">
        <f t="shared" si="788"/>
        <v/>
      </c>
      <c r="PW197" s="43" t="str">
        <f t="shared" si="789"/>
        <v/>
      </c>
      <c r="PX197" s="43" t="str">
        <f t="shared" si="790"/>
        <v/>
      </c>
      <c r="PY197" s="43" t="str">
        <f t="shared" si="791"/>
        <v/>
      </c>
      <c r="PZ197" s="43" t="str">
        <f t="shared" si="792"/>
        <v/>
      </c>
      <c r="QA197" s="43" t="str">
        <f t="shared" si="793"/>
        <v/>
      </c>
      <c r="QB197" s="43" t="str">
        <f t="shared" si="794"/>
        <v/>
      </c>
      <c r="QC197" s="43" t="str">
        <f t="shared" si="795"/>
        <v/>
      </c>
      <c r="QD197" s="43" t="str">
        <f t="shared" si="796"/>
        <v/>
      </c>
      <c r="QE197" s="43" t="str">
        <f t="shared" si="797"/>
        <v/>
      </c>
      <c r="QF197" s="43" t="str">
        <f t="shared" si="798"/>
        <v/>
      </c>
      <c r="QG197" s="43" t="str">
        <f t="shared" si="799"/>
        <v/>
      </c>
      <c r="QH197" s="43" t="str">
        <f t="shared" si="800"/>
        <v/>
      </c>
      <c r="QI197" s="43" t="str">
        <f t="shared" si="801"/>
        <v/>
      </c>
      <c r="QJ197" s="43" t="str">
        <f t="shared" si="802"/>
        <v/>
      </c>
      <c r="QK197" s="43" t="str">
        <f t="shared" si="803"/>
        <v/>
      </c>
      <c r="QL197" s="43" t="str">
        <f t="shared" si="804"/>
        <v/>
      </c>
      <c r="QM197" s="43" t="str">
        <f t="shared" si="805"/>
        <v/>
      </c>
      <c r="QN197" s="43" t="str">
        <f t="shared" si="806"/>
        <v/>
      </c>
      <c r="QO197" s="43" t="str">
        <f t="shared" si="807"/>
        <v/>
      </c>
      <c r="QP197" s="43" t="str">
        <f t="shared" si="808"/>
        <v/>
      </c>
      <c r="QQ197" s="43" t="str">
        <f t="shared" si="809"/>
        <v/>
      </c>
      <c r="QR197" s="43">
        <f t="shared" si="839"/>
        <v>13</v>
      </c>
      <c r="QS197" s="43"/>
      <c r="QT197" s="21" t="str">
        <f t="shared" si="810"/>
        <v/>
      </c>
      <c r="QU197" s="21" t="str">
        <f t="shared" si="811"/>
        <v/>
      </c>
      <c r="QV197" s="21" t="str">
        <f t="shared" si="812"/>
        <v/>
      </c>
      <c r="QW197" s="21" t="str">
        <f t="shared" si="813"/>
        <v/>
      </c>
      <c r="QX197" s="21" t="str">
        <f t="shared" si="814"/>
        <v/>
      </c>
      <c r="QY197" s="21" t="str">
        <f t="shared" si="815"/>
        <v/>
      </c>
      <c r="QZ197" s="21" t="str">
        <f t="shared" si="816"/>
        <v/>
      </c>
      <c r="RA197" s="21" t="str">
        <f t="shared" si="817"/>
        <v/>
      </c>
      <c r="RB197" s="21" t="str">
        <f t="shared" si="818"/>
        <v/>
      </c>
      <c r="RC197" s="21" t="str">
        <f t="shared" si="819"/>
        <v/>
      </c>
      <c r="RD197" s="21" t="str">
        <f t="shared" si="820"/>
        <v/>
      </c>
      <c r="RE197" s="21" t="str">
        <f t="shared" si="821"/>
        <v/>
      </c>
      <c r="RF197" s="21" t="str">
        <f t="shared" si="822"/>
        <v/>
      </c>
      <c r="RG197" s="21" t="str">
        <f t="shared" si="823"/>
        <v/>
      </c>
      <c r="RH197" s="21" t="str">
        <f t="shared" si="824"/>
        <v/>
      </c>
      <c r="RI197" s="21" t="str">
        <f t="shared" si="825"/>
        <v/>
      </c>
      <c r="RJ197" s="21" t="str">
        <f t="shared" si="826"/>
        <v/>
      </c>
      <c r="RK197" s="21" t="str">
        <f t="shared" si="827"/>
        <v/>
      </c>
      <c r="RL197" s="21" t="str">
        <f t="shared" si="828"/>
        <v/>
      </c>
      <c r="RM197" s="21" t="str">
        <f t="shared" si="829"/>
        <v/>
      </c>
      <c r="RN197" s="21" t="str">
        <f t="shared" si="830"/>
        <v/>
      </c>
      <c r="RO197" s="21" t="str">
        <f t="shared" si="831"/>
        <v/>
      </c>
      <c r="RP197" s="21" t="str">
        <f t="shared" si="832"/>
        <v/>
      </c>
      <c r="RQ197" s="21" t="str">
        <f t="shared" si="833"/>
        <v/>
      </c>
      <c r="RR197" s="21" t="str">
        <f t="shared" si="834"/>
        <v/>
      </c>
      <c r="RS197" s="21" t="str">
        <f t="shared" si="835"/>
        <v/>
      </c>
      <c r="RT197" s="21" t="str">
        <f t="shared" si="836"/>
        <v/>
      </c>
      <c r="RU197" s="21" t="str">
        <f t="shared" si="837"/>
        <v/>
      </c>
      <c r="RV197" s="21">
        <f t="shared" si="838"/>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40"/>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41"/>
        <v>44.926027397260277</v>
      </c>
      <c r="O198" s="22">
        <v>45094</v>
      </c>
      <c r="P198" s="214" t="str">
        <f t="shared" si="675"/>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2"/>
        <v>0</v>
      </c>
      <c r="BR198" s="223" t="str">
        <f t="shared" si="843"/>
        <v/>
      </c>
      <c r="BS198" s="224">
        <f t="shared" si="844"/>
        <v>8</v>
      </c>
      <c r="BT198" s="216" t="str">
        <f t="shared" si="845"/>
        <v>DEFINIR CON ECO</v>
      </c>
      <c r="BU198" s="214">
        <f t="shared" ca="1" si="846"/>
        <v>27.714285714285715</v>
      </c>
      <c r="BV198" s="25"/>
      <c r="BW198" s="22"/>
      <c r="BX198" s="28"/>
      <c r="BY198" s="28"/>
      <c r="BZ198" s="22"/>
      <c r="CA198" s="21"/>
      <c r="CB198" s="26"/>
      <c r="CC198" s="26"/>
      <c r="CD198" s="26"/>
      <c r="CE198" s="26"/>
      <c r="CF198" s="22" t="s">
        <v>1517</v>
      </c>
      <c r="CG198" s="21">
        <v>1.45</v>
      </c>
      <c r="CH198" s="21">
        <v>68.599999999999994</v>
      </c>
      <c r="CI198" s="214">
        <f t="shared" si="847"/>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8"/>
        <v>45094</v>
      </c>
      <c r="CL198" s="21">
        <v>68.599999999999994</v>
      </c>
      <c r="CM198" s="214">
        <f t="shared" si="849"/>
        <v>32.62782401902497</v>
      </c>
      <c r="CN198" s="216">
        <f t="shared" si="850"/>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9"/>
        <v/>
      </c>
      <c r="DA198" s="21">
        <v>110</v>
      </c>
      <c r="DB198" s="21">
        <v>70</v>
      </c>
      <c r="DC198" s="217" t="str">
        <f t="shared" si="851"/>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6"/>
        <v>EN ESPERA</v>
      </c>
      <c r="DV198" s="226" t="str">
        <f t="shared" si="677"/>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2"/>
        <v>DIA DE CONTROL</v>
      </c>
      <c r="DY198" s="212">
        <f>IF(R198="","",IF(R198&gt;0,MAX(Tabla1[[#This Row],[FECHA C2]:[FECHA C13]],Tabla1[[#This Row],[FECHA CONSULTA PRIMERA VEZ PROGRAMA CPN ]])))</f>
        <v>45094</v>
      </c>
      <c r="DZ198" s="216">
        <f t="shared" si="853"/>
        <v>8</v>
      </c>
      <c r="EA198" s="222">
        <f>IF(R198&gt;0,SUM(COUNTA(DF198:DQ198)+COUNTA(Tabla1[[#This Row],[FECHA CONSULTA PRIMERA VEZ PROGRAMA CPN ]])),"")</f>
        <v>1</v>
      </c>
      <c r="EB198" s="222" t="str">
        <f t="shared" si="854"/>
        <v>NO</v>
      </c>
      <c r="EC198" s="214">
        <f t="shared" si="855"/>
        <v>10</v>
      </c>
      <c r="ED198" s="227">
        <f t="shared" si="856"/>
        <v>0.1</v>
      </c>
      <c r="EE198" s="22">
        <v>45094</v>
      </c>
      <c r="EF198" s="22">
        <v>45094</v>
      </c>
      <c r="EG198" s="22">
        <v>45094</v>
      </c>
      <c r="EH198" s="22"/>
      <c r="EI198" s="22">
        <v>45094</v>
      </c>
      <c r="EJ198" s="22"/>
      <c r="EK198" s="22"/>
      <c r="EL198" s="21"/>
      <c r="EM198" s="21">
        <v>14.2</v>
      </c>
      <c r="EN198" s="22">
        <v>45097</v>
      </c>
      <c r="EO198" s="222">
        <f t="shared" si="857"/>
        <v>8.4285714285714288</v>
      </c>
      <c r="EP198" s="214" t="str">
        <f t="shared" si="858"/>
        <v>NO DAR SULFATO FERROSO</v>
      </c>
      <c r="EQ198" s="216" t="str">
        <f t="shared" si="859"/>
        <v>I TRIM</v>
      </c>
      <c r="ER198" s="24"/>
      <c r="ES198" s="22"/>
      <c r="ET198" s="29" t="str">
        <f t="shared" ca="1" si="678"/>
        <v>TOMA HEMOGLOBINA A SEM 28 EN 1 SEMANA</v>
      </c>
      <c r="EU198" s="25" t="str">
        <f t="shared" si="860"/>
        <v/>
      </c>
      <c r="EV198" s="24" t="s">
        <v>1510</v>
      </c>
      <c r="EW198" s="32">
        <v>45097</v>
      </c>
      <c r="EX198" s="22"/>
      <c r="EY198" s="29">
        <f t="shared" si="693"/>
        <v>8.4285714285714288</v>
      </c>
      <c r="EZ198" s="25" t="str">
        <f t="shared" si="694"/>
        <v>SIN RIESGO DE ISOINMUNIZACIÓN</v>
      </c>
      <c r="FA198" s="21">
        <v>140</v>
      </c>
      <c r="FB198" s="22">
        <v>45097</v>
      </c>
      <c r="FC198" s="29" t="str">
        <f t="shared" si="861"/>
        <v>DIABETES PREGESTACIONAL- REMITIR</v>
      </c>
      <c r="FD198" s="29"/>
      <c r="FE198" s="29"/>
      <c r="FF198" s="29"/>
      <c r="FG198" s="21" t="str">
        <f t="shared" ca="1" si="862"/>
        <v>TOMAR PTOG</v>
      </c>
      <c r="FH198" s="31"/>
      <c r="FI198" s="29" t="str">
        <f t="shared" si="863"/>
        <v>TOMAR EXAMEN</v>
      </c>
      <c r="FJ198" s="22" t="s">
        <v>867</v>
      </c>
      <c r="FK198" s="22">
        <v>45097</v>
      </c>
      <c r="FL198" s="29">
        <f t="shared" ca="1" si="864"/>
        <v>8.4285714285714288</v>
      </c>
      <c r="FM198" s="22"/>
      <c r="FN198" s="32"/>
      <c r="FO198" s="29" t="str">
        <f t="shared" ca="1" si="679"/>
        <v>PIERDE TOMA DE TAMIZAJE</v>
      </c>
      <c r="FP198" s="22"/>
      <c r="FQ198" s="32"/>
      <c r="FR198" s="29" t="str">
        <f t="shared" ca="1" si="680"/>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5"/>
        <v>TOMAR EXAMEN</v>
      </c>
      <c r="FY198" s="22" t="s">
        <v>868</v>
      </c>
      <c r="FZ198" s="22">
        <v>45097</v>
      </c>
      <c r="GA198" s="29">
        <f t="shared" ca="1" si="739"/>
        <v>8.4285714285714288</v>
      </c>
      <c r="GB198" s="22"/>
      <c r="GC198" s="22"/>
      <c r="GD198" s="29" t="str">
        <f t="shared" ca="1" si="732"/>
        <v>PIERDE TOMA DE TAMIZAJE</v>
      </c>
      <c r="GE198" s="22"/>
      <c r="GF198" s="22"/>
      <c r="GG198" s="29" t="str">
        <f t="shared" ca="1" si="682"/>
        <v>PIERDE TOMA DE TAMIZAJE</v>
      </c>
      <c r="GH198" s="22"/>
      <c r="GI198" s="29"/>
      <c r="GJ198" s="22"/>
      <c r="GK198" s="22"/>
      <c r="GL198" s="22"/>
      <c r="GM198" s="22"/>
      <c r="GN198" s="28" t="s">
        <v>869</v>
      </c>
      <c r="GO198" s="22">
        <v>45097</v>
      </c>
      <c r="GP198" s="29">
        <f t="shared" si="866"/>
        <v>8.4285714285714288</v>
      </c>
      <c r="GQ198" s="28" t="s">
        <v>880</v>
      </c>
      <c r="GR198" s="28" t="s">
        <v>869</v>
      </c>
      <c r="GS198" s="22" t="str">
        <f t="shared" si="728"/>
        <v>SE EXCLUYE INFECCION</v>
      </c>
      <c r="GT198" s="22">
        <v>45097</v>
      </c>
      <c r="GU198" s="29">
        <f t="shared" si="867"/>
        <v>8.4285714285714288</v>
      </c>
      <c r="GV198" s="21" t="str">
        <f t="shared" si="868"/>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9"/>
        <v>#REF!</v>
      </c>
      <c r="HI198" s="22" t="e">
        <f t="shared" si="870"/>
        <v>#REF!</v>
      </c>
      <c r="HJ198" s="21" t="str">
        <f t="shared" ca="1" si="871"/>
        <v>***************************************</v>
      </c>
      <c r="HK198" s="21" t="str">
        <f t="shared" si="872"/>
        <v>SIN ANTECEDENTES DE RIESGO</v>
      </c>
      <c r="HL198" s="24" t="str">
        <f t="shared" si="873"/>
        <v>APARENTEMENTE NORMAL</v>
      </c>
      <c r="HM198" s="21" t="str">
        <f t="shared" si="874"/>
        <v>DIA DE CONTROL</v>
      </c>
      <c r="HN198" s="30" t="str">
        <f t="shared" si="683"/>
        <v>ACTIVA INGRESO A CPN</v>
      </c>
      <c r="HO198" s="21"/>
      <c r="HP198" s="21"/>
      <c r="HQ198" s="349"/>
      <c r="HR198" s="21"/>
      <c r="HS198" s="22">
        <v>45094</v>
      </c>
      <c r="HT198" s="22" t="s">
        <v>1518</v>
      </c>
      <c r="HU198" s="22">
        <v>45094</v>
      </c>
      <c r="HV198" s="22" t="s">
        <v>1544</v>
      </c>
      <c r="HW198" s="22">
        <v>45094</v>
      </c>
      <c r="HX198" s="22" t="s">
        <v>1511</v>
      </c>
      <c r="HY198" s="22">
        <v>45094</v>
      </c>
      <c r="HZ198" s="28">
        <f t="shared" si="875"/>
        <v>8</v>
      </c>
      <c r="IA198" s="26"/>
      <c r="IB198" s="26"/>
      <c r="IC198" s="111"/>
      <c r="ID198" s="22"/>
      <c r="IE198" s="22" t="str">
        <f t="shared" ca="1" si="876"/>
        <v>INASISTENTE</v>
      </c>
      <c r="IF198" s="22"/>
      <c r="IG198" s="22">
        <f t="shared" si="877"/>
        <v>45318</v>
      </c>
      <c r="IH198" s="29">
        <f t="shared" ca="1" si="878"/>
        <v>86</v>
      </c>
      <c r="II198" s="22" t="str">
        <f t="shared" ca="1" si="879"/>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40"/>
        <v>Menor</v>
      </c>
      <c r="OA198" s="43" t="str">
        <f t="shared" si="741"/>
        <v>OBESIDAD</v>
      </c>
      <c r="OB198" s="43" t="str">
        <f t="shared" si="742"/>
        <v/>
      </c>
      <c r="OC198" s="43" t="str">
        <f t="shared" si="743"/>
        <v/>
      </c>
      <c r="OD198" s="43" t="str">
        <f t="shared" si="744"/>
        <v/>
      </c>
      <c r="OE198" s="43" t="str">
        <f t="shared" si="745"/>
        <v/>
      </c>
      <c r="OF198" s="43" t="str">
        <f t="shared" si="746"/>
        <v/>
      </c>
      <c r="OG198" s="43" t="str">
        <f t="shared" si="747"/>
        <v/>
      </c>
      <c r="OH198" s="43" t="str">
        <f t="shared" si="748"/>
        <v/>
      </c>
      <c r="OI198" s="43" t="str">
        <f t="shared" si="749"/>
        <v/>
      </c>
      <c r="OJ198" s="43" t="str">
        <f t="shared" si="750"/>
        <v/>
      </c>
      <c r="OK198" s="43" t="str">
        <f t="shared" si="751"/>
        <v/>
      </c>
      <c r="OL198" s="43" t="str">
        <f t="shared" si="752"/>
        <v/>
      </c>
      <c r="OM198" s="43" t="str">
        <f t="shared" si="753"/>
        <v/>
      </c>
      <c r="ON198" s="43" t="str">
        <f t="shared" si="754"/>
        <v/>
      </c>
      <c r="OO198" s="43" t="str">
        <f t="shared" si="755"/>
        <v/>
      </c>
      <c r="OP198" s="43" t="str">
        <f t="shared" si="756"/>
        <v/>
      </c>
      <c r="OQ198" s="43" t="str">
        <f t="shared" si="757"/>
        <v/>
      </c>
      <c r="OR198" s="43" t="str">
        <f t="shared" si="758"/>
        <v/>
      </c>
      <c r="OS198" s="43" t="str">
        <f t="shared" si="759"/>
        <v/>
      </c>
      <c r="OT198" s="43" t="str">
        <f t="shared" si="760"/>
        <v/>
      </c>
      <c r="OU198" s="43" t="str">
        <f t="shared" si="761"/>
        <v/>
      </c>
      <c r="OV198" s="110" t="str">
        <f t="shared" si="762"/>
        <v/>
      </c>
      <c r="OW198" s="43" t="str">
        <f t="shared" si="763"/>
        <v/>
      </c>
      <c r="OX198" s="43" t="str">
        <f t="shared" si="764"/>
        <v/>
      </c>
      <c r="OY198" s="43" t="str">
        <f t="shared" si="765"/>
        <v/>
      </c>
      <c r="OZ198" s="43" t="str">
        <f t="shared" si="766"/>
        <v/>
      </c>
      <c r="PA198" s="43" t="str">
        <f t="shared" si="767"/>
        <v/>
      </c>
      <c r="PB198" s="43" t="str">
        <f t="shared" si="768"/>
        <v/>
      </c>
      <c r="PC198" s="43" t="str">
        <f t="shared" si="769"/>
        <v/>
      </c>
      <c r="PD198" s="43" t="str">
        <f t="shared" si="770"/>
        <v/>
      </c>
      <c r="PE198" s="43" t="str">
        <f t="shared" si="771"/>
        <v/>
      </c>
      <c r="PF198" s="43" t="str">
        <f t="shared" si="772"/>
        <v/>
      </c>
      <c r="PG198" s="43" t="str">
        <f t="shared" si="773"/>
        <v/>
      </c>
      <c r="PH198" s="43" t="str">
        <f t="shared" si="774"/>
        <v/>
      </c>
      <c r="PI198" s="43" t="str">
        <f t="shared" si="775"/>
        <v>Menor</v>
      </c>
      <c r="PJ198" s="43" t="str">
        <f t="shared" si="776"/>
        <v>OBESIDAD</v>
      </c>
      <c r="PK198" s="43" t="str">
        <f t="shared" si="777"/>
        <v/>
      </c>
      <c r="PL198" s="43" t="str">
        <f t="shared" si="778"/>
        <v/>
      </c>
      <c r="PM198" s="43" t="str">
        <f t="shared" si="779"/>
        <v/>
      </c>
      <c r="PN198" s="43" t="str">
        <f t="shared" si="780"/>
        <v/>
      </c>
      <c r="PO198" s="43" t="str">
        <f t="shared" si="781"/>
        <v/>
      </c>
      <c r="PP198" s="43" t="str">
        <f t="shared" si="782"/>
        <v/>
      </c>
      <c r="PQ198" s="43" t="str">
        <f t="shared" si="783"/>
        <v/>
      </c>
      <c r="PR198" s="43" t="str">
        <f t="shared" si="784"/>
        <v/>
      </c>
      <c r="PS198" s="43" t="str">
        <f t="shared" si="785"/>
        <v/>
      </c>
      <c r="PT198" s="43" t="str">
        <f t="shared" si="786"/>
        <v/>
      </c>
      <c r="PU198" s="43" t="str">
        <f t="shared" si="787"/>
        <v/>
      </c>
      <c r="PV198" s="43" t="str">
        <f t="shared" si="788"/>
        <v/>
      </c>
      <c r="PW198" s="43" t="str">
        <f t="shared" si="789"/>
        <v/>
      </c>
      <c r="PX198" s="43" t="str">
        <f t="shared" si="790"/>
        <v/>
      </c>
      <c r="PY198" s="43" t="str">
        <f t="shared" si="791"/>
        <v/>
      </c>
      <c r="PZ198" s="43" t="str">
        <f t="shared" si="792"/>
        <v/>
      </c>
      <c r="QA198" s="43" t="str">
        <f t="shared" si="793"/>
        <v/>
      </c>
      <c r="QB198" s="43" t="str">
        <f t="shared" si="794"/>
        <v/>
      </c>
      <c r="QC198" s="43" t="str">
        <f t="shared" si="795"/>
        <v/>
      </c>
      <c r="QD198" s="43" t="str">
        <f t="shared" si="796"/>
        <v/>
      </c>
      <c r="QE198" s="43" t="str">
        <f t="shared" si="797"/>
        <v/>
      </c>
      <c r="QF198" s="43" t="str">
        <f t="shared" si="798"/>
        <v/>
      </c>
      <c r="QG198" s="43" t="str">
        <f t="shared" si="799"/>
        <v/>
      </c>
      <c r="QH198" s="43" t="str">
        <f t="shared" si="800"/>
        <v/>
      </c>
      <c r="QI198" s="43" t="str">
        <f t="shared" si="801"/>
        <v/>
      </c>
      <c r="QJ198" s="43" t="str">
        <f t="shared" si="802"/>
        <v/>
      </c>
      <c r="QK198" s="43" t="str">
        <f t="shared" si="803"/>
        <v/>
      </c>
      <c r="QL198" s="43" t="str">
        <f t="shared" si="804"/>
        <v/>
      </c>
      <c r="QM198" s="43" t="str">
        <f t="shared" si="805"/>
        <v/>
      </c>
      <c r="QN198" s="43" t="str">
        <f t="shared" si="806"/>
        <v/>
      </c>
      <c r="QO198" s="43" t="str">
        <f t="shared" si="807"/>
        <v/>
      </c>
      <c r="QP198" s="43" t="str">
        <f t="shared" si="808"/>
        <v/>
      </c>
      <c r="QQ198" s="43" t="str">
        <f t="shared" si="809"/>
        <v/>
      </c>
      <c r="QR198" s="43" t="str">
        <f t="shared" si="839"/>
        <v>Menor</v>
      </c>
      <c r="QS198" s="43"/>
      <c r="QT198" s="21" t="str">
        <f t="shared" si="810"/>
        <v/>
      </c>
      <c r="QU198" s="21" t="str">
        <f t="shared" si="811"/>
        <v/>
      </c>
      <c r="QV198" s="21" t="str">
        <f t="shared" si="812"/>
        <v/>
      </c>
      <c r="QW198" s="21" t="str">
        <f t="shared" si="813"/>
        <v/>
      </c>
      <c r="QX198" s="21" t="str">
        <f t="shared" si="814"/>
        <v/>
      </c>
      <c r="QY198" s="21" t="str">
        <f t="shared" si="815"/>
        <v/>
      </c>
      <c r="QZ198" s="21" t="str">
        <f t="shared" si="816"/>
        <v/>
      </c>
      <c r="RA198" s="21" t="str">
        <f t="shared" si="817"/>
        <v/>
      </c>
      <c r="RB198" s="21" t="str">
        <f t="shared" si="818"/>
        <v/>
      </c>
      <c r="RC198" s="21" t="str">
        <f t="shared" si="819"/>
        <v/>
      </c>
      <c r="RD198" s="21" t="str">
        <f t="shared" si="820"/>
        <v/>
      </c>
      <c r="RE198" s="21" t="str">
        <f t="shared" si="821"/>
        <v/>
      </c>
      <c r="RF198" s="21" t="str">
        <f t="shared" si="822"/>
        <v/>
      </c>
      <c r="RG198" s="21" t="str">
        <f t="shared" si="823"/>
        <v/>
      </c>
      <c r="RH198" s="21" t="str">
        <f t="shared" si="824"/>
        <v/>
      </c>
      <c r="RI198" s="21" t="str">
        <f t="shared" si="825"/>
        <v/>
      </c>
      <c r="RJ198" s="21" t="str">
        <f t="shared" si="826"/>
        <v/>
      </c>
      <c r="RK198" s="21" t="str">
        <f t="shared" si="827"/>
        <v/>
      </c>
      <c r="RL198" s="21" t="str">
        <f t="shared" si="828"/>
        <v/>
      </c>
      <c r="RM198" s="21" t="str">
        <f t="shared" si="829"/>
        <v/>
      </c>
      <c r="RN198" s="21" t="str">
        <f t="shared" si="830"/>
        <v/>
      </c>
      <c r="RO198" s="21" t="str">
        <f t="shared" si="831"/>
        <v/>
      </c>
      <c r="RP198" s="21" t="str">
        <f t="shared" si="832"/>
        <v/>
      </c>
      <c r="RQ198" s="21" t="str">
        <f t="shared" si="833"/>
        <v/>
      </c>
      <c r="RR198" s="21" t="str">
        <f t="shared" si="834"/>
        <v/>
      </c>
      <c r="RS198" s="21" t="str">
        <f t="shared" si="835"/>
        <v/>
      </c>
      <c r="RT198" s="21" t="str">
        <f t="shared" si="836"/>
        <v/>
      </c>
      <c r="RU198" s="21" t="str">
        <f t="shared" si="837"/>
        <v/>
      </c>
      <c r="RV198" s="21">
        <f t="shared" si="838"/>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40"/>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41"/>
        <v>16.720547945205478</v>
      </c>
      <c r="O199" s="22">
        <v>45094</v>
      </c>
      <c r="P199" s="214" t="str">
        <f t="shared" si="675"/>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2"/>
        <v>0</v>
      </c>
      <c r="BR199" s="223">
        <f t="shared" si="843"/>
        <v>45121</v>
      </c>
      <c r="BS199" s="224">
        <f t="shared" si="844"/>
        <v>-3.8571428571428572</v>
      </c>
      <c r="BT199" s="216" t="str">
        <f t="shared" si="845"/>
        <v>ERROR FUM O INGRESO O ECO</v>
      </c>
      <c r="BU199" s="214">
        <f t="shared" ca="1" si="846"/>
        <v>15.857142857142858</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7"/>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8"/>
        <v>45149</v>
      </c>
      <c r="CL199" s="21">
        <v>63</v>
      </c>
      <c r="CM199" s="214">
        <f t="shared" si="849"/>
        <v>27.268005540166204</v>
      </c>
      <c r="CN199" s="216">
        <f t="shared" si="850"/>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51"/>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6"/>
        <v>EN ESPERA</v>
      </c>
      <c r="DV199" s="226" t="str">
        <f t="shared" si="677"/>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2"/>
        <v>DIA DE CONTROL</v>
      </c>
      <c r="DY199" s="212">
        <f>IF(R199="","",IF(R199&gt;0,MAX(Tabla1[[#This Row],[FECHA C2]:[FECHA C13]],Tabla1[[#This Row],[FECHA CONSULTA PRIMERA VEZ PROGRAMA CPN ]])))</f>
        <v>45149</v>
      </c>
      <c r="DZ199" s="216">
        <f t="shared" si="853"/>
        <v>4</v>
      </c>
      <c r="EA199" s="222">
        <f>IF(R199&gt;0,SUM(COUNTA(DF199:DQ199)+COUNTA(Tabla1[[#This Row],[FECHA CONSULTA PRIMERA VEZ PROGRAMA CPN ]])),"")</f>
        <v>3</v>
      </c>
      <c r="EB199" s="222" t="str">
        <f t="shared" si="854"/>
        <v>NO</v>
      </c>
      <c r="EC199" s="214" t="str">
        <f t="shared" si="855"/>
        <v>X</v>
      </c>
      <c r="ED199" s="227" t="e">
        <f t="shared" si="856"/>
        <v>#VALUE!</v>
      </c>
      <c r="EE199" s="22">
        <v>45094</v>
      </c>
      <c r="EF199" s="22">
        <v>45094</v>
      </c>
      <c r="EG199" s="22">
        <v>45094</v>
      </c>
      <c r="EH199" s="22"/>
      <c r="EI199" s="22">
        <v>45094</v>
      </c>
      <c r="EJ199" s="22">
        <v>45148</v>
      </c>
      <c r="EK199" s="22"/>
      <c r="EL199" s="21"/>
      <c r="EM199" s="21">
        <v>12.7</v>
      </c>
      <c r="EN199" s="22">
        <v>45140</v>
      </c>
      <c r="EO199" s="222">
        <f t="shared" si="857"/>
        <v>2.7142857142857144</v>
      </c>
      <c r="EP199" s="214" t="str">
        <f t="shared" si="858"/>
        <v>NORMAL- SUMINISTRAR SULFATO FERROSO</v>
      </c>
      <c r="EQ199" s="216" t="str">
        <f t="shared" si="859"/>
        <v>I TRIM</v>
      </c>
      <c r="ER199" s="24"/>
      <c r="ES199" s="22"/>
      <c r="ET199" s="29" t="str">
        <f t="shared" ca="1" si="678"/>
        <v>EN ESPERA PARA TOMA EXAMEN</v>
      </c>
      <c r="EU199" s="25" t="str">
        <f t="shared" si="860"/>
        <v/>
      </c>
      <c r="EV199" s="24" t="s">
        <v>1510</v>
      </c>
      <c r="EW199" s="22">
        <v>45140</v>
      </c>
      <c r="EX199" s="22"/>
      <c r="EY199" s="29">
        <f t="shared" si="693"/>
        <v>2.7142857142857144</v>
      </c>
      <c r="EZ199" s="25" t="str">
        <f t="shared" si="694"/>
        <v>SIN RIESGO DE ISOINMUNIZACIÓN</v>
      </c>
      <c r="FA199" s="21">
        <v>64</v>
      </c>
      <c r="FB199" s="22">
        <v>45140</v>
      </c>
      <c r="FC199" s="29">
        <f t="shared" si="861"/>
        <v>2.7142857142857144</v>
      </c>
      <c r="FD199" s="29"/>
      <c r="FE199" s="29"/>
      <c r="FF199" s="29"/>
      <c r="FG199" s="21" t="str">
        <f t="shared" ca="1" si="862"/>
        <v/>
      </c>
      <c r="FH199" s="31"/>
      <c r="FI199" s="29" t="str">
        <f t="shared" si="863"/>
        <v>TOMAR EXAMEN</v>
      </c>
      <c r="FJ199" s="22" t="s">
        <v>867</v>
      </c>
      <c r="FK199" s="22">
        <v>45140</v>
      </c>
      <c r="FL199" s="29">
        <f t="shared" ca="1" si="864"/>
        <v>2.7142857142857144</v>
      </c>
      <c r="FM199" s="22"/>
      <c r="FN199" s="32"/>
      <c r="FO199" s="29" t="str">
        <f t="shared" ca="1" si="679"/>
        <v>EN RANGO PARA TOMAR EXAMEN</v>
      </c>
      <c r="FP199" s="22"/>
      <c r="FQ199" s="32"/>
      <c r="FR199" s="29" t="str">
        <f t="shared" ca="1" si="680"/>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5"/>
        <v>TOMAR EXAMEN</v>
      </c>
      <c r="FY199" s="22" t="s">
        <v>868</v>
      </c>
      <c r="FZ199" s="22">
        <v>45140</v>
      </c>
      <c r="GA199" s="29">
        <f t="shared" ca="1" si="739"/>
        <v>2.7142857142857144</v>
      </c>
      <c r="GB199" s="22"/>
      <c r="GC199" s="22"/>
      <c r="GD199" s="29" t="str">
        <f t="shared" ca="1" si="732"/>
        <v>EN RANGO PARA TOMAR EXAMEN</v>
      </c>
      <c r="GE199" s="22"/>
      <c r="GF199" s="22"/>
      <c r="GG199" s="29" t="str">
        <f t="shared" ca="1" si="682"/>
        <v>EN ESPERA-ESTÁ I TRIM O II TRIM</v>
      </c>
      <c r="GH199" s="22"/>
      <c r="GI199" s="29"/>
      <c r="GJ199" s="22"/>
      <c r="GK199" s="22"/>
      <c r="GL199" s="22"/>
      <c r="GM199" s="22"/>
      <c r="GN199" s="28" t="s">
        <v>869</v>
      </c>
      <c r="GO199" s="22">
        <v>45140</v>
      </c>
      <c r="GP199" s="29">
        <f t="shared" si="866"/>
        <v>2.7142857142857144</v>
      </c>
      <c r="GQ199" s="28" t="s">
        <v>869</v>
      </c>
      <c r="GR199" s="22" t="s">
        <v>869</v>
      </c>
      <c r="GS199" s="22" t="str">
        <f t="shared" si="728"/>
        <v>CONTROL Igm</v>
      </c>
      <c r="GT199" s="22">
        <v>45140</v>
      </c>
      <c r="GU199" s="29">
        <f t="shared" si="867"/>
        <v>19.857142857142858</v>
      </c>
      <c r="GV199" s="21" t="str">
        <f t="shared" si="868"/>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9"/>
        <v>#REF!</v>
      </c>
      <c r="HI199" s="22" t="e">
        <f t="shared" si="870"/>
        <v>#REF!</v>
      </c>
      <c r="HJ199" s="21" t="str">
        <f t="shared" ca="1" si="871"/>
        <v>***************************************</v>
      </c>
      <c r="HK199" s="21" t="str">
        <f t="shared" si="872"/>
        <v>SIN ANTECEDENTES DE RIESGO</v>
      </c>
      <c r="HL199" s="24" t="str">
        <f t="shared" si="873"/>
        <v>APARENTEMENTE NORMAL</v>
      </c>
      <c r="HM199" s="21" t="str">
        <f t="shared" si="874"/>
        <v>DIA DE CONTROL</v>
      </c>
      <c r="HN199" s="30" t="str">
        <f t="shared" si="683"/>
        <v>ACTIVA INGRESO A CPN</v>
      </c>
      <c r="HO199" s="21"/>
      <c r="HP199" s="21"/>
      <c r="HQ199" s="349"/>
      <c r="HR199" s="21"/>
      <c r="HS199" s="22"/>
      <c r="HT199" s="22"/>
      <c r="HU199" s="22"/>
      <c r="HV199" s="22" t="s">
        <v>1544</v>
      </c>
      <c r="HW199" s="22">
        <v>45094</v>
      </c>
      <c r="HX199" s="22" t="s">
        <v>1511</v>
      </c>
      <c r="HY199" s="22">
        <v>45094</v>
      </c>
      <c r="HZ199" s="28" t="str">
        <f t="shared" si="875"/>
        <v>CORREGIR FECHA CONSULTA</v>
      </c>
      <c r="IA199" s="26"/>
      <c r="IB199" s="26"/>
      <c r="IC199" s="111"/>
      <c r="ID199" s="22"/>
      <c r="IE199" s="22" t="str">
        <f t="shared" ca="1" si="876"/>
        <v>EN ESPERA PARA VACUNAR</v>
      </c>
      <c r="IF199" s="22"/>
      <c r="IG199" s="22">
        <f t="shared" si="877"/>
        <v>45401</v>
      </c>
      <c r="IH199" s="29">
        <f t="shared" ca="1" si="878"/>
        <v>169</v>
      </c>
      <c r="II199" s="22" t="str">
        <f t="shared" ca="1" si="879"/>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40"/>
        <v>Menor</v>
      </c>
      <c r="OA199" s="43" t="str">
        <f t="shared" si="741"/>
        <v>SOBREPESO</v>
      </c>
      <c r="OB199" s="43" t="str">
        <f t="shared" si="742"/>
        <v/>
      </c>
      <c r="OC199" s="43" t="str">
        <f t="shared" si="743"/>
        <v/>
      </c>
      <c r="OD199" s="43" t="str">
        <f t="shared" si="744"/>
        <v/>
      </c>
      <c r="OE199" s="43" t="str">
        <f t="shared" si="745"/>
        <v/>
      </c>
      <c r="OF199" s="43" t="str">
        <f t="shared" si="746"/>
        <v/>
      </c>
      <c r="OG199" s="43" t="str">
        <f t="shared" si="747"/>
        <v/>
      </c>
      <c r="OH199" s="43" t="str">
        <f t="shared" si="748"/>
        <v/>
      </c>
      <c r="OI199" s="43" t="str">
        <f t="shared" si="749"/>
        <v/>
      </c>
      <c r="OJ199" s="43" t="str">
        <f t="shared" si="750"/>
        <v/>
      </c>
      <c r="OK199" s="43" t="str">
        <f t="shared" si="751"/>
        <v/>
      </c>
      <c r="OL199" s="43" t="str">
        <f t="shared" si="752"/>
        <v/>
      </c>
      <c r="OM199" s="43" t="str">
        <f t="shared" si="753"/>
        <v/>
      </c>
      <c r="ON199" s="43" t="str">
        <f t="shared" si="754"/>
        <v/>
      </c>
      <c r="OO199" s="43" t="str">
        <f t="shared" si="755"/>
        <v/>
      </c>
      <c r="OP199" s="43" t="str">
        <f t="shared" si="756"/>
        <v/>
      </c>
      <c r="OQ199" s="43" t="str">
        <f t="shared" si="757"/>
        <v/>
      </c>
      <c r="OR199" s="43" t="str">
        <f t="shared" si="758"/>
        <v/>
      </c>
      <c r="OS199" s="43" t="str">
        <f t="shared" si="759"/>
        <v/>
      </c>
      <c r="OT199" s="43" t="str">
        <f t="shared" si="760"/>
        <v/>
      </c>
      <c r="OU199" s="43" t="str">
        <f t="shared" si="761"/>
        <v/>
      </c>
      <c r="OV199" s="110" t="str">
        <f t="shared" si="762"/>
        <v/>
      </c>
      <c r="OW199" s="43" t="str">
        <f t="shared" si="763"/>
        <v/>
      </c>
      <c r="OX199" s="43" t="str">
        <f t="shared" si="764"/>
        <v/>
      </c>
      <c r="OY199" s="43" t="str">
        <f t="shared" si="765"/>
        <v/>
      </c>
      <c r="OZ199" s="43" t="str">
        <f t="shared" si="766"/>
        <v/>
      </c>
      <c r="PA199" s="43" t="str">
        <f t="shared" si="767"/>
        <v/>
      </c>
      <c r="PB199" s="43" t="str">
        <f t="shared" si="768"/>
        <v/>
      </c>
      <c r="PC199" s="43" t="str">
        <f t="shared" si="769"/>
        <v/>
      </c>
      <c r="PD199" s="43" t="str">
        <f t="shared" si="770"/>
        <v/>
      </c>
      <c r="PE199" s="43" t="str">
        <f t="shared" si="771"/>
        <v/>
      </c>
      <c r="PF199" s="43" t="str">
        <f t="shared" si="772"/>
        <v/>
      </c>
      <c r="PG199" s="43" t="str">
        <f t="shared" si="773"/>
        <v/>
      </c>
      <c r="PH199" s="43" t="str">
        <f t="shared" si="774"/>
        <v/>
      </c>
      <c r="PI199" s="43" t="str">
        <f t="shared" si="775"/>
        <v>Menor</v>
      </c>
      <c r="PJ199" s="43" t="str">
        <f t="shared" si="776"/>
        <v>SOBREPESO</v>
      </c>
      <c r="PK199" s="43" t="str">
        <f t="shared" si="777"/>
        <v/>
      </c>
      <c r="PL199" s="43" t="str">
        <f t="shared" si="778"/>
        <v/>
      </c>
      <c r="PM199" s="43" t="str">
        <f t="shared" si="779"/>
        <v/>
      </c>
      <c r="PN199" s="43" t="str">
        <f t="shared" si="780"/>
        <v/>
      </c>
      <c r="PO199" s="43" t="str">
        <f t="shared" si="781"/>
        <v/>
      </c>
      <c r="PP199" s="43" t="str">
        <f t="shared" si="782"/>
        <v/>
      </c>
      <c r="PQ199" s="43" t="str">
        <f t="shared" si="783"/>
        <v/>
      </c>
      <c r="PR199" s="43" t="str">
        <f t="shared" si="784"/>
        <v/>
      </c>
      <c r="PS199" s="43" t="str">
        <f t="shared" si="785"/>
        <v/>
      </c>
      <c r="PT199" s="43" t="str">
        <f t="shared" si="786"/>
        <v/>
      </c>
      <c r="PU199" s="43" t="str">
        <f t="shared" si="787"/>
        <v/>
      </c>
      <c r="PV199" s="43" t="str">
        <f t="shared" si="788"/>
        <v/>
      </c>
      <c r="PW199" s="43" t="str">
        <f t="shared" si="789"/>
        <v/>
      </c>
      <c r="PX199" s="43" t="str">
        <f t="shared" si="790"/>
        <v/>
      </c>
      <c r="PY199" s="43" t="str">
        <f t="shared" si="791"/>
        <v/>
      </c>
      <c r="PZ199" s="43" t="str">
        <f t="shared" si="792"/>
        <v/>
      </c>
      <c r="QA199" s="43" t="str">
        <f t="shared" si="793"/>
        <v/>
      </c>
      <c r="QB199" s="43" t="str">
        <f t="shared" si="794"/>
        <v/>
      </c>
      <c r="QC199" s="43" t="str">
        <f t="shared" si="795"/>
        <v/>
      </c>
      <c r="QD199" s="43" t="str">
        <f t="shared" si="796"/>
        <v/>
      </c>
      <c r="QE199" s="43" t="str">
        <f t="shared" si="797"/>
        <v/>
      </c>
      <c r="QF199" s="43" t="str">
        <f t="shared" si="798"/>
        <v/>
      </c>
      <c r="QG199" s="43" t="str">
        <f t="shared" si="799"/>
        <v/>
      </c>
      <c r="QH199" s="43" t="str">
        <f t="shared" si="800"/>
        <v/>
      </c>
      <c r="QI199" s="43" t="str">
        <f t="shared" si="801"/>
        <v/>
      </c>
      <c r="QJ199" s="43" t="str">
        <f t="shared" si="802"/>
        <v/>
      </c>
      <c r="QK199" s="43" t="str">
        <f t="shared" si="803"/>
        <v/>
      </c>
      <c r="QL199" s="43" t="str">
        <f t="shared" si="804"/>
        <v/>
      </c>
      <c r="QM199" s="43" t="str">
        <f t="shared" si="805"/>
        <v/>
      </c>
      <c r="QN199" s="43" t="str">
        <f t="shared" si="806"/>
        <v/>
      </c>
      <c r="QO199" s="43" t="str">
        <f t="shared" si="807"/>
        <v/>
      </c>
      <c r="QP199" s="43" t="str">
        <f t="shared" si="808"/>
        <v/>
      </c>
      <c r="QQ199" s="43" t="str">
        <f t="shared" si="809"/>
        <v/>
      </c>
      <c r="QR199" s="43" t="str">
        <f t="shared" si="839"/>
        <v>Menor</v>
      </c>
      <c r="QS199" s="43"/>
      <c r="QT199" s="21" t="str">
        <f t="shared" si="810"/>
        <v/>
      </c>
      <c r="QU199" s="21" t="str">
        <f t="shared" si="811"/>
        <v/>
      </c>
      <c r="QV199" s="21" t="str">
        <f t="shared" si="812"/>
        <v/>
      </c>
      <c r="QW199" s="21" t="str">
        <f t="shared" si="813"/>
        <v/>
      </c>
      <c r="QX199" s="21" t="str">
        <f t="shared" si="814"/>
        <v/>
      </c>
      <c r="QY199" s="21" t="str">
        <f t="shared" si="815"/>
        <v/>
      </c>
      <c r="QZ199" s="21" t="str">
        <f t="shared" si="816"/>
        <v/>
      </c>
      <c r="RA199" s="21" t="str">
        <f t="shared" si="817"/>
        <v/>
      </c>
      <c r="RB199" s="21" t="str">
        <f t="shared" si="818"/>
        <v/>
      </c>
      <c r="RC199" s="21" t="str">
        <f t="shared" si="819"/>
        <v/>
      </c>
      <c r="RD199" s="21" t="str">
        <f t="shared" si="820"/>
        <v/>
      </c>
      <c r="RE199" s="21" t="str">
        <f t="shared" si="821"/>
        <v/>
      </c>
      <c r="RF199" s="21" t="str">
        <f t="shared" si="822"/>
        <v/>
      </c>
      <c r="RG199" s="21" t="str">
        <f t="shared" si="823"/>
        <v/>
      </c>
      <c r="RH199" s="21" t="str">
        <f t="shared" si="824"/>
        <v/>
      </c>
      <c r="RI199" s="21" t="str">
        <f t="shared" si="825"/>
        <v/>
      </c>
      <c r="RJ199" s="21" t="str">
        <f t="shared" si="826"/>
        <v/>
      </c>
      <c r="RK199" s="21" t="str">
        <f t="shared" si="827"/>
        <v/>
      </c>
      <c r="RL199" s="21" t="str">
        <f t="shared" si="828"/>
        <v/>
      </c>
      <c r="RM199" s="21" t="str">
        <f t="shared" si="829"/>
        <v/>
      </c>
      <c r="RN199" s="21" t="str">
        <f t="shared" si="830"/>
        <v/>
      </c>
      <c r="RO199" s="21" t="str">
        <f t="shared" si="831"/>
        <v/>
      </c>
      <c r="RP199" s="21" t="str">
        <f t="shared" si="832"/>
        <v/>
      </c>
      <c r="RQ199" s="21" t="str">
        <f t="shared" si="833"/>
        <v/>
      </c>
      <c r="RR199" s="21" t="str">
        <f t="shared" si="834"/>
        <v/>
      </c>
      <c r="RS199" s="21" t="str">
        <f t="shared" si="835"/>
        <v/>
      </c>
      <c r="RT199" s="21" t="str">
        <f t="shared" si="836"/>
        <v/>
      </c>
      <c r="RU199" s="21" t="str">
        <f t="shared" si="837"/>
        <v/>
      </c>
      <c r="RV199" s="21">
        <f t="shared" si="838"/>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40"/>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41"/>
        <v>22.12054794520548</v>
      </c>
      <c r="O200" s="22">
        <v>45098</v>
      </c>
      <c r="P200" s="214" t="str">
        <f t="shared" si="675"/>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2"/>
        <v>0</v>
      </c>
      <c r="BR200" s="223">
        <f t="shared" si="843"/>
        <v>45121</v>
      </c>
      <c r="BS200" s="224">
        <f t="shared" si="844"/>
        <v>-3.2857142857142856</v>
      </c>
      <c r="BT200" s="216" t="str">
        <f t="shared" si="845"/>
        <v>ERROR FUM O INGRESO O ECO</v>
      </c>
      <c r="BU200" s="214">
        <f t="shared" ca="1" si="846"/>
        <v>15.857142857142858</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7"/>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8"/>
        <v>45164</v>
      </c>
      <c r="CL200" s="21">
        <v>56</v>
      </c>
      <c r="CM200" s="214">
        <f t="shared" si="849"/>
        <v>22.432302515622492</v>
      </c>
      <c r="CN200" s="216">
        <f t="shared" si="850"/>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51"/>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6"/>
        <v>EN ESPERA</v>
      </c>
      <c r="DV200" s="226" t="str">
        <f t="shared" si="677"/>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2"/>
        <v>DIA DE CONTROL</v>
      </c>
      <c r="DY200" s="212">
        <f>IF(R200="","",IF(R200&gt;0,MAX(Tabla1[[#This Row],[FECHA C2]:[FECHA C13]],Tabla1[[#This Row],[FECHA CONSULTA PRIMERA VEZ PROGRAMA CPN ]])))</f>
        <v>45164</v>
      </c>
      <c r="DZ200" s="216">
        <f t="shared" si="853"/>
        <v>6</v>
      </c>
      <c r="EA200" s="222">
        <f>IF(R200&gt;0,SUM(COUNTA(DF200:DQ200)+COUNTA(Tabla1[[#This Row],[FECHA CONSULTA PRIMERA VEZ PROGRAMA CPN ]])),"")</f>
        <v>2</v>
      </c>
      <c r="EB200" s="222" t="str">
        <f t="shared" si="854"/>
        <v>NO</v>
      </c>
      <c r="EC200" s="214" t="str">
        <f t="shared" si="855"/>
        <v>X</v>
      </c>
      <c r="ED200" s="227" t="e">
        <f t="shared" si="856"/>
        <v>#VALUE!</v>
      </c>
      <c r="EE200" s="22">
        <v>45098</v>
      </c>
      <c r="EF200" s="22">
        <v>45121</v>
      </c>
      <c r="EG200" s="22">
        <v>45098</v>
      </c>
      <c r="EH200" s="22"/>
      <c r="EI200" s="22">
        <v>45098</v>
      </c>
      <c r="EJ200" s="22"/>
      <c r="EK200" s="22"/>
      <c r="EL200" s="21"/>
      <c r="EM200" s="21">
        <v>14.2</v>
      </c>
      <c r="EN200" s="22">
        <v>45099</v>
      </c>
      <c r="EO200" s="222" t="str">
        <f t="shared" si="857"/>
        <v>CORREGIR FECHA RESULTADO</v>
      </c>
      <c r="EP200" s="214" t="str">
        <f t="shared" si="858"/>
        <v>NO DAR SULFATO FERROSO</v>
      </c>
      <c r="EQ200" s="216" t="str">
        <f t="shared" si="859"/>
        <v>POR DEFINIR</v>
      </c>
      <c r="ER200" s="24"/>
      <c r="ES200" s="22"/>
      <c r="ET200" s="29" t="str">
        <f t="shared" ca="1" si="678"/>
        <v>EN ESPERA PARA TOMA EXAMEN</v>
      </c>
      <c r="EU200" s="25" t="str">
        <f t="shared" si="860"/>
        <v/>
      </c>
      <c r="EV200" s="24" t="s">
        <v>1510</v>
      </c>
      <c r="EW200" s="32">
        <v>45099</v>
      </c>
      <c r="EX200" s="22"/>
      <c r="EY200" s="29" t="str">
        <f t="shared" si="693"/>
        <v>CORREGIR FECHA RESULTADO</v>
      </c>
      <c r="EZ200" s="25" t="str">
        <f t="shared" si="694"/>
        <v>SIN RIESGO DE ISOINMUNIZACIÓN</v>
      </c>
      <c r="FA200" s="21"/>
      <c r="FB200" s="22"/>
      <c r="FC200" s="29" t="str">
        <f t="shared" si="861"/>
        <v>TOMAR EXAMEN</v>
      </c>
      <c r="FD200" s="29"/>
      <c r="FE200" s="29"/>
      <c r="FF200" s="29"/>
      <c r="FG200" s="21" t="str">
        <f t="shared" ca="1" si="862"/>
        <v/>
      </c>
      <c r="FH200" s="31"/>
      <c r="FI200" s="29" t="str">
        <f t="shared" si="863"/>
        <v>TOMAR EXAMEN</v>
      </c>
      <c r="FJ200" s="22"/>
      <c r="FK200" s="22"/>
      <c r="FL200" s="29" t="str">
        <f t="shared" ca="1" si="864"/>
        <v>PIERDE TOMA DE TAMIZAJE</v>
      </c>
      <c r="FM200" s="22"/>
      <c r="FN200" s="32"/>
      <c r="FO200" s="29" t="str">
        <f t="shared" ca="1" si="679"/>
        <v>EN RANGO PARA TOMAR EXAMEN</v>
      </c>
      <c r="FP200" s="22"/>
      <c r="FQ200" s="32"/>
      <c r="FR200" s="29" t="str">
        <f t="shared" ca="1" si="680"/>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5"/>
        <v>TOMAR EXAMEN</v>
      </c>
      <c r="FY200" s="22"/>
      <c r="FZ200" s="22"/>
      <c r="GA200" s="29" t="str">
        <f t="shared" ca="1" si="739"/>
        <v>PIERDE TOMA DE TAMIZAJE</v>
      </c>
      <c r="GB200" s="22"/>
      <c r="GC200" s="22"/>
      <c r="GD200" s="29" t="str">
        <f t="shared" ca="1" si="732"/>
        <v>EN RANGO PARA TOMAR EXAMEN</v>
      </c>
      <c r="GE200" s="22"/>
      <c r="GF200" s="22"/>
      <c r="GG200" s="29" t="str">
        <f t="shared" ca="1" si="682"/>
        <v>EN ESPERA-ESTÁ I TRIM O II TRIM</v>
      </c>
      <c r="GH200" s="22"/>
      <c r="GI200" s="29"/>
      <c r="GJ200" s="22"/>
      <c r="GK200" s="22"/>
      <c r="GL200" s="22"/>
      <c r="GM200" s="22"/>
      <c r="GN200" s="28"/>
      <c r="GO200" s="22"/>
      <c r="GP200" s="29" t="str">
        <f t="shared" si="866"/>
        <v>TOMAR EXAMEN</v>
      </c>
      <c r="GQ200" s="28"/>
      <c r="GR200" s="28"/>
      <c r="GS200" s="22" t="str">
        <f t="shared" si="728"/>
        <v/>
      </c>
      <c r="GT200" s="22"/>
      <c r="GU200" s="29" t="str">
        <f t="shared" si="867"/>
        <v>TOMAR EXAMEN</v>
      </c>
      <c r="GV200" s="21" t="str">
        <f t="shared" si="868"/>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9"/>
        <v>#REF!</v>
      </c>
      <c r="HI200" s="22" t="e">
        <f t="shared" si="870"/>
        <v>#REF!</v>
      </c>
      <c r="HJ200" s="21" t="str">
        <f t="shared" ca="1" si="871"/>
        <v>***************************************</v>
      </c>
      <c r="HK200" s="21" t="str">
        <f t="shared" si="872"/>
        <v>SIN ANTECEDENTES DE RIESGO</v>
      </c>
      <c r="HL200" s="24" t="str">
        <f t="shared" si="873"/>
        <v>APARENTEMENTE NORMAL</v>
      </c>
      <c r="HM200" s="21" t="str">
        <f t="shared" si="874"/>
        <v>DIA DE CONTROL</v>
      </c>
      <c r="HN200" s="30" t="str">
        <f t="shared" si="683"/>
        <v>ACTIVA INGRESO A CPN</v>
      </c>
      <c r="HO200" s="21"/>
      <c r="HP200" s="21"/>
      <c r="HQ200" s="349"/>
      <c r="HR200" s="21"/>
      <c r="HS200" s="22"/>
      <c r="HT200" s="22"/>
      <c r="HU200" s="22"/>
      <c r="HV200" s="22" t="s">
        <v>1544</v>
      </c>
      <c r="HW200" s="22">
        <v>45098</v>
      </c>
      <c r="HX200" s="22"/>
      <c r="HY200" s="22">
        <v>45098</v>
      </c>
      <c r="HZ200" s="28" t="str">
        <f t="shared" si="875"/>
        <v>CORREGIR FECHA CONSULTA</v>
      </c>
      <c r="IA200" s="26"/>
      <c r="IB200" s="26"/>
      <c r="IC200" s="111"/>
      <c r="ID200" s="22"/>
      <c r="IE200" s="22" t="str">
        <f t="shared" ca="1" si="876"/>
        <v>EN ESPERA PARA VACUNAR</v>
      </c>
      <c r="IF200" s="22"/>
      <c r="IG200" s="22">
        <f t="shared" si="877"/>
        <v>45401</v>
      </c>
      <c r="IH200" s="29">
        <f t="shared" ca="1" si="878"/>
        <v>169</v>
      </c>
      <c r="II200" s="22" t="str">
        <f t="shared" ca="1" si="879"/>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40"/>
        <v>Menor</v>
      </c>
      <c r="OA200" s="43" t="str">
        <f t="shared" si="741"/>
        <v>NORMAL</v>
      </c>
      <c r="OB200" s="43" t="str">
        <f t="shared" si="742"/>
        <v/>
      </c>
      <c r="OC200" s="43" t="str">
        <f t="shared" si="743"/>
        <v/>
      </c>
      <c r="OD200" s="43" t="str">
        <f t="shared" si="744"/>
        <v/>
      </c>
      <c r="OE200" s="43" t="str">
        <f t="shared" si="745"/>
        <v/>
      </c>
      <c r="OF200" s="43" t="str">
        <f t="shared" si="746"/>
        <v/>
      </c>
      <c r="OG200" s="43" t="str">
        <f t="shared" si="747"/>
        <v/>
      </c>
      <c r="OH200" s="43" t="str">
        <f t="shared" si="748"/>
        <v/>
      </c>
      <c r="OI200" s="43" t="str">
        <f t="shared" si="749"/>
        <v/>
      </c>
      <c r="OJ200" s="43" t="str">
        <f t="shared" si="750"/>
        <v/>
      </c>
      <c r="OK200" s="43" t="str">
        <f t="shared" si="751"/>
        <v/>
      </c>
      <c r="OL200" s="43" t="str">
        <f t="shared" si="752"/>
        <v/>
      </c>
      <c r="OM200" s="43" t="str">
        <f t="shared" si="753"/>
        <v/>
      </c>
      <c r="ON200" s="43" t="str">
        <f t="shared" si="754"/>
        <v/>
      </c>
      <c r="OO200" s="43" t="str">
        <f t="shared" si="755"/>
        <v/>
      </c>
      <c r="OP200" s="43" t="str">
        <f t="shared" si="756"/>
        <v/>
      </c>
      <c r="OQ200" s="43" t="str">
        <f t="shared" si="757"/>
        <v/>
      </c>
      <c r="OR200" s="43" t="str">
        <f t="shared" si="758"/>
        <v/>
      </c>
      <c r="OS200" s="43" t="str">
        <f t="shared" si="759"/>
        <v/>
      </c>
      <c r="OT200" s="43" t="str">
        <f t="shared" si="760"/>
        <v/>
      </c>
      <c r="OU200" s="43" t="str">
        <f t="shared" si="761"/>
        <v/>
      </c>
      <c r="OV200" s="110" t="str">
        <f t="shared" si="762"/>
        <v/>
      </c>
      <c r="OW200" s="43" t="str">
        <f t="shared" si="763"/>
        <v/>
      </c>
      <c r="OX200" s="43" t="str">
        <f t="shared" si="764"/>
        <v/>
      </c>
      <c r="OY200" s="43" t="str">
        <f t="shared" si="765"/>
        <v/>
      </c>
      <c r="OZ200" s="43" t="str">
        <f t="shared" si="766"/>
        <v/>
      </c>
      <c r="PA200" s="43" t="str">
        <f t="shared" si="767"/>
        <v/>
      </c>
      <c r="PB200" s="43" t="str">
        <f t="shared" si="768"/>
        <v/>
      </c>
      <c r="PC200" s="43" t="str">
        <f t="shared" si="769"/>
        <v/>
      </c>
      <c r="PD200" s="43" t="str">
        <f t="shared" si="770"/>
        <v/>
      </c>
      <c r="PE200" s="43" t="str">
        <f t="shared" si="771"/>
        <v/>
      </c>
      <c r="PF200" s="43" t="str">
        <f t="shared" si="772"/>
        <v/>
      </c>
      <c r="PG200" s="43" t="str">
        <f t="shared" si="773"/>
        <v/>
      </c>
      <c r="PH200" s="43" t="str">
        <f t="shared" si="774"/>
        <v/>
      </c>
      <c r="PI200" s="43" t="str">
        <f t="shared" si="775"/>
        <v>Menor</v>
      </c>
      <c r="PJ200" s="43" t="str">
        <f t="shared" si="776"/>
        <v>NORMAL</v>
      </c>
      <c r="PK200" s="43" t="str">
        <f t="shared" si="777"/>
        <v/>
      </c>
      <c r="PL200" s="43" t="str">
        <f t="shared" si="778"/>
        <v/>
      </c>
      <c r="PM200" s="43" t="str">
        <f t="shared" si="779"/>
        <v/>
      </c>
      <c r="PN200" s="43" t="str">
        <f t="shared" si="780"/>
        <v/>
      </c>
      <c r="PO200" s="43" t="str">
        <f t="shared" si="781"/>
        <v/>
      </c>
      <c r="PP200" s="43" t="str">
        <f t="shared" si="782"/>
        <v/>
      </c>
      <c r="PQ200" s="43" t="str">
        <f t="shared" si="783"/>
        <v/>
      </c>
      <c r="PR200" s="43" t="str">
        <f t="shared" si="784"/>
        <v/>
      </c>
      <c r="PS200" s="43" t="str">
        <f t="shared" si="785"/>
        <v/>
      </c>
      <c r="PT200" s="43" t="str">
        <f t="shared" si="786"/>
        <v/>
      </c>
      <c r="PU200" s="43" t="str">
        <f t="shared" si="787"/>
        <v/>
      </c>
      <c r="PV200" s="43" t="str">
        <f t="shared" si="788"/>
        <v/>
      </c>
      <c r="PW200" s="43" t="str">
        <f t="shared" si="789"/>
        <v/>
      </c>
      <c r="PX200" s="43" t="str">
        <f t="shared" si="790"/>
        <v/>
      </c>
      <c r="PY200" s="43" t="str">
        <f t="shared" si="791"/>
        <v/>
      </c>
      <c r="PZ200" s="43" t="str">
        <f t="shared" si="792"/>
        <v/>
      </c>
      <c r="QA200" s="43" t="str">
        <f t="shared" si="793"/>
        <v/>
      </c>
      <c r="QB200" s="43" t="str">
        <f t="shared" si="794"/>
        <v/>
      </c>
      <c r="QC200" s="43" t="str">
        <f t="shared" si="795"/>
        <v/>
      </c>
      <c r="QD200" s="43" t="str">
        <f t="shared" si="796"/>
        <v/>
      </c>
      <c r="QE200" s="43" t="str">
        <f t="shared" si="797"/>
        <v/>
      </c>
      <c r="QF200" s="43" t="str">
        <f t="shared" si="798"/>
        <v/>
      </c>
      <c r="QG200" s="43" t="str">
        <f t="shared" si="799"/>
        <v/>
      </c>
      <c r="QH200" s="43" t="str">
        <f t="shared" si="800"/>
        <v/>
      </c>
      <c r="QI200" s="43" t="str">
        <f t="shared" si="801"/>
        <v/>
      </c>
      <c r="QJ200" s="43" t="str">
        <f t="shared" si="802"/>
        <v/>
      </c>
      <c r="QK200" s="43" t="str">
        <f t="shared" si="803"/>
        <v/>
      </c>
      <c r="QL200" s="43" t="str">
        <f t="shared" si="804"/>
        <v/>
      </c>
      <c r="QM200" s="43" t="str">
        <f t="shared" si="805"/>
        <v/>
      </c>
      <c r="QN200" s="43" t="str">
        <f t="shared" si="806"/>
        <v/>
      </c>
      <c r="QO200" s="43" t="str">
        <f t="shared" si="807"/>
        <v/>
      </c>
      <c r="QP200" s="43" t="str">
        <f t="shared" si="808"/>
        <v/>
      </c>
      <c r="QQ200" s="43" t="str">
        <f t="shared" si="809"/>
        <v/>
      </c>
      <c r="QR200" s="43" t="str">
        <f t="shared" si="839"/>
        <v>Menor</v>
      </c>
      <c r="QS200" s="43"/>
      <c r="QT200" s="21" t="str">
        <f t="shared" si="810"/>
        <v/>
      </c>
      <c r="QU200" s="21" t="str">
        <f t="shared" si="811"/>
        <v/>
      </c>
      <c r="QV200" s="21" t="str">
        <f t="shared" si="812"/>
        <v/>
      </c>
      <c r="QW200" s="21" t="str">
        <f t="shared" si="813"/>
        <v/>
      </c>
      <c r="QX200" s="21" t="str">
        <f t="shared" si="814"/>
        <v/>
      </c>
      <c r="QY200" s="21" t="str">
        <f t="shared" si="815"/>
        <v/>
      </c>
      <c r="QZ200" s="21" t="str">
        <f t="shared" si="816"/>
        <v/>
      </c>
      <c r="RA200" s="21" t="str">
        <f t="shared" si="817"/>
        <v/>
      </c>
      <c r="RB200" s="21" t="str">
        <f t="shared" si="818"/>
        <v/>
      </c>
      <c r="RC200" s="21" t="str">
        <f t="shared" si="819"/>
        <v/>
      </c>
      <c r="RD200" s="21" t="str">
        <f t="shared" si="820"/>
        <v/>
      </c>
      <c r="RE200" s="21" t="str">
        <f t="shared" si="821"/>
        <v/>
      </c>
      <c r="RF200" s="21" t="str">
        <f t="shared" si="822"/>
        <v/>
      </c>
      <c r="RG200" s="21" t="str">
        <f t="shared" si="823"/>
        <v/>
      </c>
      <c r="RH200" s="21" t="str">
        <f t="shared" si="824"/>
        <v/>
      </c>
      <c r="RI200" s="21" t="str">
        <f t="shared" si="825"/>
        <v/>
      </c>
      <c r="RJ200" s="21" t="str">
        <f t="shared" si="826"/>
        <v/>
      </c>
      <c r="RK200" s="21" t="str">
        <f t="shared" si="827"/>
        <v/>
      </c>
      <c r="RL200" s="21" t="str">
        <f t="shared" si="828"/>
        <v/>
      </c>
      <c r="RM200" s="21" t="str">
        <f t="shared" si="829"/>
        <v/>
      </c>
      <c r="RN200" s="21" t="str">
        <f t="shared" si="830"/>
        <v/>
      </c>
      <c r="RO200" s="21" t="str">
        <f t="shared" si="831"/>
        <v/>
      </c>
      <c r="RP200" s="21" t="str">
        <f t="shared" si="832"/>
        <v/>
      </c>
      <c r="RQ200" s="21" t="str">
        <f t="shared" si="833"/>
        <v/>
      </c>
      <c r="RR200" s="21" t="str">
        <f t="shared" si="834"/>
        <v/>
      </c>
      <c r="RS200" s="21" t="str">
        <f t="shared" si="835"/>
        <v/>
      </c>
      <c r="RT200" s="21" t="str">
        <f t="shared" si="836"/>
        <v/>
      </c>
      <c r="RU200" s="21" t="str">
        <f t="shared" si="837"/>
        <v/>
      </c>
      <c r="RV200" s="21">
        <f t="shared" si="838"/>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40"/>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41"/>
        <v>40.402739726027399</v>
      </c>
      <c r="O201" s="22">
        <v>45099</v>
      </c>
      <c r="P201" s="214" t="str">
        <f t="shared" si="675"/>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2"/>
        <v>0</v>
      </c>
      <c r="BR201" s="223" t="str">
        <f t="shared" si="843"/>
        <v/>
      </c>
      <c r="BS201" s="224">
        <f t="shared" si="844"/>
        <v>19</v>
      </c>
      <c r="BT201" s="216" t="str">
        <f t="shared" si="845"/>
        <v>II TRIM</v>
      </c>
      <c r="BU201" s="214">
        <f t="shared" ca="1" si="846"/>
        <v>38</v>
      </c>
      <c r="BV201" s="25"/>
      <c r="BW201" s="22"/>
      <c r="BX201" s="28"/>
      <c r="BY201" s="28"/>
      <c r="BZ201" s="22"/>
      <c r="CA201" s="21"/>
      <c r="CB201" s="26"/>
      <c r="CC201" s="26"/>
      <c r="CD201" s="26"/>
      <c r="CE201" s="26"/>
      <c r="CF201" s="22" t="s">
        <v>1517</v>
      </c>
      <c r="CG201" s="21">
        <v>1.45</v>
      </c>
      <c r="CH201" s="21">
        <v>73.2</v>
      </c>
      <c r="CI201" s="214">
        <f t="shared" si="847"/>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8"/>
        <v>45162</v>
      </c>
      <c r="CL201" s="21">
        <v>73.2</v>
      </c>
      <c r="CM201" s="214">
        <f t="shared" si="849"/>
        <v>34.815695600475628</v>
      </c>
      <c r="CN201" s="216">
        <f t="shared" si="850"/>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51"/>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6"/>
        <v>CONCERTAR PLAN DE PARTO INMEDIATO</v>
      </c>
      <c r="DV201" s="226" t="str">
        <f t="shared" si="677"/>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2"/>
        <v>DIA DE CONTROL</v>
      </c>
      <c r="DY201" s="212">
        <f>IF(R201="","",IF(R201&gt;0,MAX(Tabla1[[#This Row],[FECHA C2]:[FECHA C13]],Tabla1[[#This Row],[FECHA CONSULTA PRIMERA VEZ PROGRAMA CPN ]])))</f>
        <v>45162</v>
      </c>
      <c r="DZ201" s="216">
        <f t="shared" si="853"/>
        <v>28</v>
      </c>
      <c r="EA201" s="222">
        <f>IF(R201&gt;0,SUM(COUNTA(DF201:DQ201)+COUNTA(Tabla1[[#This Row],[FECHA CONSULTA PRIMERA VEZ PROGRAMA CPN ]])),"")</f>
        <v>2</v>
      </c>
      <c r="EB201" s="222" t="str">
        <f t="shared" si="854"/>
        <v>NO</v>
      </c>
      <c r="EC201" s="214">
        <f t="shared" si="855"/>
        <v>7</v>
      </c>
      <c r="ED201" s="227">
        <f t="shared" si="856"/>
        <v>0.2857142857142857</v>
      </c>
      <c r="EE201" s="22">
        <v>45099</v>
      </c>
      <c r="EF201" s="22">
        <v>45164</v>
      </c>
      <c r="EG201" s="22">
        <v>45099</v>
      </c>
      <c r="EH201" s="22"/>
      <c r="EI201" s="22">
        <v>45099</v>
      </c>
      <c r="EJ201" s="22"/>
      <c r="EK201" s="22"/>
      <c r="EL201" s="21"/>
      <c r="EM201" s="21">
        <v>12.4</v>
      </c>
      <c r="EN201" s="22">
        <v>45126</v>
      </c>
      <c r="EO201" s="222">
        <f t="shared" si="857"/>
        <v>22.857142857142858</v>
      </c>
      <c r="EP201" s="214" t="str">
        <f t="shared" si="858"/>
        <v>NORMAL- SUMINISTRAR SULFATO FERROSO</v>
      </c>
      <c r="EQ201" s="216" t="str">
        <f t="shared" si="859"/>
        <v>II TRIM</v>
      </c>
      <c r="ER201" s="24"/>
      <c r="ES201" s="22"/>
      <c r="ET201" s="29" t="str">
        <f t="shared" ca="1" si="678"/>
        <v>TOMA DE HEMOGLOBINA TARDÍA</v>
      </c>
      <c r="EU201" s="25" t="str">
        <f t="shared" si="860"/>
        <v/>
      </c>
      <c r="EV201" s="24" t="s">
        <v>1510</v>
      </c>
      <c r="EW201" s="22">
        <v>45126</v>
      </c>
      <c r="EX201" s="22"/>
      <c r="EY201" s="29">
        <f t="shared" si="693"/>
        <v>22.857142857142858</v>
      </c>
      <c r="EZ201" s="25" t="str">
        <f t="shared" si="694"/>
        <v>SIN RIESGO DE ISOINMUNIZACIÓN</v>
      </c>
      <c r="FA201" s="21">
        <v>75</v>
      </c>
      <c r="FB201" s="24" t="s">
        <v>1510</v>
      </c>
      <c r="FC201" s="22">
        <v>45126</v>
      </c>
      <c r="FD201" s="29"/>
      <c r="FE201" s="29"/>
      <c r="FF201" s="29"/>
      <c r="FG201" s="21" t="str">
        <f t="shared" ca="1" si="862"/>
        <v>TOMAR PTOG</v>
      </c>
      <c r="FH201" s="31"/>
      <c r="FI201" s="29" t="str">
        <f t="shared" si="863"/>
        <v>TOMAR EXAMEN</v>
      </c>
      <c r="FJ201" s="22"/>
      <c r="FK201" s="290"/>
      <c r="FL201" s="29" t="str">
        <f t="shared" ca="1" si="864"/>
        <v>NO APLICA-INGRESO TARDIO</v>
      </c>
      <c r="FM201" s="22" t="s">
        <v>867</v>
      </c>
      <c r="FN201" s="22">
        <v>45126</v>
      </c>
      <c r="FO201" s="29">
        <f t="shared" ca="1" si="679"/>
        <v>22.857142857142858</v>
      </c>
      <c r="FP201" s="22"/>
      <c r="FQ201" s="32"/>
      <c r="FR201" s="29" t="str">
        <f t="shared" ca="1" si="680"/>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5"/>
        <v>TOMAR EXAMEN</v>
      </c>
      <c r="FY201" s="22"/>
      <c r="FZ201" s="22"/>
      <c r="GA201" s="29" t="str">
        <f t="shared" ca="1" si="739"/>
        <v>NO APLICA-INGRESO TARDIO</v>
      </c>
      <c r="GB201" s="22" t="s">
        <v>868</v>
      </c>
      <c r="GC201" s="22">
        <v>45126</v>
      </c>
      <c r="GD201" s="29">
        <f t="shared" ca="1" si="732"/>
        <v>22.857142857142858</v>
      </c>
      <c r="GE201" s="22"/>
      <c r="GF201" s="22"/>
      <c r="GG201" s="29" t="str">
        <f t="shared" ca="1" si="682"/>
        <v>TOMA INMEDIATA DE TAMIZAJE</v>
      </c>
      <c r="GH201" s="22"/>
      <c r="GI201" s="29"/>
      <c r="GJ201" s="22"/>
      <c r="GK201" s="22"/>
      <c r="GL201" s="22"/>
      <c r="GM201" s="22"/>
      <c r="GN201" s="28" t="s">
        <v>869</v>
      </c>
      <c r="GO201" s="22">
        <v>45126</v>
      </c>
      <c r="GP201" s="29">
        <f t="shared" si="866"/>
        <v>22.857142857142858</v>
      </c>
      <c r="GQ201" s="28" t="s">
        <v>846</v>
      </c>
      <c r="GR201" s="28" t="s">
        <v>869</v>
      </c>
      <c r="GS201" s="22" t="str">
        <f t="shared" si="728"/>
        <v/>
      </c>
      <c r="GT201" s="28" t="s">
        <v>869</v>
      </c>
      <c r="GU201" s="22">
        <v>45126</v>
      </c>
      <c r="GV201" s="21" t="str">
        <f t="shared" si="868"/>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9"/>
        <v>#REF!</v>
      </c>
      <c r="HI201" s="22" t="e">
        <f t="shared" si="870"/>
        <v>#REF!</v>
      </c>
      <c r="HJ201" s="21" t="str">
        <f t="shared" ca="1" si="871"/>
        <v>***************************************</v>
      </c>
      <c r="HK201" s="21" t="str">
        <f t="shared" si="872"/>
        <v>SIN ANTECEDENTES DE RIESGO</v>
      </c>
      <c r="HL201" s="24" t="str">
        <f t="shared" si="873"/>
        <v>APARENTEMENTE NORMAL</v>
      </c>
      <c r="HM201" s="21" t="str">
        <f t="shared" si="874"/>
        <v>DIA DE CONTROL</v>
      </c>
      <c r="HN201" s="30" t="str">
        <f t="shared" si="683"/>
        <v>ACTIVA INGRESO A CPN</v>
      </c>
      <c r="HO201" s="21"/>
      <c r="HP201" s="21"/>
      <c r="HQ201" s="349"/>
      <c r="HR201" s="21"/>
      <c r="HS201" s="22">
        <v>45098</v>
      </c>
      <c r="HT201" s="22" t="s">
        <v>1518</v>
      </c>
      <c r="HU201" s="22"/>
      <c r="HV201" s="22"/>
      <c r="HW201" s="22">
        <v>45098</v>
      </c>
      <c r="HX201" s="22" t="s">
        <v>1511</v>
      </c>
      <c r="HY201" s="22">
        <v>45098</v>
      </c>
      <c r="HZ201" s="28">
        <f t="shared" si="875"/>
        <v>18.857142857142858</v>
      </c>
      <c r="IA201" s="26"/>
      <c r="IB201" s="26"/>
      <c r="IC201" s="111"/>
      <c r="ID201" s="22"/>
      <c r="IE201" s="22" t="str">
        <f t="shared" ca="1" si="876"/>
        <v>INASISTENTE</v>
      </c>
      <c r="IF201" s="22"/>
      <c r="IG201" s="22">
        <f t="shared" si="877"/>
        <v>45246</v>
      </c>
      <c r="IH201" s="29">
        <f t="shared" ca="1" si="878"/>
        <v>14</v>
      </c>
      <c r="II201" s="22" t="str">
        <f t="shared" ca="1" si="879"/>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40"/>
        <v>19</v>
      </c>
      <c r="OA201" s="43" t="str">
        <f t="shared" si="741"/>
        <v/>
      </c>
      <c r="OB201" s="43" t="str">
        <f t="shared" si="742"/>
        <v/>
      </c>
      <c r="OC201" s="43" t="str">
        <f t="shared" si="743"/>
        <v/>
      </c>
      <c r="OD201" s="43" t="str">
        <f t="shared" si="744"/>
        <v/>
      </c>
      <c r="OE201" s="43" t="str">
        <f t="shared" si="745"/>
        <v/>
      </c>
      <c r="OF201" s="43" t="str">
        <f t="shared" si="746"/>
        <v/>
      </c>
      <c r="OG201" s="43" t="str">
        <f t="shared" si="747"/>
        <v/>
      </c>
      <c r="OH201" s="43" t="str">
        <f t="shared" si="748"/>
        <v/>
      </c>
      <c r="OI201" s="43" t="str">
        <f t="shared" si="749"/>
        <v/>
      </c>
      <c r="OJ201" s="43" t="str">
        <f t="shared" si="750"/>
        <v/>
      </c>
      <c r="OK201" s="43" t="str">
        <f t="shared" si="751"/>
        <v>OBESIDAD</v>
      </c>
      <c r="OL201" s="43" t="str">
        <f t="shared" si="752"/>
        <v/>
      </c>
      <c r="OM201" s="43" t="str">
        <f t="shared" si="753"/>
        <v/>
      </c>
      <c r="ON201" s="43" t="str">
        <f t="shared" si="754"/>
        <v/>
      </c>
      <c r="OO201" s="43" t="str">
        <f t="shared" si="755"/>
        <v/>
      </c>
      <c r="OP201" s="43" t="str">
        <f t="shared" si="756"/>
        <v/>
      </c>
      <c r="OQ201" s="43" t="str">
        <f t="shared" si="757"/>
        <v/>
      </c>
      <c r="OR201" s="43" t="str">
        <f t="shared" si="758"/>
        <v/>
      </c>
      <c r="OS201" s="43" t="str">
        <f t="shared" si="759"/>
        <v/>
      </c>
      <c r="OT201" s="43" t="str">
        <f t="shared" si="760"/>
        <v/>
      </c>
      <c r="OU201" s="43" t="str">
        <f t="shared" si="761"/>
        <v/>
      </c>
      <c r="OV201" s="110" t="str">
        <f t="shared" si="762"/>
        <v/>
      </c>
      <c r="OW201" s="43" t="str">
        <f t="shared" si="763"/>
        <v/>
      </c>
      <c r="OX201" s="43" t="str">
        <f t="shared" si="764"/>
        <v/>
      </c>
      <c r="OY201" s="43" t="str">
        <f t="shared" si="765"/>
        <v/>
      </c>
      <c r="OZ201" s="43" t="str">
        <f t="shared" si="766"/>
        <v/>
      </c>
      <c r="PA201" s="43" t="str">
        <f t="shared" si="767"/>
        <v/>
      </c>
      <c r="PB201" s="43" t="str">
        <f t="shared" si="768"/>
        <v/>
      </c>
      <c r="PC201" s="43" t="str">
        <f t="shared" si="769"/>
        <v/>
      </c>
      <c r="PD201" s="43" t="str">
        <f t="shared" si="770"/>
        <v/>
      </c>
      <c r="PE201" s="43" t="str">
        <f t="shared" si="771"/>
        <v/>
      </c>
      <c r="PF201" s="43" t="str">
        <f t="shared" si="772"/>
        <v/>
      </c>
      <c r="PG201" s="43" t="str">
        <f t="shared" si="773"/>
        <v/>
      </c>
      <c r="PH201" s="43" t="str">
        <f t="shared" si="774"/>
        <v/>
      </c>
      <c r="PI201" s="43">
        <f t="shared" si="775"/>
        <v>28</v>
      </c>
      <c r="PJ201" s="43" t="str">
        <f t="shared" si="776"/>
        <v/>
      </c>
      <c r="PK201" s="43" t="str">
        <f t="shared" si="777"/>
        <v/>
      </c>
      <c r="PL201" s="43" t="str">
        <f t="shared" si="778"/>
        <v/>
      </c>
      <c r="PM201" s="43" t="str">
        <f t="shared" si="779"/>
        <v/>
      </c>
      <c r="PN201" s="43" t="str">
        <f t="shared" si="780"/>
        <v/>
      </c>
      <c r="PO201" s="43" t="str">
        <f t="shared" si="781"/>
        <v/>
      </c>
      <c r="PP201" s="43" t="str">
        <f t="shared" si="782"/>
        <v/>
      </c>
      <c r="PQ201" s="43" t="str">
        <f t="shared" si="783"/>
        <v/>
      </c>
      <c r="PR201" s="43" t="str">
        <f t="shared" si="784"/>
        <v/>
      </c>
      <c r="PS201" s="43" t="str">
        <f t="shared" si="785"/>
        <v/>
      </c>
      <c r="PT201" s="43" t="str">
        <f t="shared" si="786"/>
        <v/>
      </c>
      <c r="PU201" s="43" t="str">
        <f t="shared" si="787"/>
        <v/>
      </c>
      <c r="PV201" s="43" t="str">
        <f t="shared" si="788"/>
        <v/>
      </c>
      <c r="PW201" s="43" t="str">
        <f t="shared" si="789"/>
        <v/>
      </c>
      <c r="PX201" s="43" t="str">
        <f t="shared" si="790"/>
        <v/>
      </c>
      <c r="PY201" s="43" t="str">
        <f t="shared" si="791"/>
        <v/>
      </c>
      <c r="PZ201" s="43" t="str">
        <f t="shared" si="792"/>
        <v/>
      </c>
      <c r="QA201" s="43" t="str">
        <f t="shared" si="793"/>
        <v/>
      </c>
      <c r="QB201" s="43" t="str">
        <f t="shared" si="794"/>
        <v/>
      </c>
      <c r="QC201" s="43" t="str">
        <f t="shared" si="795"/>
        <v>OBESIDAD</v>
      </c>
      <c r="QD201" s="43" t="str">
        <f t="shared" si="796"/>
        <v/>
      </c>
      <c r="QE201" s="43" t="str">
        <f t="shared" si="797"/>
        <v/>
      </c>
      <c r="QF201" s="43" t="str">
        <f t="shared" si="798"/>
        <v/>
      </c>
      <c r="QG201" s="43" t="str">
        <f t="shared" si="799"/>
        <v/>
      </c>
      <c r="QH201" s="43" t="str">
        <f t="shared" si="800"/>
        <v/>
      </c>
      <c r="QI201" s="43" t="str">
        <f t="shared" si="801"/>
        <v/>
      </c>
      <c r="QJ201" s="43" t="str">
        <f t="shared" si="802"/>
        <v/>
      </c>
      <c r="QK201" s="43" t="str">
        <f t="shared" si="803"/>
        <v/>
      </c>
      <c r="QL201" s="43" t="str">
        <f t="shared" si="804"/>
        <v/>
      </c>
      <c r="QM201" s="43" t="str">
        <f t="shared" si="805"/>
        <v/>
      </c>
      <c r="QN201" s="43" t="str">
        <f t="shared" si="806"/>
        <v/>
      </c>
      <c r="QO201" s="43" t="str">
        <f t="shared" si="807"/>
        <v/>
      </c>
      <c r="QP201" s="43" t="str">
        <f t="shared" si="808"/>
        <v/>
      </c>
      <c r="QQ201" s="43" t="str">
        <f t="shared" si="809"/>
        <v/>
      </c>
      <c r="QR201" s="43">
        <f t="shared" si="839"/>
        <v>28</v>
      </c>
      <c r="QS201" s="43"/>
      <c r="QT201" s="21" t="str">
        <f t="shared" si="810"/>
        <v/>
      </c>
      <c r="QU201" s="21" t="str">
        <f t="shared" si="811"/>
        <v/>
      </c>
      <c r="QV201" s="21" t="str">
        <f t="shared" si="812"/>
        <v/>
      </c>
      <c r="QW201" s="21" t="str">
        <f t="shared" si="813"/>
        <v/>
      </c>
      <c r="QX201" s="21" t="str">
        <f t="shared" si="814"/>
        <v/>
      </c>
      <c r="QY201" s="21" t="str">
        <f t="shared" si="815"/>
        <v/>
      </c>
      <c r="QZ201" s="21" t="str">
        <f t="shared" si="816"/>
        <v/>
      </c>
      <c r="RA201" s="21" t="str">
        <f t="shared" si="817"/>
        <v/>
      </c>
      <c r="RB201" s="21" t="str">
        <f t="shared" si="818"/>
        <v/>
      </c>
      <c r="RC201" s="21" t="str">
        <f t="shared" si="819"/>
        <v/>
      </c>
      <c r="RD201" s="21" t="str">
        <f t="shared" si="820"/>
        <v/>
      </c>
      <c r="RE201" s="21" t="str">
        <f t="shared" si="821"/>
        <v/>
      </c>
      <c r="RF201" s="21" t="str">
        <f t="shared" si="822"/>
        <v/>
      </c>
      <c r="RG201" s="21" t="str">
        <f t="shared" si="823"/>
        <v/>
      </c>
      <c r="RH201" s="21" t="str">
        <f t="shared" si="824"/>
        <v/>
      </c>
      <c r="RI201" s="21" t="str">
        <f t="shared" si="825"/>
        <v>ALTO PARA EDAD GESTACIONAL</v>
      </c>
      <c r="RJ201" s="21" t="str">
        <f t="shared" si="826"/>
        <v/>
      </c>
      <c r="RK201" s="21" t="str">
        <f t="shared" si="827"/>
        <v/>
      </c>
      <c r="RL201" s="21" t="str">
        <f t="shared" si="828"/>
        <v/>
      </c>
      <c r="RM201" s="21" t="str">
        <f t="shared" si="829"/>
        <v/>
      </c>
      <c r="RN201" s="21" t="str">
        <f t="shared" si="830"/>
        <v/>
      </c>
      <c r="RO201" s="21" t="str">
        <f t="shared" si="831"/>
        <v/>
      </c>
      <c r="RP201" s="21" t="str">
        <f t="shared" si="832"/>
        <v/>
      </c>
      <c r="RQ201" s="21" t="str">
        <f t="shared" si="833"/>
        <v/>
      </c>
      <c r="RR201" s="21" t="str">
        <f t="shared" si="834"/>
        <v/>
      </c>
      <c r="RS201" s="21" t="str">
        <f t="shared" si="835"/>
        <v/>
      </c>
      <c r="RT201" s="21" t="str">
        <f t="shared" si="836"/>
        <v/>
      </c>
      <c r="RU201" s="21" t="str">
        <f t="shared" si="837"/>
        <v/>
      </c>
      <c r="RV201" s="21">
        <f t="shared" si="838"/>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40"/>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41"/>
        <v>15.542465753424658</v>
      </c>
      <c r="O202" s="293">
        <v>45101</v>
      </c>
      <c r="P202" s="214" t="str">
        <f t="shared" si="675"/>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2"/>
        <v>0</v>
      </c>
      <c r="BR202" s="223" t="str">
        <f t="shared" si="843"/>
        <v/>
      </c>
      <c r="BS202" s="224">
        <f t="shared" si="844"/>
        <v>10.714285714285714</v>
      </c>
      <c r="BT202" s="294" t="str">
        <f t="shared" si="845"/>
        <v>II TRIM</v>
      </c>
      <c r="BU202" s="214">
        <f t="shared" ca="1" si="846"/>
        <v>29.428571428571427</v>
      </c>
      <c r="BV202" s="25"/>
      <c r="BW202" s="22"/>
      <c r="BX202" s="28"/>
      <c r="BY202" s="28"/>
      <c r="BZ202" s="22"/>
      <c r="CA202" s="21"/>
      <c r="CB202" s="26"/>
      <c r="CC202" s="26"/>
      <c r="CD202" s="26"/>
      <c r="CE202" s="26"/>
      <c r="CF202" s="22" t="s">
        <v>1517</v>
      </c>
      <c r="CG202" s="21">
        <v>1.52</v>
      </c>
      <c r="CH202" s="21">
        <v>58</v>
      </c>
      <c r="CI202" s="214">
        <f t="shared" si="847"/>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8"/>
        <v>45134</v>
      </c>
      <c r="CL202" s="21">
        <v>60.5</v>
      </c>
      <c r="CM202" s="214">
        <f t="shared" si="849"/>
        <v>26.185941828254848</v>
      </c>
      <c r="CN202" s="216">
        <f t="shared" si="850"/>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51"/>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6"/>
        <v>PLANEAR PLAN DE PARTO</v>
      </c>
      <c r="DV202" s="226" t="str">
        <f t="shared" si="677"/>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2"/>
        <v>#REF!</v>
      </c>
      <c r="DY202" s="212">
        <f>IF(R202="","",IF(R202&gt;0,MAX(Tabla1[[#This Row],[FECHA C2]:[FECHA C13]],Tabla1[[#This Row],[FECHA CONSULTA PRIMERA VEZ PROGRAMA CPN ]])))</f>
        <v>45134</v>
      </c>
      <c r="DZ202" s="216">
        <f t="shared" si="853"/>
        <v>15</v>
      </c>
      <c r="EA202" s="222">
        <f>IF(R202&gt;0,SUM(COUNTA(DF202:DQ202)+COUNTA(Tabla1[[#This Row],[FECHA CONSULTA PRIMERA VEZ PROGRAMA CPN ]])),"")</f>
        <v>2</v>
      </c>
      <c r="EB202" s="222" t="str">
        <f t="shared" si="854"/>
        <v>NO</v>
      </c>
      <c r="EC202" s="214">
        <f t="shared" si="855"/>
        <v>9</v>
      </c>
      <c r="ED202" s="227">
        <f t="shared" si="856"/>
        <v>0.22222222222222221</v>
      </c>
      <c r="EE202" s="22">
        <v>45101</v>
      </c>
      <c r="EF202" s="22"/>
      <c r="EG202" s="22">
        <v>45101</v>
      </c>
      <c r="EH202" s="22"/>
      <c r="EI202" s="22">
        <v>45101</v>
      </c>
      <c r="EJ202" s="22"/>
      <c r="EK202" s="22"/>
      <c r="EL202" s="21"/>
      <c r="EM202" s="21">
        <v>13.3</v>
      </c>
      <c r="EN202" s="22">
        <v>45101</v>
      </c>
      <c r="EO202" s="222">
        <f t="shared" si="857"/>
        <v>10.714285714285714</v>
      </c>
      <c r="EP202" s="214" t="str">
        <f t="shared" si="858"/>
        <v>NORMAL- SUMINISTRAR SULFATO FERROSO</v>
      </c>
      <c r="EQ202" s="216" t="str">
        <f t="shared" si="859"/>
        <v>I TRIM</v>
      </c>
      <c r="ER202" s="24"/>
      <c r="ES202" s="22"/>
      <c r="ET202" s="29" t="str">
        <f t="shared" ca="1" si="678"/>
        <v>EN SEMANA 28 TOMA INMEDIATA DE EXAMEN</v>
      </c>
      <c r="EU202" s="25" t="str">
        <f t="shared" si="860"/>
        <v/>
      </c>
      <c r="EV202" s="24" t="s">
        <v>1510</v>
      </c>
      <c r="EW202" s="22">
        <v>45101</v>
      </c>
      <c r="EX202" s="22"/>
      <c r="EY202" s="29">
        <f t="shared" si="693"/>
        <v>10.714285714285714</v>
      </c>
      <c r="EZ202" s="25" t="str">
        <f t="shared" si="694"/>
        <v>SIN RIESGO DE ISOINMUNIZACIÓN</v>
      </c>
      <c r="FA202" s="21">
        <v>91</v>
      </c>
      <c r="FB202" s="22">
        <v>45101</v>
      </c>
      <c r="FC202" s="29">
        <f t="shared" si="861"/>
        <v>10.714285714285714</v>
      </c>
      <c r="FD202" s="29"/>
      <c r="FE202" s="29"/>
      <c r="FF202" s="29"/>
      <c r="FG202" s="21" t="str">
        <f t="shared" ca="1" si="862"/>
        <v>TOMAR PTOG</v>
      </c>
      <c r="FH202" s="31"/>
      <c r="FI202" s="29" t="str">
        <f t="shared" si="863"/>
        <v>TOMAR EXAMEN</v>
      </c>
      <c r="FJ202" s="22" t="s">
        <v>867</v>
      </c>
      <c r="FK202" s="22">
        <v>45101</v>
      </c>
      <c r="FL202" s="29">
        <f t="shared" ca="1" si="864"/>
        <v>10.714285714285714</v>
      </c>
      <c r="FM202" s="22"/>
      <c r="FN202" s="32"/>
      <c r="FO202" s="29" t="str">
        <f t="shared" ca="1" si="679"/>
        <v>PIERDE TOMA DE TAMIZAJE</v>
      </c>
      <c r="FP202" s="22"/>
      <c r="FQ202" s="32"/>
      <c r="FR202" s="29" t="str">
        <f t="shared" ca="1" si="680"/>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5"/>
        <v>TOMAR EXAMEN</v>
      </c>
      <c r="FY202" s="22" t="s">
        <v>868</v>
      </c>
      <c r="FZ202" s="22">
        <v>45101</v>
      </c>
      <c r="GA202" s="29">
        <f t="shared" ca="1" si="739"/>
        <v>10.714285714285714</v>
      </c>
      <c r="GB202" s="22"/>
      <c r="GC202" s="22"/>
      <c r="GD202" s="29" t="str">
        <f t="shared" ca="1" si="732"/>
        <v>PIERDE TOMA DE TAMIZAJE</v>
      </c>
      <c r="GE202" s="22"/>
      <c r="GF202" s="22"/>
      <c r="GG202" s="29" t="str">
        <f t="shared" ca="1" si="682"/>
        <v>EN RANGO PARA TOMAR EXAMEN</v>
      </c>
      <c r="GH202" s="22"/>
      <c r="GI202" s="29"/>
      <c r="GJ202" s="22"/>
      <c r="GK202" s="22"/>
      <c r="GL202" s="22"/>
      <c r="GM202" s="22"/>
      <c r="GN202" s="28" t="s">
        <v>869</v>
      </c>
      <c r="GO202" s="22">
        <v>45101</v>
      </c>
      <c r="GP202" s="29">
        <f t="shared" si="866"/>
        <v>10.714285714285714</v>
      </c>
      <c r="GQ202" s="28" t="s">
        <v>869</v>
      </c>
      <c r="GR202" s="22"/>
      <c r="GS202" s="22" t="str">
        <f t="shared" si="728"/>
        <v>CONTROL Igm</v>
      </c>
      <c r="GT202" s="22">
        <v>45101</v>
      </c>
      <c r="GU202" s="29">
        <f t="shared" si="867"/>
        <v>10.714285714285714</v>
      </c>
      <c r="GV202" s="21" t="str">
        <f t="shared" si="868"/>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9"/>
        <v>#REF!</v>
      </c>
      <c r="HI202" s="22" t="e">
        <f t="shared" ca="1" si="870"/>
        <v>#REF!</v>
      </c>
      <c r="HJ202" s="21" t="str">
        <f t="shared" ca="1" si="871"/>
        <v>**********************MULTIPARIDAD**RIESGO POR EDAD***************</v>
      </c>
      <c r="HK202" s="21" t="str">
        <f t="shared" si="872"/>
        <v>SIN ANTECEDENTES DE RIESGO</v>
      </c>
      <c r="HL202" s="24" t="str">
        <f t="shared" si="873"/>
        <v>APARENTEMENTE NORMAL</v>
      </c>
      <c r="HM202" s="21" t="e">
        <f t="shared" ca="1" si="874"/>
        <v>#REF!</v>
      </c>
      <c r="HN202" s="30" t="str">
        <f t="shared" si="683"/>
        <v>ACTIVA INGRESO A CPN</v>
      </c>
      <c r="HO202" s="21"/>
      <c r="HP202" s="21"/>
      <c r="HQ202" s="349"/>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5"/>
        <v>PENDIENTE CONSULTA</v>
      </c>
      <c r="IA202" s="26"/>
      <c r="IB202" s="26"/>
      <c r="IC202" s="111"/>
      <c r="ID202" s="22"/>
      <c r="IE202" s="22" t="str">
        <f t="shared" ca="1" si="876"/>
        <v>INASISTENTE</v>
      </c>
      <c r="IF202" s="22"/>
      <c r="IG202" s="22">
        <f t="shared" si="877"/>
        <v>45306</v>
      </c>
      <c r="IH202" s="29">
        <f t="shared" ca="1" si="878"/>
        <v>74</v>
      </c>
      <c r="II202" s="22" t="str">
        <f t="shared" ca="1" si="879"/>
        <v>PENDIENTE</v>
      </c>
      <c r="IJ202" s="22"/>
      <c r="IK202" s="21"/>
      <c r="IL202" s="21"/>
      <c r="IM202" s="34"/>
      <c r="IN202" s="22"/>
      <c r="IO202" s="21"/>
      <c r="IP202" s="29" t="str">
        <f t="shared" ref="IP202:IP248" si="880">IF(AND(IN202&gt;0,IK202&lt;&gt;""),SUM(IN202-RW202)/7,"")</f>
        <v/>
      </c>
      <c r="IQ202" s="35"/>
      <c r="IR202" s="21"/>
      <c r="IS202" s="21"/>
      <c r="IT202" s="21"/>
      <c r="IU202" s="21"/>
      <c r="IV202" s="21"/>
      <c r="IW202" s="21"/>
      <c r="IX202" s="21"/>
      <c r="IY202" s="21"/>
      <c r="IZ202" s="21"/>
      <c r="JA202" s="21"/>
      <c r="JB202" s="30"/>
      <c r="JC202" s="21"/>
      <c r="JD202" s="36"/>
      <c r="JE202" s="21" t="str">
        <f t="shared" ref="JE202:JE248" si="881">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82">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3">IF(AND(JW202&lt;&gt;"",JW202&lt;IN202),"INCONSISTENCIA FECHA CONTROL",IF(AND(OR(IK202="Parto",IK202="Cesarea"),JW202&gt;0,IN202&gt;0),SUM(JW202-IN202),IF(AND(OR(IK202="Parto",IK202="Cesarea"),JW202="",IN202&gt;0),"INASISTENTE","")))</f>
        <v/>
      </c>
      <c r="JY202" s="33"/>
      <c r="JZ202" s="28" t="str">
        <f t="shared" ref="JZ202:JZ248" si="884">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5">SUM(COUNTIF(KU202,"PARTERO (A)"),COUNTIF(KY202,"PARTERO (A)"),COUNTIF(LC202,"PARTERO (A)"),COUNTIF(LG202,"PARTERO (A)"),COUNTIF(LK202,"PARTERO (A)"),COUNTIF(LO202,"PARTERO (A)"),COUNTIF(ME202,"PARTERO (A)"))</f>
        <v>0</v>
      </c>
      <c r="MI202" s="43" t="str">
        <f t="shared" ref="MI202:MI206" si="886">IF(AND(R202="",O202=""),"",IF(AND(OR(O202&gt;0,R202&gt;0),KT202&gt;0),SUM(KT202-RW202)/7,""))</f>
        <v/>
      </c>
      <c r="MJ202" s="43" t="str">
        <f t="shared" ref="MJ202:MJ248" si="887">IF(AND(MI202="",BT202=""),"",IF(AND(MI202&lt;&gt;"",BT202="SIN DATO"),"SIN DATO",IF(AND(MI202="",BT202&lt;&gt;""),"",IF(AND(MI202&lt;0,BT202&gt;0),"ERROR FUM O INGRESO",IF(MI202&lt;=13,"I TRIM",IF(MI202&lt;28,"II TRIM",IF(AND(MI202&gt;27,MI202&lt;45),"III TRIM","POR DEFINIR")))))))</f>
        <v/>
      </c>
      <c r="MK202" s="43">
        <f t="shared" ref="MK202:MK248" si="888">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9">IF(AND(O202&gt;0,RW202&gt;0),SUM(O202-RW202)/7,"")</f>
        <v>10.714285714285714</v>
      </c>
      <c r="MN202" s="43">
        <f t="shared" ref="MN202:MN206" si="890">IF(R202&gt;0,MONTH(R202),"")</f>
        <v>6</v>
      </c>
      <c r="MO202" s="43">
        <f t="shared" ref="MO202:MO206" si="891">IF(R202&gt;0,YEAR(R202),"")</f>
        <v>2023</v>
      </c>
      <c r="MP202" s="43" t="str">
        <f t="shared" ref="MP202:MP248" si="892">IF(AND(MN202&gt;=1,MN202&lt;=3),"I TRIMESTRE AÑO",IF(AND(MN202&gt;=4,MN202&lt;=6),"II TRIMESTRE AÑO",IF(AND(MN202&gt;=7,MN202&lt;=9),"III TRIMESTRE AÑO",IF(AND(MN202&gt;=10,MN202&lt;=12),"IV TRIMESTRE AÑO",""))))</f>
        <v>II TRIMESTRE AÑO</v>
      </c>
      <c r="MQ202" s="43">
        <f t="shared" ref="MQ202:MQ206" si="893">IF(AND(M202&gt;0,R202&gt;0),DAYS360(M202,R202)/30.44/12,IF(AND(M202&gt;0,O202&gt;0,R202=""),DAYS360(M202,O202)/30.44/12,""))</f>
        <v>14.955650459921157</v>
      </c>
      <c r="MR202" s="43">
        <f t="shared" ref="MR202:MR248" si="894">IF(AND(MQ202&gt;7,MQ202&lt;14),2,IF(MQ202&lt;16,1,IF(MQ202&lt;=35,0,IF(AND(MQ202&gt;35,MQ202&lt;50),2,""))))</f>
        <v>1</v>
      </c>
      <c r="MS202" s="43" t="str">
        <f t="shared" ref="MS202:MS248" si="895">+IF(MQ202="","",IF(MQ202&lt;14,"MENOR 14 AÑOS",IF(MQ202&lt;20,"DE 14 A 19AÑOS",IF(MQ202&lt;25," DE 20 A 24 AÑOS",IF(MQ202&lt;30," DE 25 A 29 AÑOS",IF(MQ202&lt;35," DE 30 A 34 AÑOS",IF(MQ202&lt;40," DE 35 A 39 AÑOS"," DE 40 Y MAS")))))))</f>
        <v>DE 14 A 19AÑOS</v>
      </c>
      <c r="MT202" s="43">
        <f t="shared" ref="MT202:MT248" si="896">IF(OR(AX202="SI",BA202="SI"),1,IF(AND(AX202="NO",BA202="NO"),0,""))</f>
        <v>0</v>
      </c>
      <c r="MU202" s="43">
        <f t="shared" ref="MU202:MU248" si="897">IF(AT202="","",IF(AT202=0,1,IF(AND(AT202&gt;=1,AT202&lt;=4),0,IF(AT202&gt;=5,2,"X"))))</f>
        <v>1</v>
      </c>
      <c r="MV202" s="43">
        <f t="shared" ref="MV202:MV248" si="898">IF(AW202="","",IF(AW202=0,0,IF(AW202=1,1,IF(OR(AW202=2,AW202="3 o MAS"),2,"X"))))</f>
        <v>0</v>
      </c>
      <c r="MW202" s="43">
        <f t="shared" ref="MW202:MW248" si="899">IF(AY202="SI",1,IF(AY202="NO",0,""))</f>
        <v>0</v>
      </c>
      <c r="MX202" s="43" t="str">
        <f t="shared" ref="MX202:MX248" si="900">IF(OR(AND(EM202&gt;0,EM202&lt;11),AND(ER202&gt;0,ER202&lt;10.5)),1,"")</f>
        <v/>
      </c>
      <c r="MY202" s="43" t="str">
        <f t="shared" ref="MY202:MY248" ca="1" si="901">IF(AND(AND(BU202&gt;40.9,BU202&lt;43),IN202=""),1,"")</f>
        <v/>
      </c>
      <c r="MZ202" s="43" t="str">
        <f t="shared" ref="MZ202:MZ248" si="902">IF(AND(GJ202="",GL202="",BB202=""),"",IF(OR(OR(GJ202="P.R REACTIVA",GJ202="ELISA REACTIVA"),OR(BB202="SI",GL202="POSITIVA",GL202="NO CONCLUYENTE")),3,""))</f>
        <v/>
      </c>
      <c r="NA202" s="43" t="str">
        <f t="shared" ref="NA202:NA248" si="903">IF(CD202="","",IF(OR(CD202="CEFÁLICA",CD202="SD"),0,IF(OR(CD202="PODÁLICA",CD202="TRANSVERSA O DE FRENTE",CD202="OBLICUA"),3,"")))</f>
        <v/>
      </c>
      <c r="NB202" s="43" t="str">
        <f t="shared" ref="NB202:NB248" si="904">IF(GZ202="","",IF(GZ202="POSITIVO",2,"0"))</f>
        <v/>
      </c>
      <c r="NC202" s="43" t="str">
        <f t="shared" ref="NC202:NC248" si="905">IF(AND(HB202="",HD202=""),"",IF(OR(HB202="POSITIVO",HD202="POSITIVO"),3,0))</f>
        <v/>
      </c>
      <c r="ND202" s="43">
        <f t="shared" ref="ND202:ND206" ca="1" si="906">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7">IF(AND(R202="",O202=""),"",IF(AND(OR(O202&gt;0,R202&gt;0),RW202=""),"SD",IF(AND(OR(O202&gt;0,R202&gt;0),ID202&gt;0),SUM(ID202-RW202)/7,"")))</f>
        <v/>
      </c>
      <c r="NG202" s="43">
        <f t="shared" ref="NG202:NG248" si="908">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9">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10">IF(AND(O202&gt;0,R202=""),"NO CPN",IF(AND(O202="",R202=""),"",IF(AND(R202&gt;0,EJ202&gt;0,EI202&gt;0),_xlfn.DAYS(EJ202,EI202),IF(AND(R202&gt;0,EJ202&gt;0,EI202=""),"NO CITA","X"))))</f>
        <v>X</v>
      </c>
      <c r="NM202" s="43" t="str">
        <f t="shared" ref="NM202:NM206" si="911">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12">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3">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4">COUNT(FL202,FO202,FR202,FT202)</f>
        <v>1</v>
      </c>
      <c r="NT202" s="21">
        <f t="shared" ref="NT202:NT248" ca="1" si="915">COUNT(GA202,GD202,GG202,GI202)</f>
        <v>1</v>
      </c>
      <c r="NU202" s="21" t="str">
        <f t="shared" ref="NU202:NU248" ca="1" si="916">IF(NR202="","",IF(NR202="REVISAR FUM O FECHA SALIDA PROGRAMA","POR DEFINIR",IF(OR(NR202=NS202,NS202&gt;NR202),"COMPLETO",IF(NS202&lt;NR202,"INCOMPLETO",""))))</f>
        <v>INCOMPLETO</v>
      </c>
      <c r="NV202" s="21" t="str">
        <f t="shared" ref="NV202:NV248" ca="1" si="917">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8">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40"/>
        <v>10</v>
      </c>
      <c r="OA202" s="43" t="str">
        <f t="shared" si="741"/>
        <v/>
      </c>
      <c r="OB202" s="43" t="str">
        <f t="shared" si="742"/>
        <v>NORMAL</v>
      </c>
      <c r="OC202" s="43" t="str">
        <f t="shared" si="743"/>
        <v/>
      </c>
      <c r="OD202" s="43" t="str">
        <f t="shared" si="744"/>
        <v/>
      </c>
      <c r="OE202" s="43" t="str">
        <f t="shared" si="745"/>
        <v/>
      </c>
      <c r="OF202" s="43" t="str">
        <f t="shared" si="746"/>
        <v/>
      </c>
      <c r="OG202" s="43" t="str">
        <f t="shared" si="747"/>
        <v/>
      </c>
      <c r="OH202" s="43" t="str">
        <f t="shared" si="748"/>
        <v/>
      </c>
      <c r="OI202" s="43" t="str">
        <f t="shared" si="749"/>
        <v/>
      </c>
      <c r="OJ202" s="43" t="str">
        <f t="shared" si="750"/>
        <v/>
      </c>
      <c r="OK202" s="43" t="str">
        <f t="shared" si="751"/>
        <v/>
      </c>
      <c r="OL202" s="43" t="str">
        <f t="shared" si="752"/>
        <v/>
      </c>
      <c r="OM202" s="43" t="str">
        <f t="shared" si="753"/>
        <v/>
      </c>
      <c r="ON202" s="43" t="str">
        <f t="shared" si="754"/>
        <v/>
      </c>
      <c r="OO202" s="43" t="str">
        <f t="shared" si="755"/>
        <v/>
      </c>
      <c r="OP202" s="43" t="str">
        <f t="shared" si="756"/>
        <v/>
      </c>
      <c r="OQ202" s="43" t="str">
        <f t="shared" si="757"/>
        <v/>
      </c>
      <c r="OR202" s="43" t="str">
        <f t="shared" si="758"/>
        <v/>
      </c>
      <c r="OS202" s="43" t="str">
        <f t="shared" si="759"/>
        <v/>
      </c>
      <c r="OT202" s="43" t="str">
        <f t="shared" si="760"/>
        <v/>
      </c>
      <c r="OU202" s="43" t="str">
        <f t="shared" si="761"/>
        <v/>
      </c>
      <c r="OV202" s="110" t="str">
        <f t="shared" si="762"/>
        <v/>
      </c>
      <c r="OW202" s="43" t="str">
        <f t="shared" si="763"/>
        <v/>
      </c>
      <c r="OX202" s="43" t="str">
        <f t="shared" si="764"/>
        <v/>
      </c>
      <c r="OY202" s="43" t="str">
        <f t="shared" si="765"/>
        <v/>
      </c>
      <c r="OZ202" s="43" t="str">
        <f t="shared" si="766"/>
        <v/>
      </c>
      <c r="PA202" s="43" t="str">
        <f t="shared" si="767"/>
        <v/>
      </c>
      <c r="PB202" s="43" t="str">
        <f t="shared" si="768"/>
        <v/>
      </c>
      <c r="PC202" s="43" t="str">
        <f t="shared" si="769"/>
        <v/>
      </c>
      <c r="PD202" s="43" t="str">
        <f t="shared" si="770"/>
        <v/>
      </c>
      <c r="PE202" s="43" t="str">
        <f t="shared" si="771"/>
        <v/>
      </c>
      <c r="PF202" s="43" t="str">
        <f t="shared" si="772"/>
        <v/>
      </c>
      <c r="PG202" s="43" t="str">
        <f t="shared" si="773"/>
        <v/>
      </c>
      <c r="PH202" s="43" t="str">
        <f t="shared" si="774"/>
        <v/>
      </c>
      <c r="PI202" s="43">
        <f t="shared" si="775"/>
        <v>15</v>
      </c>
      <c r="PJ202" s="43" t="str">
        <f t="shared" si="776"/>
        <v/>
      </c>
      <c r="PK202" s="43" t="str">
        <f t="shared" si="777"/>
        <v/>
      </c>
      <c r="PL202" s="43" t="str">
        <f t="shared" si="778"/>
        <v/>
      </c>
      <c r="PM202" s="43" t="str">
        <f t="shared" si="779"/>
        <v/>
      </c>
      <c r="PN202" s="43" t="str">
        <f t="shared" si="780"/>
        <v/>
      </c>
      <c r="PO202" s="43" t="str">
        <f t="shared" si="781"/>
        <v/>
      </c>
      <c r="PP202" s="43" t="str">
        <f t="shared" si="782"/>
        <v>SOBREPESO</v>
      </c>
      <c r="PQ202" s="43" t="str">
        <f t="shared" si="783"/>
        <v/>
      </c>
      <c r="PR202" s="43" t="str">
        <f t="shared" si="784"/>
        <v/>
      </c>
      <c r="PS202" s="43" t="str">
        <f t="shared" si="785"/>
        <v/>
      </c>
      <c r="PT202" s="43" t="str">
        <f t="shared" si="786"/>
        <v/>
      </c>
      <c r="PU202" s="43" t="str">
        <f t="shared" si="787"/>
        <v/>
      </c>
      <c r="PV202" s="43" t="str">
        <f t="shared" si="788"/>
        <v/>
      </c>
      <c r="PW202" s="43" t="str">
        <f t="shared" si="789"/>
        <v/>
      </c>
      <c r="PX202" s="43" t="str">
        <f t="shared" si="790"/>
        <v/>
      </c>
      <c r="PY202" s="43" t="str">
        <f t="shared" si="791"/>
        <v/>
      </c>
      <c r="PZ202" s="43" t="str">
        <f t="shared" si="792"/>
        <v/>
      </c>
      <c r="QA202" s="43" t="str">
        <f t="shared" si="793"/>
        <v/>
      </c>
      <c r="QB202" s="43" t="str">
        <f t="shared" si="794"/>
        <v/>
      </c>
      <c r="QC202" s="43" t="str">
        <f t="shared" si="795"/>
        <v/>
      </c>
      <c r="QD202" s="43" t="str">
        <f t="shared" si="796"/>
        <v/>
      </c>
      <c r="QE202" s="43" t="str">
        <f t="shared" si="797"/>
        <v/>
      </c>
      <c r="QF202" s="43" t="str">
        <f t="shared" si="798"/>
        <v/>
      </c>
      <c r="QG202" s="43" t="str">
        <f t="shared" si="799"/>
        <v/>
      </c>
      <c r="QH202" s="43" t="str">
        <f t="shared" si="800"/>
        <v/>
      </c>
      <c r="QI202" s="43" t="str">
        <f t="shared" si="801"/>
        <v/>
      </c>
      <c r="QJ202" s="43" t="str">
        <f t="shared" si="802"/>
        <v/>
      </c>
      <c r="QK202" s="43" t="str">
        <f t="shared" si="803"/>
        <v/>
      </c>
      <c r="QL202" s="43" t="str">
        <f t="shared" si="804"/>
        <v/>
      </c>
      <c r="QM202" s="43" t="str">
        <f t="shared" si="805"/>
        <v/>
      </c>
      <c r="QN202" s="43" t="str">
        <f t="shared" si="806"/>
        <v/>
      </c>
      <c r="QO202" s="43" t="str">
        <f t="shared" si="807"/>
        <v/>
      </c>
      <c r="QP202" s="43" t="str">
        <f t="shared" si="808"/>
        <v/>
      </c>
      <c r="QQ202" s="43" t="str">
        <f t="shared" si="809"/>
        <v/>
      </c>
      <c r="QR202" s="43">
        <f t="shared" si="839"/>
        <v>15</v>
      </c>
      <c r="QS202" s="43"/>
      <c r="QT202" s="21" t="str">
        <f t="shared" si="810"/>
        <v/>
      </c>
      <c r="QU202" s="21" t="str">
        <f t="shared" si="811"/>
        <v/>
      </c>
      <c r="QV202" s="21" t="str">
        <f t="shared" si="812"/>
        <v>ADECUADO PARA EDAD GESTACIONAL</v>
      </c>
      <c r="QW202" s="21" t="str">
        <f t="shared" si="813"/>
        <v/>
      </c>
      <c r="QX202" s="21" t="str">
        <f t="shared" si="814"/>
        <v/>
      </c>
      <c r="QY202" s="21" t="str">
        <f t="shared" si="815"/>
        <v/>
      </c>
      <c r="QZ202" s="21" t="str">
        <f t="shared" si="816"/>
        <v/>
      </c>
      <c r="RA202" s="21" t="str">
        <f t="shared" si="817"/>
        <v/>
      </c>
      <c r="RB202" s="21" t="str">
        <f t="shared" si="818"/>
        <v/>
      </c>
      <c r="RC202" s="21" t="str">
        <f t="shared" si="819"/>
        <v/>
      </c>
      <c r="RD202" s="21" t="str">
        <f t="shared" si="820"/>
        <v/>
      </c>
      <c r="RE202" s="21" t="str">
        <f t="shared" si="821"/>
        <v/>
      </c>
      <c r="RF202" s="21" t="str">
        <f t="shared" si="822"/>
        <v/>
      </c>
      <c r="RG202" s="21" t="str">
        <f t="shared" si="823"/>
        <v/>
      </c>
      <c r="RH202" s="21" t="str">
        <f t="shared" si="824"/>
        <v/>
      </c>
      <c r="RI202" s="21" t="str">
        <f t="shared" si="825"/>
        <v/>
      </c>
      <c r="RJ202" s="21" t="str">
        <f t="shared" si="826"/>
        <v/>
      </c>
      <c r="RK202" s="21" t="str">
        <f t="shared" si="827"/>
        <v/>
      </c>
      <c r="RL202" s="21" t="str">
        <f t="shared" si="828"/>
        <v/>
      </c>
      <c r="RM202" s="21" t="str">
        <f t="shared" si="829"/>
        <v/>
      </c>
      <c r="RN202" s="21" t="str">
        <f t="shared" si="830"/>
        <v/>
      </c>
      <c r="RO202" s="21" t="str">
        <f t="shared" si="831"/>
        <v/>
      </c>
      <c r="RP202" s="21" t="str">
        <f t="shared" si="832"/>
        <v/>
      </c>
      <c r="RQ202" s="21" t="str">
        <f t="shared" si="833"/>
        <v/>
      </c>
      <c r="RR202" s="21" t="str">
        <f t="shared" si="834"/>
        <v/>
      </c>
      <c r="RS202" s="21" t="str">
        <f t="shared" si="835"/>
        <v/>
      </c>
      <c r="RT202" s="21" t="str">
        <f t="shared" si="836"/>
        <v/>
      </c>
      <c r="RU202" s="21" t="str">
        <f t="shared" si="837"/>
        <v/>
      </c>
      <c r="RV202" s="21">
        <f t="shared" si="838"/>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40"/>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41"/>
        <v>13.956164383561644</v>
      </c>
      <c r="O203" s="22">
        <v>45120</v>
      </c>
      <c r="P203" s="214" t="str">
        <f t="shared" si="675"/>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2"/>
        <v>0</v>
      </c>
      <c r="BR203" s="223">
        <f t="shared" si="843"/>
        <v>44981</v>
      </c>
      <c r="BS203" s="224">
        <f t="shared" si="844"/>
        <v>19.857142857142858</v>
      </c>
      <c r="BT203" s="294" t="str">
        <f t="shared" si="845"/>
        <v>II TRIM</v>
      </c>
      <c r="BU203" s="214">
        <f t="shared" ca="1" si="846"/>
        <v>35.857142857142854</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7"/>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8"/>
        <v>45149</v>
      </c>
      <c r="CL203" s="21">
        <v>58</v>
      </c>
      <c r="CM203" s="214">
        <f t="shared" si="849"/>
        <v>26.124949326606909</v>
      </c>
      <c r="CN203" s="216">
        <f t="shared" si="850"/>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51"/>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6"/>
        <v>CONCERTAR PLAN DE PARTO INMEDIATO</v>
      </c>
      <c r="DV203" s="226" t="str">
        <f t="shared" si="677"/>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2"/>
        <v>#REF!</v>
      </c>
      <c r="DY203" s="212">
        <f>IF(R203="","",IF(R203&gt;0,MAX(Tabla1[[#This Row],[FECHA C2]:[FECHA C13]],Tabla1[[#This Row],[FECHA CONSULTA PRIMERA VEZ PROGRAMA CPN ]])))</f>
        <v>45149</v>
      </c>
      <c r="DZ203" s="216">
        <f t="shared" si="853"/>
        <v>24</v>
      </c>
      <c r="EA203" s="222">
        <f>IF(R203&gt;0,SUM(COUNTA(DF203:DQ203)+COUNTA(Tabla1[[#This Row],[FECHA CONSULTA PRIMERA VEZ PROGRAMA CPN ]])),"")</f>
        <v>2</v>
      </c>
      <c r="EB203" s="222" t="str">
        <f t="shared" si="854"/>
        <v>NO</v>
      </c>
      <c r="EC203" s="214">
        <f t="shared" si="855"/>
        <v>7</v>
      </c>
      <c r="ED203" s="227">
        <f t="shared" si="856"/>
        <v>0.2857142857142857</v>
      </c>
      <c r="EE203" s="22">
        <v>45120</v>
      </c>
      <c r="EF203" s="22">
        <v>45120</v>
      </c>
      <c r="EG203" s="22">
        <v>45120</v>
      </c>
      <c r="EH203" s="22">
        <v>45131</v>
      </c>
      <c r="EI203" s="22">
        <v>45120</v>
      </c>
      <c r="EJ203" s="22">
        <v>45131</v>
      </c>
      <c r="EK203" s="22">
        <v>45131</v>
      </c>
      <c r="EL203" s="21">
        <v>1</v>
      </c>
      <c r="EM203" s="21">
        <v>11.8</v>
      </c>
      <c r="EN203" s="22">
        <v>45120</v>
      </c>
      <c r="EO203" s="222">
        <f t="shared" si="857"/>
        <v>19.857142857142858</v>
      </c>
      <c r="EP203" s="214" t="str">
        <f t="shared" si="858"/>
        <v>NORMAL- SUMINISTRAR SULFATO FERROSO</v>
      </c>
      <c r="EQ203" s="216" t="str">
        <f t="shared" si="859"/>
        <v>II TRIM</v>
      </c>
      <c r="ER203" s="24"/>
      <c r="ES203" s="32"/>
      <c r="ET203" s="29" t="str">
        <f t="shared" ca="1" si="678"/>
        <v>TOMA DE HEMOGLOBINA TARDÍA</v>
      </c>
      <c r="EU203" s="25" t="str">
        <f t="shared" si="860"/>
        <v/>
      </c>
      <c r="EV203" s="24" t="s">
        <v>1510</v>
      </c>
      <c r="EW203" s="32">
        <v>45121</v>
      </c>
      <c r="EX203" s="22"/>
      <c r="EY203" s="29">
        <f t="shared" si="693"/>
        <v>20</v>
      </c>
      <c r="EZ203" s="25" t="str">
        <f t="shared" si="694"/>
        <v>SIN RIESGO DE ISOINMUNIZACIÓN</v>
      </c>
      <c r="FA203" s="21">
        <v>70</v>
      </c>
      <c r="FB203" s="32">
        <v>45121</v>
      </c>
      <c r="FC203" s="29">
        <f t="shared" si="861"/>
        <v>20</v>
      </c>
      <c r="FD203" s="29"/>
      <c r="FE203" s="29"/>
      <c r="FF203" s="29"/>
      <c r="FG203" s="21" t="str">
        <f t="shared" ca="1" si="862"/>
        <v>TOMAR PTOG</v>
      </c>
      <c r="FH203" s="31"/>
      <c r="FI203" s="29" t="str">
        <f t="shared" si="863"/>
        <v>TOMAR EXAMEN</v>
      </c>
      <c r="FJ203" s="22"/>
      <c r="FK203" s="22"/>
      <c r="FL203" s="29" t="str">
        <f t="shared" ca="1" si="864"/>
        <v>NO APLICA-INGRESO TARDIO</v>
      </c>
      <c r="FM203" s="22" t="s">
        <v>867</v>
      </c>
      <c r="FN203" s="32">
        <v>45121</v>
      </c>
      <c r="FO203" s="29">
        <f t="shared" ca="1" si="679"/>
        <v>20</v>
      </c>
      <c r="FP203" s="22"/>
      <c r="FQ203" s="32"/>
      <c r="FR203" s="29" t="str">
        <f t="shared" ca="1" si="680"/>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5"/>
        <v>TOMAR EXAMEN</v>
      </c>
      <c r="FY203" s="22"/>
      <c r="FZ203" s="22"/>
      <c r="GA203" s="29" t="str">
        <f t="shared" ca="1" si="739"/>
        <v>NO APLICA-INGRESO TARDIO</v>
      </c>
      <c r="GB203" s="22" t="s">
        <v>868</v>
      </c>
      <c r="GC203" s="22">
        <v>45121</v>
      </c>
      <c r="GD203" s="29">
        <f t="shared" ca="1" si="732"/>
        <v>20</v>
      </c>
      <c r="GE203" s="22"/>
      <c r="GF203" s="22"/>
      <c r="GG203" s="29" t="str">
        <f t="shared" ca="1" si="682"/>
        <v>TOMA INMEDIATA DE TAMIZAJE</v>
      </c>
      <c r="GH203" s="22"/>
      <c r="GI203" s="29"/>
      <c r="GJ203" s="22"/>
      <c r="GK203" s="22"/>
      <c r="GL203" s="22"/>
      <c r="GM203" s="22"/>
      <c r="GN203" s="28" t="s">
        <v>869</v>
      </c>
      <c r="GO203" s="22">
        <v>45121</v>
      </c>
      <c r="GP203" s="29">
        <f t="shared" si="866"/>
        <v>20</v>
      </c>
      <c r="GQ203" s="28"/>
      <c r="GR203" s="28" t="s">
        <v>869</v>
      </c>
      <c r="GS203" s="22" t="str">
        <f t="shared" si="728"/>
        <v/>
      </c>
      <c r="GT203" s="22">
        <v>45121</v>
      </c>
      <c r="GU203" s="29">
        <f t="shared" si="867"/>
        <v>14.857142857142858</v>
      </c>
      <c r="GV203" s="21" t="str">
        <f t="shared" si="868"/>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9"/>
        <v>#REF!</v>
      </c>
      <c r="HI203" s="22" t="e">
        <f t="shared" ca="1" si="870"/>
        <v>#REF!</v>
      </c>
      <c r="HJ203" s="21" t="str">
        <f t="shared" ca="1" si="871"/>
        <v>**********************MULTIPARIDAD**RIESGO POR EDAD***************</v>
      </c>
      <c r="HK203" s="21" t="str">
        <f t="shared" si="872"/>
        <v>SIN ANTECEDENTES DE RIESGO</v>
      </c>
      <c r="HL203" s="24" t="str">
        <f t="shared" si="873"/>
        <v>APARENTEMENTE NORMAL</v>
      </c>
      <c r="HM203" s="21" t="e">
        <f t="shared" ca="1" si="874"/>
        <v>#REF!</v>
      </c>
      <c r="HN203" s="30" t="str">
        <f t="shared" si="683"/>
        <v>ACTIVA INGRESO A CPN</v>
      </c>
      <c r="HO203" s="21"/>
      <c r="HP203" s="21"/>
      <c r="HQ203" s="349"/>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5"/>
        <v>PENDIENTE CONSULTA</v>
      </c>
      <c r="IA203" s="26"/>
      <c r="IB203" s="26"/>
      <c r="IC203" s="111"/>
      <c r="ID203" s="22"/>
      <c r="IE203" s="22" t="str">
        <f t="shared" ca="1" si="876"/>
        <v>INASISTENTE</v>
      </c>
      <c r="IF203" s="22"/>
      <c r="IG203" s="22">
        <f t="shared" si="877"/>
        <v>45261</v>
      </c>
      <c r="IH203" s="29">
        <f t="shared" ca="1" si="878"/>
        <v>29</v>
      </c>
      <c r="II203" s="22" t="str">
        <f t="shared" ca="1" si="879"/>
        <v>PENDIENTE</v>
      </c>
      <c r="IJ203" s="22"/>
      <c r="IK203" s="21"/>
      <c r="IL203" s="21"/>
      <c r="IM203" s="34"/>
      <c r="IN203" s="22"/>
      <c r="IO203" s="21"/>
      <c r="IP203" s="29" t="str">
        <f t="shared" si="880"/>
        <v/>
      </c>
      <c r="IQ203" s="35"/>
      <c r="IR203" s="21"/>
      <c r="IS203" s="21"/>
      <c r="IT203" s="21"/>
      <c r="IU203" s="21"/>
      <c r="IV203" s="21"/>
      <c r="IW203" s="21"/>
      <c r="IX203" s="21"/>
      <c r="IY203" s="21"/>
      <c r="IZ203" s="21"/>
      <c r="JA203" s="21"/>
      <c r="JB203" s="30"/>
      <c r="JC203" s="21"/>
      <c r="JD203" s="36"/>
      <c r="JE203" s="21" t="str">
        <f t="shared" si="881"/>
        <v/>
      </c>
      <c r="JF203" s="30"/>
      <c r="JG203" s="21"/>
      <c r="JH203" s="21"/>
      <c r="JI203" s="21"/>
      <c r="JJ203" s="30"/>
      <c r="JK203" s="22"/>
      <c r="JL203" s="22"/>
      <c r="JM203" s="21"/>
      <c r="JN203" s="36"/>
      <c r="JO203" s="21" t="str">
        <f t="shared" si="882"/>
        <v/>
      </c>
      <c r="JP203" s="22"/>
      <c r="JQ203" s="21"/>
      <c r="JR203" s="21"/>
      <c r="JS203" s="21"/>
      <c r="JT203" s="30"/>
      <c r="JU203" s="22"/>
      <c r="JV203" s="22"/>
      <c r="JW203" s="33"/>
      <c r="JX203" s="28" t="str">
        <f t="shared" si="883"/>
        <v/>
      </c>
      <c r="JY203" s="33"/>
      <c r="JZ203" s="28" t="str">
        <f t="shared" si="884"/>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5"/>
        <v>0</v>
      </c>
      <c r="MI203" s="43" t="str">
        <f t="shared" si="886"/>
        <v/>
      </c>
      <c r="MJ203" s="43" t="str">
        <f t="shared" si="887"/>
        <v/>
      </c>
      <c r="MK203" s="43">
        <f t="shared" si="888"/>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9"/>
        <v>19.857142857142858</v>
      </c>
      <c r="MN203" s="43">
        <f t="shared" si="890"/>
        <v>7</v>
      </c>
      <c r="MO203" s="43">
        <f t="shared" si="891"/>
        <v>2023</v>
      </c>
      <c r="MP203" s="43" t="str">
        <f t="shared" si="892"/>
        <v>III TRIMESTRE AÑO</v>
      </c>
      <c r="MQ203" s="43">
        <f t="shared" si="893"/>
        <v>13.447218572054313</v>
      </c>
      <c r="MR203" s="43">
        <f t="shared" si="894"/>
        <v>2</v>
      </c>
      <c r="MS203" s="43" t="str">
        <f t="shared" si="895"/>
        <v>MENOR 14 AÑOS</v>
      </c>
      <c r="MT203" s="43">
        <f t="shared" si="896"/>
        <v>0</v>
      </c>
      <c r="MU203" s="43">
        <f t="shared" si="897"/>
        <v>1</v>
      </c>
      <c r="MV203" s="43">
        <f t="shared" si="898"/>
        <v>0</v>
      </c>
      <c r="MW203" s="43">
        <f t="shared" si="899"/>
        <v>0</v>
      </c>
      <c r="MX203" s="43" t="str">
        <f t="shared" si="900"/>
        <v/>
      </c>
      <c r="MY203" s="43" t="str">
        <f t="shared" ca="1" si="901"/>
        <v/>
      </c>
      <c r="MZ203" s="43" t="str">
        <f t="shared" si="902"/>
        <v/>
      </c>
      <c r="NA203" s="43" t="str">
        <f t="shared" si="903"/>
        <v/>
      </c>
      <c r="NB203" s="43" t="str">
        <f t="shared" si="904"/>
        <v/>
      </c>
      <c r="NC203" s="43" t="str">
        <f t="shared" si="905"/>
        <v/>
      </c>
      <c r="ND203" s="43">
        <f t="shared" ca="1" si="906"/>
        <v>3</v>
      </c>
      <c r="NE203" s="43">
        <f>IF(OR(O203&gt;0,R203&gt;0),SUM(COUNTIF(Tabla1[[#This Row],[AÑOS AL INICIO5 CPN]],"&gt;=40"),COUNTIF(AS203,"0"),COUNTIF(AR203,"SI"),COUNTIF(CC203,"SI"),COUNTIF(BQ203,"&gt;119"),COUNTIF(CI203,"&gt;=35")),"")</f>
        <v>1</v>
      </c>
      <c r="NF203" s="43" t="str">
        <f t="shared" si="907"/>
        <v/>
      </c>
      <c r="NG203" s="43">
        <f t="shared" si="908"/>
        <v>0</v>
      </c>
      <c r="NH203" s="43">
        <f t="shared" si="909"/>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10"/>
        <v>11</v>
      </c>
      <c r="NM203" s="43" t="str">
        <f t="shared" si="911"/>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12"/>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3"/>
        <v>2</v>
      </c>
      <c r="NS203" s="205">
        <f t="shared" ca="1" si="914"/>
        <v>1</v>
      </c>
      <c r="NT203" s="21">
        <f t="shared" ca="1" si="915"/>
        <v>1</v>
      </c>
      <c r="NU203" s="21" t="str">
        <f t="shared" ca="1" si="916"/>
        <v>INCOMPLETO</v>
      </c>
      <c r="NV203" s="21" t="str">
        <f t="shared" ca="1" si="917"/>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8"/>
        <v>SIN VACUNAR</v>
      </c>
      <c r="NY203" s="43">
        <f>ROW(Tabla1[[#This Row],['# DE TAMIZAJES SIFILIS TOMADOS ]])</f>
        <v>203</v>
      </c>
      <c r="NZ203" s="43">
        <f t="shared" si="740"/>
        <v>19</v>
      </c>
      <c r="OA203" s="43" t="str">
        <f t="shared" si="741"/>
        <v/>
      </c>
      <c r="OB203" s="43" t="str">
        <f t="shared" si="742"/>
        <v/>
      </c>
      <c r="OC203" s="43" t="str">
        <f t="shared" si="743"/>
        <v/>
      </c>
      <c r="OD203" s="43" t="str">
        <f t="shared" si="744"/>
        <v/>
      </c>
      <c r="OE203" s="43" t="str">
        <f t="shared" si="745"/>
        <v/>
      </c>
      <c r="OF203" s="43" t="str">
        <f t="shared" si="746"/>
        <v/>
      </c>
      <c r="OG203" s="43" t="str">
        <f t="shared" si="747"/>
        <v/>
      </c>
      <c r="OH203" s="43" t="str">
        <f t="shared" si="748"/>
        <v/>
      </c>
      <c r="OI203" s="43" t="str">
        <f t="shared" si="749"/>
        <v/>
      </c>
      <c r="OJ203" s="43" t="str">
        <f t="shared" si="750"/>
        <v/>
      </c>
      <c r="OK203" s="43" t="str">
        <f t="shared" si="751"/>
        <v>NORMAL</v>
      </c>
      <c r="OL203" s="43" t="str">
        <f t="shared" si="752"/>
        <v/>
      </c>
      <c r="OM203" s="43" t="str">
        <f t="shared" si="753"/>
        <v/>
      </c>
      <c r="ON203" s="43" t="str">
        <f t="shared" si="754"/>
        <v/>
      </c>
      <c r="OO203" s="43" t="str">
        <f t="shared" si="755"/>
        <v/>
      </c>
      <c r="OP203" s="43" t="str">
        <f t="shared" si="756"/>
        <v/>
      </c>
      <c r="OQ203" s="43" t="str">
        <f t="shared" si="757"/>
        <v/>
      </c>
      <c r="OR203" s="43" t="str">
        <f t="shared" si="758"/>
        <v/>
      </c>
      <c r="OS203" s="43" t="str">
        <f t="shared" si="759"/>
        <v/>
      </c>
      <c r="OT203" s="43" t="str">
        <f t="shared" si="760"/>
        <v/>
      </c>
      <c r="OU203" s="43" t="str">
        <f t="shared" si="761"/>
        <v/>
      </c>
      <c r="OV203" s="110" t="str">
        <f t="shared" si="762"/>
        <v/>
      </c>
      <c r="OW203" s="43" t="str">
        <f t="shared" si="763"/>
        <v/>
      </c>
      <c r="OX203" s="43" t="str">
        <f t="shared" si="764"/>
        <v/>
      </c>
      <c r="OY203" s="43" t="str">
        <f t="shared" si="765"/>
        <v/>
      </c>
      <c r="OZ203" s="43" t="str">
        <f t="shared" si="766"/>
        <v/>
      </c>
      <c r="PA203" s="43" t="str">
        <f t="shared" si="767"/>
        <v/>
      </c>
      <c r="PB203" s="43" t="str">
        <f t="shared" si="768"/>
        <v/>
      </c>
      <c r="PC203" s="43" t="str">
        <f t="shared" si="769"/>
        <v/>
      </c>
      <c r="PD203" s="43" t="str">
        <f t="shared" si="770"/>
        <v/>
      </c>
      <c r="PE203" s="43" t="str">
        <f t="shared" si="771"/>
        <v/>
      </c>
      <c r="PF203" s="43" t="str">
        <f t="shared" si="772"/>
        <v/>
      </c>
      <c r="PG203" s="43" t="str">
        <f t="shared" si="773"/>
        <v/>
      </c>
      <c r="PH203" s="43" t="str">
        <f t="shared" si="774"/>
        <v/>
      </c>
      <c r="PI203" s="43">
        <f t="shared" si="775"/>
        <v>24</v>
      </c>
      <c r="PJ203" s="43" t="str">
        <f t="shared" si="776"/>
        <v/>
      </c>
      <c r="PK203" s="43" t="str">
        <f t="shared" si="777"/>
        <v/>
      </c>
      <c r="PL203" s="43" t="str">
        <f t="shared" si="778"/>
        <v/>
      </c>
      <c r="PM203" s="43" t="str">
        <f t="shared" si="779"/>
        <v/>
      </c>
      <c r="PN203" s="43" t="str">
        <f t="shared" si="780"/>
        <v/>
      </c>
      <c r="PO203" s="43" t="str">
        <f t="shared" si="781"/>
        <v/>
      </c>
      <c r="PP203" s="43" t="str">
        <f t="shared" si="782"/>
        <v/>
      </c>
      <c r="PQ203" s="43" t="str">
        <f t="shared" si="783"/>
        <v/>
      </c>
      <c r="PR203" s="43" t="str">
        <f t="shared" si="784"/>
        <v/>
      </c>
      <c r="PS203" s="43" t="str">
        <f t="shared" si="785"/>
        <v/>
      </c>
      <c r="PT203" s="43" t="str">
        <f t="shared" si="786"/>
        <v/>
      </c>
      <c r="PU203" s="43" t="str">
        <f t="shared" si="787"/>
        <v/>
      </c>
      <c r="PV203" s="43" t="str">
        <f t="shared" si="788"/>
        <v/>
      </c>
      <c r="PW203" s="43" t="str">
        <f t="shared" si="789"/>
        <v/>
      </c>
      <c r="PX203" s="43" t="str">
        <f t="shared" si="790"/>
        <v/>
      </c>
      <c r="PY203" s="43" t="str">
        <f t="shared" si="791"/>
        <v>NORMAL</v>
      </c>
      <c r="PZ203" s="43" t="str">
        <f t="shared" si="792"/>
        <v/>
      </c>
      <c r="QA203" s="43" t="str">
        <f t="shared" si="793"/>
        <v/>
      </c>
      <c r="QB203" s="43" t="str">
        <f t="shared" si="794"/>
        <v/>
      </c>
      <c r="QC203" s="43" t="str">
        <f t="shared" si="795"/>
        <v/>
      </c>
      <c r="QD203" s="43" t="str">
        <f t="shared" si="796"/>
        <v/>
      </c>
      <c r="QE203" s="43" t="str">
        <f t="shared" si="797"/>
        <v/>
      </c>
      <c r="QF203" s="43" t="str">
        <f t="shared" si="798"/>
        <v/>
      </c>
      <c r="QG203" s="43" t="str">
        <f t="shared" si="799"/>
        <v/>
      </c>
      <c r="QH203" s="43" t="str">
        <f t="shared" si="800"/>
        <v/>
      </c>
      <c r="QI203" s="43" t="str">
        <f t="shared" si="801"/>
        <v/>
      </c>
      <c r="QJ203" s="43" t="str">
        <f t="shared" si="802"/>
        <v/>
      </c>
      <c r="QK203" s="43" t="str">
        <f t="shared" si="803"/>
        <v/>
      </c>
      <c r="QL203" s="43" t="str">
        <f t="shared" si="804"/>
        <v/>
      </c>
      <c r="QM203" s="43" t="str">
        <f t="shared" si="805"/>
        <v/>
      </c>
      <c r="QN203" s="43" t="str">
        <f t="shared" si="806"/>
        <v/>
      </c>
      <c r="QO203" s="43" t="str">
        <f t="shared" si="807"/>
        <v/>
      </c>
      <c r="QP203" s="43" t="str">
        <f t="shared" si="808"/>
        <v/>
      </c>
      <c r="QQ203" s="43" t="str">
        <f t="shared" si="809"/>
        <v/>
      </c>
      <c r="QR203" s="43">
        <f t="shared" si="839"/>
        <v>24</v>
      </c>
      <c r="QS203" s="43"/>
      <c r="QT203" s="21" t="str">
        <f t="shared" si="810"/>
        <v/>
      </c>
      <c r="QU203" s="21" t="str">
        <f t="shared" si="811"/>
        <v/>
      </c>
      <c r="QV203" s="21" t="str">
        <f t="shared" si="812"/>
        <v/>
      </c>
      <c r="QW203" s="21" t="str">
        <f t="shared" si="813"/>
        <v/>
      </c>
      <c r="QX203" s="21" t="str">
        <f t="shared" si="814"/>
        <v/>
      </c>
      <c r="QY203" s="21" t="str">
        <f t="shared" si="815"/>
        <v/>
      </c>
      <c r="QZ203" s="21" t="str">
        <f t="shared" si="816"/>
        <v/>
      </c>
      <c r="RA203" s="21" t="str">
        <f t="shared" si="817"/>
        <v/>
      </c>
      <c r="RB203" s="21" t="str">
        <f t="shared" si="818"/>
        <v/>
      </c>
      <c r="RC203" s="21" t="str">
        <f t="shared" si="819"/>
        <v/>
      </c>
      <c r="RD203" s="21" t="str">
        <f t="shared" si="820"/>
        <v/>
      </c>
      <c r="RE203" s="21" t="str">
        <f t="shared" si="821"/>
        <v>ADECUADO PARA EDAD GESTACIONAL</v>
      </c>
      <c r="RF203" s="21" t="str">
        <f t="shared" si="822"/>
        <v/>
      </c>
      <c r="RG203" s="21" t="str">
        <f t="shared" si="823"/>
        <v/>
      </c>
      <c r="RH203" s="21" t="str">
        <f t="shared" si="824"/>
        <v/>
      </c>
      <c r="RI203" s="21" t="str">
        <f t="shared" si="825"/>
        <v/>
      </c>
      <c r="RJ203" s="21" t="str">
        <f t="shared" si="826"/>
        <v/>
      </c>
      <c r="RK203" s="21" t="str">
        <f t="shared" si="827"/>
        <v/>
      </c>
      <c r="RL203" s="21" t="str">
        <f t="shared" si="828"/>
        <v/>
      </c>
      <c r="RM203" s="21" t="str">
        <f t="shared" si="829"/>
        <v/>
      </c>
      <c r="RN203" s="21" t="str">
        <f t="shared" si="830"/>
        <v/>
      </c>
      <c r="RO203" s="21" t="str">
        <f t="shared" si="831"/>
        <v/>
      </c>
      <c r="RP203" s="21" t="str">
        <f t="shared" si="832"/>
        <v/>
      </c>
      <c r="RQ203" s="21" t="str">
        <f t="shared" si="833"/>
        <v/>
      </c>
      <c r="RR203" s="21" t="str">
        <f t="shared" si="834"/>
        <v/>
      </c>
      <c r="RS203" s="21" t="str">
        <f t="shared" si="835"/>
        <v/>
      </c>
      <c r="RT203" s="21" t="str">
        <f t="shared" si="836"/>
        <v/>
      </c>
      <c r="RU203" s="21" t="str">
        <f t="shared" si="837"/>
        <v/>
      </c>
      <c r="RV203" s="21">
        <f t="shared" si="838"/>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40"/>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41"/>
        <v>44.712328767123289</v>
      </c>
      <c r="O204" s="22">
        <v>45118</v>
      </c>
      <c r="P204" s="214" t="str">
        <f t="shared" ref="P204:P248" si="919">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2"/>
        <v>135.53333333333333</v>
      </c>
      <c r="BR204" s="223">
        <f t="shared" si="843"/>
        <v>45030</v>
      </c>
      <c r="BS204" s="224">
        <f t="shared" si="844"/>
        <v>12.571428571428571</v>
      </c>
      <c r="BT204" s="294" t="str">
        <f t="shared" si="845"/>
        <v>II TRIM</v>
      </c>
      <c r="BU204" s="214">
        <f t="shared" ca="1" si="846"/>
        <v>28.857142857142858</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7"/>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8"/>
        <v>45118</v>
      </c>
      <c r="CL204" s="21">
        <v>61</v>
      </c>
      <c r="CM204" s="214">
        <f t="shared" si="849"/>
        <v>25.390218522372525</v>
      </c>
      <c r="CN204" s="216">
        <f t="shared" si="850"/>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51"/>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20">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21">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2"/>
        <v>#REF!</v>
      </c>
      <c r="DY204" s="212">
        <f>IF(R204="","",IF(R204&gt;0,MAX(Tabla1[[#This Row],[FECHA C2]:[FECHA C13]],Tabla1[[#This Row],[FECHA CONSULTA PRIMERA VEZ PROGRAMA CPN ]])))</f>
        <v>45118</v>
      </c>
      <c r="DZ204" s="216">
        <f t="shared" si="853"/>
        <v>12</v>
      </c>
      <c r="EA204" s="222">
        <f>IF(R204&gt;0,SUM(COUNTA(DF204:DQ204)+COUNTA(Tabla1[[#This Row],[FECHA CONSULTA PRIMERA VEZ PROGRAMA CPN ]])),"")</f>
        <v>1</v>
      </c>
      <c r="EB204" s="222" t="str">
        <f t="shared" si="854"/>
        <v>NO</v>
      </c>
      <c r="EC204" s="214">
        <f t="shared" si="855"/>
        <v>8</v>
      </c>
      <c r="ED204" s="227">
        <f t="shared" si="856"/>
        <v>0.125</v>
      </c>
      <c r="EE204" s="22">
        <v>45121</v>
      </c>
      <c r="EF204" s="22">
        <v>45121</v>
      </c>
      <c r="EG204" s="22">
        <v>45121</v>
      </c>
      <c r="EH204" s="22"/>
      <c r="EI204" s="22">
        <v>45121</v>
      </c>
      <c r="EJ204" s="22"/>
      <c r="EK204" s="22"/>
      <c r="EL204" s="21"/>
      <c r="EM204" s="21">
        <v>13.1</v>
      </c>
      <c r="EN204" s="22">
        <v>45121</v>
      </c>
      <c r="EO204" s="222">
        <f t="shared" si="857"/>
        <v>13</v>
      </c>
      <c r="EP204" s="214" t="str">
        <f t="shared" si="858"/>
        <v>NORMAL- SUMINISTRAR SULFATO FERROSO</v>
      </c>
      <c r="EQ204" s="216" t="str">
        <f t="shared" si="859"/>
        <v>I TRIM</v>
      </c>
      <c r="ER204" s="24"/>
      <c r="ES204" s="22"/>
      <c r="ET204" s="29" t="str">
        <f t="shared" ref="ET204:ET248" ca="1" si="922">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60"/>
        <v/>
      </c>
      <c r="EV204" s="24" t="s">
        <v>1510</v>
      </c>
      <c r="EW204" s="32">
        <v>45121</v>
      </c>
      <c r="EX204" s="22"/>
      <c r="EY204" s="29">
        <f t="shared" si="693"/>
        <v>13</v>
      </c>
      <c r="EZ204" s="25" t="str">
        <f t="shared" si="694"/>
        <v>SIN RIESGO DE ISOINMUNIZACIÓN</v>
      </c>
      <c r="FA204" s="21">
        <v>89</v>
      </c>
      <c r="FB204" s="22">
        <v>45121</v>
      </c>
      <c r="FC204" s="29">
        <f t="shared" si="861"/>
        <v>13</v>
      </c>
      <c r="FD204" s="29"/>
      <c r="FE204" s="29"/>
      <c r="FF204" s="29"/>
      <c r="FG204" s="21" t="str">
        <f t="shared" ca="1" si="862"/>
        <v>TOMAR PTOG</v>
      </c>
      <c r="FH204" s="31"/>
      <c r="FI204" s="29" t="str">
        <f t="shared" si="863"/>
        <v>TOMAR EXAMEN</v>
      </c>
      <c r="FJ204" s="22"/>
      <c r="FK204" s="22"/>
      <c r="FL204" s="29" t="str">
        <f t="shared" ca="1" si="864"/>
        <v>PIERDE TOMA DE TAMIZAJE</v>
      </c>
      <c r="FM204" s="22" t="s">
        <v>867</v>
      </c>
      <c r="FN204" s="22">
        <v>45121</v>
      </c>
      <c r="FO204" s="29">
        <f t="shared" ref="FO204:FO248" ca="1" si="923">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4">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5"/>
        <v>TOMAR EXAMEN</v>
      </c>
      <c r="FY204" s="22"/>
      <c r="FZ204" s="22"/>
      <c r="GA204" s="29" t="str">
        <f t="shared" ca="1" si="739"/>
        <v/>
      </c>
      <c r="GB204" s="22" t="s">
        <v>868</v>
      </c>
      <c r="GC204" s="22">
        <v>45121</v>
      </c>
      <c r="GD204" s="29">
        <f t="shared" ref="GD204:GD209" ca="1" si="925">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6">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6"/>
        <v>13</v>
      </c>
      <c r="GQ204" s="28"/>
      <c r="GR204" s="28" t="s">
        <v>869</v>
      </c>
      <c r="GS204" s="22" t="str">
        <f t="shared" si="728"/>
        <v/>
      </c>
      <c r="GT204" s="22">
        <v>44999</v>
      </c>
      <c r="GU204" s="29" t="str">
        <f t="shared" si="867"/>
        <v>CORREGIR FECHA RESULTADO</v>
      </c>
      <c r="GV204" s="21" t="str">
        <f t="shared" si="868"/>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9"/>
        <v>#REF!</v>
      </c>
      <c r="HI204" s="22" t="str">
        <f t="shared" si="870"/>
        <v>ALTO RIESGO</v>
      </c>
      <c r="HJ204" s="21" t="str">
        <f t="shared" ca="1" si="871"/>
        <v>************************RIESGO POR EDAD***************</v>
      </c>
      <c r="HK204" s="21" t="str">
        <f t="shared" si="872"/>
        <v>RIESGO MODERADO (2 O MAS CRITERIOS) VER MANEJO GUIA SUMINISTRO ASA Y CALCIO</v>
      </c>
      <c r="HL204" s="24" t="str">
        <f t="shared" si="873"/>
        <v>APARENTEMENTE NORMAL</v>
      </c>
      <c r="HM204" s="21" t="e">
        <f t="shared" ca="1" si="874"/>
        <v>#REF!</v>
      </c>
      <c r="HN204" s="30" t="str">
        <f t="shared" ref="HN204:HN248" si="927">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9"/>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5"/>
        <v>12.857142857142858</v>
      </c>
      <c r="IA204" s="26"/>
      <c r="IB204" s="26"/>
      <c r="IC204" s="111"/>
      <c r="ID204" s="22"/>
      <c r="IE204" s="22" t="str">
        <f t="shared" ca="1" si="876"/>
        <v>INASISTENTE</v>
      </c>
      <c r="IF204" s="22"/>
      <c r="IG204" s="22">
        <f t="shared" si="877"/>
        <v>45310</v>
      </c>
      <c r="IH204" s="29">
        <f t="shared" ca="1" si="878"/>
        <v>78</v>
      </c>
      <c r="II204" s="22" t="str">
        <f t="shared" ca="1" si="879"/>
        <v>PENDIENTE</v>
      </c>
      <c r="IJ204" s="22"/>
      <c r="IK204" s="21"/>
      <c r="IL204" s="21"/>
      <c r="IM204" s="34"/>
      <c r="IN204" s="22"/>
      <c r="IO204" s="21"/>
      <c r="IP204" s="29" t="str">
        <f t="shared" si="880"/>
        <v/>
      </c>
      <c r="IQ204" s="35"/>
      <c r="IR204" s="21"/>
      <c r="IS204" s="21"/>
      <c r="IT204" s="21"/>
      <c r="IU204" s="21"/>
      <c r="IV204" s="21"/>
      <c r="IW204" s="21"/>
      <c r="IX204" s="21"/>
      <c r="IY204" s="21"/>
      <c r="IZ204" s="21"/>
      <c r="JA204" s="21"/>
      <c r="JB204" s="30"/>
      <c r="JC204" s="21"/>
      <c r="JD204" s="36"/>
      <c r="JE204" s="21" t="str">
        <f t="shared" si="881"/>
        <v/>
      </c>
      <c r="JF204" s="30"/>
      <c r="JG204" s="21"/>
      <c r="JH204" s="21"/>
      <c r="JI204" s="21"/>
      <c r="JJ204" s="30"/>
      <c r="JK204" s="22"/>
      <c r="JL204" s="22"/>
      <c r="JM204" s="21"/>
      <c r="JN204" s="36"/>
      <c r="JO204" s="21" t="str">
        <f t="shared" si="882"/>
        <v/>
      </c>
      <c r="JP204" s="22"/>
      <c r="JQ204" s="21"/>
      <c r="JR204" s="21"/>
      <c r="JS204" s="21"/>
      <c r="JT204" s="30"/>
      <c r="JU204" s="22"/>
      <c r="JV204" s="22"/>
      <c r="JW204" s="33"/>
      <c r="JX204" s="28" t="str">
        <f t="shared" si="883"/>
        <v/>
      </c>
      <c r="JY204" s="33"/>
      <c r="JZ204" s="28" t="str">
        <f t="shared" si="884"/>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5"/>
        <v>0</v>
      </c>
      <c r="MI204" s="43" t="str">
        <f t="shared" si="886"/>
        <v/>
      </c>
      <c r="MJ204" s="43" t="str">
        <f t="shared" si="887"/>
        <v/>
      </c>
      <c r="MK204" s="43">
        <f t="shared" si="888"/>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9"/>
        <v>12.571428571428571</v>
      </c>
      <c r="MN204" s="43">
        <f t="shared" si="890"/>
        <v>7</v>
      </c>
      <c r="MO204" s="43">
        <f t="shared" si="891"/>
        <v>2023</v>
      </c>
      <c r="MP204" s="43" t="str">
        <f t="shared" si="892"/>
        <v>III TRIMESTRE AÑO</v>
      </c>
      <c r="MQ204" s="43">
        <f t="shared" si="893"/>
        <v>43.733574244415244</v>
      </c>
      <c r="MR204" s="43">
        <f t="shared" si="894"/>
        <v>2</v>
      </c>
      <c r="MS204" s="43" t="str">
        <f t="shared" si="895"/>
        <v xml:space="preserve"> DE 40 Y MAS</v>
      </c>
      <c r="MT204" s="43">
        <f t="shared" si="896"/>
        <v>0</v>
      </c>
      <c r="MU204" s="43">
        <f t="shared" si="897"/>
        <v>0</v>
      </c>
      <c r="MV204" s="43">
        <f t="shared" si="898"/>
        <v>0</v>
      </c>
      <c r="MW204" s="43">
        <f t="shared" si="899"/>
        <v>0</v>
      </c>
      <c r="MX204" s="43" t="str">
        <f t="shared" si="900"/>
        <v/>
      </c>
      <c r="MY204" s="43" t="str">
        <f t="shared" ca="1" si="901"/>
        <v/>
      </c>
      <c r="MZ204" s="43" t="str">
        <f t="shared" si="902"/>
        <v/>
      </c>
      <c r="NA204" s="43" t="str">
        <f t="shared" si="903"/>
        <v/>
      </c>
      <c r="NB204" s="43" t="str">
        <f t="shared" si="904"/>
        <v/>
      </c>
      <c r="NC204" s="43" t="str">
        <f t="shared" si="905"/>
        <v/>
      </c>
      <c r="ND204" s="43">
        <f t="shared" ca="1" si="906"/>
        <v>2</v>
      </c>
      <c r="NE204" s="43">
        <f>IF(OR(O204&gt;0,R204&gt;0),SUM(COUNTIF(Tabla1[[#This Row],[AÑOS AL INICIO5 CPN]],"&gt;=40"),COUNTIF(AS204,"0"),COUNTIF(AR204,"SI"),COUNTIF(CC204,"SI"),COUNTIF(BQ204,"&gt;119"),COUNTIF(CI204,"&gt;=35")),"")</f>
        <v>2</v>
      </c>
      <c r="NF204" s="43" t="str">
        <f t="shared" si="907"/>
        <v/>
      </c>
      <c r="NG204" s="43">
        <f t="shared" si="908"/>
        <v>0</v>
      </c>
      <c r="NH204" s="43">
        <f t="shared" si="909"/>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10"/>
        <v>X</v>
      </c>
      <c r="NM204" s="43" t="str">
        <f t="shared" si="911"/>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12"/>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3"/>
        <v>2</v>
      </c>
      <c r="NS204" s="205">
        <f t="shared" ca="1" si="914"/>
        <v>1</v>
      </c>
      <c r="NT204" s="21">
        <f t="shared" ca="1" si="915"/>
        <v>1</v>
      </c>
      <c r="NU204" s="21" t="str">
        <f t="shared" ca="1" si="916"/>
        <v>INCOMPLETO</v>
      </c>
      <c r="NV204" s="21" t="str">
        <f t="shared" ca="1" si="917"/>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8"/>
        <v>SIN VACUNAR</v>
      </c>
      <c r="NY204" s="43">
        <f>ROW(Tabla1[[#This Row],['# DE TAMIZAJES SIFILIS TOMADOS ]])</f>
        <v>204</v>
      </c>
      <c r="NZ204" s="43">
        <f t="shared" si="740"/>
        <v>12</v>
      </c>
      <c r="OA204" s="43" t="str">
        <f t="shared" si="741"/>
        <v/>
      </c>
      <c r="OB204" s="43" t="str">
        <f t="shared" si="742"/>
        <v/>
      </c>
      <c r="OC204" s="43" t="str">
        <f t="shared" si="743"/>
        <v/>
      </c>
      <c r="OD204" s="43" t="str">
        <f t="shared" si="744"/>
        <v>NORMAL</v>
      </c>
      <c r="OE204" s="43" t="str">
        <f t="shared" si="745"/>
        <v/>
      </c>
      <c r="OF204" s="43" t="str">
        <f t="shared" si="746"/>
        <v/>
      </c>
      <c r="OG204" s="43" t="str">
        <f t="shared" si="747"/>
        <v/>
      </c>
      <c r="OH204" s="43" t="str">
        <f t="shared" si="748"/>
        <v/>
      </c>
      <c r="OI204" s="43" t="str">
        <f t="shared" si="749"/>
        <v/>
      </c>
      <c r="OJ204" s="43" t="str">
        <f t="shared" si="750"/>
        <v/>
      </c>
      <c r="OK204" s="43" t="str">
        <f t="shared" si="751"/>
        <v/>
      </c>
      <c r="OL204" s="43" t="str">
        <f t="shared" si="752"/>
        <v/>
      </c>
      <c r="OM204" s="43" t="str">
        <f t="shared" si="753"/>
        <v/>
      </c>
      <c r="ON204" s="43" t="str">
        <f t="shared" si="754"/>
        <v/>
      </c>
      <c r="OO204" s="43" t="str">
        <f t="shared" si="755"/>
        <v/>
      </c>
      <c r="OP204" s="43" t="str">
        <f t="shared" si="756"/>
        <v/>
      </c>
      <c r="OQ204" s="43" t="str">
        <f t="shared" si="757"/>
        <v/>
      </c>
      <c r="OR204" s="43" t="str">
        <f t="shared" si="758"/>
        <v/>
      </c>
      <c r="OS204" s="43" t="str">
        <f t="shared" si="759"/>
        <v/>
      </c>
      <c r="OT204" s="43" t="str">
        <f t="shared" si="760"/>
        <v/>
      </c>
      <c r="OU204" s="43" t="str">
        <f t="shared" si="761"/>
        <v/>
      </c>
      <c r="OV204" s="110" t="str">
        <f t="shared" si="762"/>
        <v/>
      </c>
      <c r="OW204" s="43" t="str">
        <f t="shared" si="763"/>
        <v/>
      </c>
      <c r="OX204" s="43" t="str">
        <f t="shared" si="764"/>
        <v/>
      </c>
      <c r="OY204" s="43" t="str">
        <f t="shared" si="765"/>
        <v/>
      </c>
      <c r="OZ204" s="43" t="str">
        <f t="shared" si="766"/>
        <v/>
      </c>
      <c r="PA204" s="43" t="str">
        <f t="shared" si="767"/>
        <v/>
      </c>
      <c r="PB204" s="43" t="str">
        <f t="shared" si="768"/>
        <v/>
      </c>
      <c r="PC204" s="43" t="str">
        <f t="shared" si="769"/>
        <v/>
      </c>
      <c r="PD204" s="43" t="str">
        <f t="shared" si="770"/>
        <v/>
      </c>
      <c r="PE204" s="43" t="str">
        <f t="shared" si="771"/>
        <v/>
      </c>
      <c r="PF204" s="43" t="str">
        <f t="shared" si="772"/>
        <v/>
      </c>
      <c r="PG204" s="43" t="str">
        <f t="shared" si="773"/>
        <v/>
      </c>
      <c r="PH204" s="43" t="str">
        <f t="shared" si="774"/>
        <v/>
      </c>
      <c r="PI204" s="43">
        <f t="shared" si="775"/>
        <v>12</v>
      </c>
      <c r="PJ204" s="43" t="str">
        <f t="shared" si="776"/>
        <v/>
      </c>
      <c r="PK204" s="43" t="str">
        <f t="shared" si="777"/>
        <v/>
      </c>
      <c r="PL204" s="43" t="str">
        <f t="shared" si="778"/>
        <v/>
      </c>
      <c r="PM204" s="43" t="str">
        <f t="shared" si="779"/>
        <v>NORMAL</v>
      </c>
      <c r="PN204" s="43" t="str">
        <f t="shared" si="780"/>
        <v/>
      </c>
      <c r="PO204" s="43" t="str">
        <f t="shared" si="781"/>
        <v/>
      </c>
      <c r="PP204" s="43" t="str">
        <f t="shared" si="782"/>
        <v/>
      </c>
      <c r="PQ204" s="43" t="str">
        <f t="shared" si="783"/>
        <v/>
      </c>
      <c r="PR204" s="43" t="str">
        <f t="shared" si="784"/>
        <v/>
      </c>
      <c r="PS204" s="43" t="str">
        <f t="shared" si="785"/>
        <v/>
      </c>
      <c r="PT204" s="43" t="str">
        <f t="shared" si="786"/>
        <v/>
      </c>
      <c r="PU204" s="43" t="str">
        <f t="shared" si="787"/>
        <v/>
      </c>
      <c r="PV204" s="43" t="str">
        <f t="shared" si="788"/>
        <v/>
      </c>
      <c r="PW204" s="43" t="str">
        <f t="shared" si="789"/>
        <v/>
      </c>
      <c r="PX204" s="43" t="str">
        <f t="shared" si="790"/>
        <v/>
      </c>
      <c r="PY204" s="43" t="str">
        <f t="shared" si="791"/>
        <v/>
      </c>
      <c r="PZ204" s="43" t="str">
        <f t="shared" si="792"/>
        <v/>
      </c>
      <c r="QA204" s="43" t="str">
        <f t="shared" si="793"/>
        <v/>
      </c>
      <c r="QB204" s="43" t="str">
        <f t="shared" si="794"/>
        <v/>
      </c>
      <c r="QC204" s="43" t="str">
        <f t="shared" si="795"/>
        <v/>
      </c>
      <c r="QD204" s="43" t="str">
        <f t="shared" si="796"/>
        <v/>
      </c>
      <c r="QE204" s="43" t="str">
        <f t="shared" si="797"/>
        <v/>
      </c>
      <c r="QF204" s="43" t="str">
        <f t="shared" si="798"/>
        <v/>
      </c>
      <c r="QG204" s="43" t="str">
        <f t="shared" si="799"/>
        <v/>
      </c>
      <c r="QH204" s="43" t="str">
        <f t="shared" si="800"/>
        <v/>
      </c>
      <c r="QI204" s="43" t="str">
        <f t="shared" si="801"/>
        <v/>
      </c>
      <c r="QJ204" s="43" t="str">
        <f t="shared" si="802"/>
        <v/>
      </c>
      <c r="QK204" s="43" t="str">
        <f t="shared" si="803"/>
        <v/>
      </c>
      <c r="QL204" s="43" t="str">
        <f t="shared" si="804"/>
        <v/>
      </c>
      <c r="QM204" s="43" t="str">
        <f t="shared" si="805"/>
        <v/>
      </c>
      <c r="QN204" s="43" t="str">
        <f t="shared" si="806"/>
        <v/>
      </c>
      <c r="QO204" s="43" t="str">
        <f t="shared" si="807"/>
        <v/>
      </c>
      <c r="QP204" s="43" t="str">
        <f t="shared" si="808"/>
        <v/>
      </c>
      <c r="QQ204" s="43" t="str">
        <f t="shared" si="809"/>
        <v/>
      </c>
      <c r="QR204" s="43" t="str">
        <f t="shared" si="839"/>
        <v>Menor</v>
      </c>
      <c r="QS204" s="43"/>
      <c r="QT204" s="21" t="str">
        <f t="shared" si="810"/>
        <v/>
      </c>
      <c r="QU204" s="21" t="str">
        <f t="shared" si="811"/>
        <v/>
      </c>
      <c r="QV204" s="21" t="str">
        <f t="shared" si="812"/>
        <v/>
      </c>
      <c r="QW204" s="21" t="str">
        <f t="shared" si="813"/>
        <v/>
      </c>
      <c r="QX204" s="21" t="str">
        <f t="shared" si="814"/>
        <v/>
      </c>
      <c r="QY204" s="21" t="str">
        <f t="shared" si="815"/>
        <v/>
      </c>
      <c r="QZ204" s="21" t="str">
        <f t="shared" si="816"/>
        <v/>
      </c>
      <c r="RA204" s="21" t="str">
        <f t="shared" si="817"/>
        <v/>
      </c>
      <c r="RB204" s="21" t="str">
        <f t="shared" si="818"/>
        <v/>
      </c>
      <c r="RC204" s="21" t="str">
        <f t="shared" si="819"/>
        <v/>
      </c>
      <c r="RD204" s="21" t="str">
        <f t="shared" si="820"/>
        <v/>
      </c>
      <c r="RE204" s="21" t="str">
        <f t="shared" si="821"/>
        <v/>
      </c>
      <c r="RF204" s="21" t="str">
        <f t="shared" si="822"/>
        <v/>
      </c>
      <c r="RG204" s="21" t="str">
        <f t="shared" si="823"/>
        <v/>
      </c>
      <c r="RH204" s="21" t="str">
        <f t="shared" si="824"/>
        <v/>
      </c>
      <c r="RI204" s="21" t="str">
        <f t="shared" si="825"/>
        <v/>
      </c>
      <c r="RJ204" s="21" t="str">
        <f t="shared" si="826"/>
        <v/>
      </c>
      <c r="RK204" s="21" t="str">
        <f t="shared" si="827"/>
        <v/>
      </c>
      <c r="RL204" s="21" t="str">
        <f t="shared" si="828"/>
        <v/>
      </c>
      <c r="RM204" s="21" t="str">
        <f t="shared" si="829"/>
        <v/>
      </c>
      <c r="RN204" s="21" t="str">
        <f t="shared" si="830"/>
        <v/>
      </c>
      <c r="RO204" s="21" t="str">
        <f t="shared" si="831"/>
        <v/>
      </c>
      <c r="RP204" s="21" t="str">
        <f t="shared" si="832"/>
        <v/>
      </c>
      <c r="RQ204" s="21" t="str">
        <f t="shared" si="833"/>
        <v/>
      </c>
      <c r="RR204" s="21" t="str">
        <f t="shared" si="834"/>
        <v/>
      </c>
      <c r="RS204" s="21" t="str">
        <f t="shared" si="835"/>
        <v/>
      </c>
      <c r="RT204" s="21" t="str">
        <f t="shared" si="836"/>
        <v/>
      </c>
      <c r="RU204" s="21" t="str">
        <f t="shared" si="837"/>
        <v/>
      </c>
      <c r="RV204" s="21">
        <f t="shared" si="838"/>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40"/>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41"/>
        <v>25.013698630136986</v>
      </c>
      <c r="O205" s="22">
        <v>44992</v>
      </c>
      <c r="P205" s="214" t="str">
        <f t="shared" si="919"/>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2"/>
        <v>12.576666666666764</v>
      </c>
      <c r="BR205" s="223">
        <f t="shared" si="843"/>
        <v>44889.3</v>
      </c>
      <c r="BS205" s="224">
        <f t="shared" si="844"/>
        <v>14.671428571428155</v>
      </c>
      <c r="BT205" s="294" t="str">
        <f t="shared" si="845"/>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7"/>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8"/>
        <v>45113</v>
      </c>
      <c r="CL205" s="21">
        <v>62.4</v>
      </c>
      <c r="CM205" s="214">
        <f t="shared" si="849"/>
        <v>28.106842034142606</v>
      </c>
      <c r="CN205" s="216">
        <f t="shared" si="850"/>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51"/>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20"/>
        <v>SALE SIN PLAN DE PARTO</v>
      </c>
      <c r="DV205" s="226" t="str">
        <f t="shared" si="921"/>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2"/>
        <v>#REF!</v>
      </c>
      <c r="DY205" s="212">
        <f>IF(R205="","",IF(R205&gt;0,MAX(Tabla1[[#This Row],[FECHA C2]:[FECHA C13]],Tabla1[[#This Row],[FECHA CONSULTA PRIMERA VEZ PROGRAMA CPN ]])))</f>
        <v>45113</v>
      </c>
      <c r="DZ205" s="216">
        <f t="shared" si="853"/>
        <v>31</v>
      </c>
      <c r="EA205" s="222">
        <f>IF(R205&gt;0,SUM(COUNTA(DF205:DQ205)+COUNTA(Tabla1[[#This Row],[FECHA CONSULTA PRIMERA VEZ PROGRAMA CPN ]])),"")</f>
        <v>3</v>
      </c>
      <c r="EB205" s="222" t="str">
        <f t="shared" si="854"/>
        <v>NO</v>
      </c>
      <c r="EC205" s="214">
        <f t="shared" si="855"/>
        <v>8</v>
      </c>
      <c r="ED205" s="227">
        <f t="shared" si="856"/>
        <v>0.375</v>
      </c>
      <c r="EE205" s="296">
        <v>44992</v>
      </c>
      <c r="EF205" s="22">
        <v>45121</v>
      </c>
      <c r="EG205" s="296">
        <v>44992</v>
      </c>
      <c r="EH205" s="22"/>
      <c r="EI205" s="296">
        <v>44992</v>
      </c>
      <c r="EJ205" s="22"/>
      <c r="EK205" s="22"/>
      <c r="EL205" s="21"/>
      <c r="EM205" s="21">
        <v>11.5</v>
      </c>
      <c r="EN205" s="22">
        <v>45066</v>
      </c>
      <c r="EO205" s="222">
        <f t="shared" si="857"/>
        <v>25.242857142856728</v>
      </c>
      <c r="EP205" s="214" t="str">
        <f t="shared" si="858"/>
        <v>NORMAL- SUMINISTRAR SULFATO FERROSO</v>
      </c>
      <c r="EQ205" s="216" t="str">
        <f t="shared" si="859"/>
        <v>II TRIM</v>
      </c>
      <c r="ER205" s="24">
        <v>11.2</v>
      </c>
      <c r="ES205" s="22">
        <v>45124</v>
      </c>
      <c r="ET205" s="29">
        <f t="shared" si="922"/>
        <v>33.528571428571013</v>
      </c>
      <c r="EU205" s="25" t="str">
        <f t="shared" si="860"/>
        <v>NORMAL- SUMINISTRAR SULFATO FERROSO</v>
      </c>
      <c r="EV205" s="24" t="s">
        <v>1510</v>
      </c>
      <c r="EW205" s="22">
        <v>45066</v>
      </c>
      <c r="EX205" s="22"/>
      <c r="EY205" s="29">
        <f t="shared" si="693"/>
        <v>25.242857142856728</v>
      </c>
      <c r="EZ205" s="25" t="str">
        <f t="shared" si="694"/>
        <v>SIN RIESGO DE ISOINMUNIZACIÓN</v>
      </c>
      <c r="FA205" s="21">
        <v>82</v>
      </c>
      <c r="FB205" s="22">
        <v>45066</v>
      </c>
      <c r="FC205" s="29" t="str">
        <f t="shared" si="861"/>
        <v>NO APLICA &gt; 23 SEM -TOMAR PTOG</v>
      </c>
      <c r="FD205" s="29">
        <v>57</v>
      </c>
      <c r="FE205" s="29">
        <v>109</v>
      </c>
      <c r="FF205" s="29">
        <v>90</v>
      </c>
      <c r="FG205" s="21" t="str">
        <f t="shared" si="862"/>
        <v>NORMAL</v>
      </c>
      <c r="FH205" s="31">
        <v>45121</v>
      </c>
      <c r="FI205" s="29">
        <f t="shared" si="863"/>
        <v>33.099999999999582</v>
      </c>
      <c r="FJ205" s="22"/>
      <c r="FK205" s="22"/>
      <c r="FL205" s="29" t="str">
        <f t="shared" si="864"/>
        <v>NO APLICA-INGRESO TARDIO</v>
      </c>
      <c r="FM205" s="22" t="s">
        <v>867</v>
      </c>
      <c r="FN205" s="32">
        <v>45066</v>
      </c>
      <c r="FO205" s="29">
        <f t="shared" si="923"/>
        <v>25.242857142856728</v>
      </c>
      <c r="FP205" s="22" t="s">
        <v>867</v>
      </c>
      <c r="FQ205" s="32">
        <v>45121</v>
      </c>
      <c r="FR205" s="29">
        <f t="shared" si="924"/>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5"/>
        <v>TOMAR EXAMEN</v>
      </c>
      <c r="FY205" s="22"/>
      <c r="FZ205" s="22"/>
      <c r="GA205" s="29" t="str">
        <f t="shared" si="739"/>
        <v>NO APLICA-INGRESO TARDIO</v>
      </c>
      <c r="GB205" s="22" t="s">
        <v>868</v>
      </c>
      <c r="GC205" s="22">
        <v>45066</v>
      </c>
      <c r="GD205" s="29">
        <f t="shared" si="925"/>
        <v>25.242857142856728</v>
      </c>
      <c r="GE205" s="22" t="s">
        <v>868</v>
      </c>
      <c r="GF205" s="22">
        <v>45121</v>
      </c>
      <c r="GG205" s="29">
        <f t="shared" si="926"/>
        <v>33.099999999999582</v>
      </c>
      <c r="GH205" s="22"/>
      <c r="GI205" s="29"/>
      <c r="GJ205" s="22"/>
      <c r="GK205" s="22"/>
      <c r="GL205" s="22"/>
      <c r="GM205" s="22"/>
      <c r="GN205" s="28" t="s">
        <v>869</v>
      </c>
      <c r="GO205" s="22">
        <v>45066</v>
      </c>
      <c r="GP205" s="29">
        <f t="shared" si="866"/>
        <v>25.242857142856728</v>
      </c>
      <c r="GQ205" s="28" t="s">
        <v>869</v>
      </c>
      <c r="GR205" s="28" t="s">
        <v>869</v>
      </c>
      <c r="GS205" s="22" t="str">
        <f t="shared" si="728"/>
        <v>CONTROL Igm</v>
      </c>
      <c r="GT205" s="22">
        <v>45066</v>
      </c>
      <c r="GU205" s="29">
        <f t="shared" si="867"/>
        <v>28.285714285714285</v>
      </c>
      <c r="GV205" s="21" t="str">
        <f t="shared" si="868"/>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9"/>
        <v>#REF!</v>
      </c>
      <c r="HI205" s="22" t="e">
        <f t="shared" si="870"/>
        <v>#REF!</v>
      </c>
      <c r="HJ205" s="21" t="str">
        <f t="shared" si="871"/>
        <v>*************************CESAREAS PREVIAS**************</v>
      </c>
      <c r="HK205" s="21" t="str">
        <f t="shared" si="872"/>
        <v>SIN ANTECEDENTES DE RIESGO</v>
      </c>
      <c r="HL205" s="24" t="str">
        <f t="shared" si="873"/>
        <v>APARENTEMENTE NORMAL</v>
      </c>
      <c r="HM205" s="21" t="e">
        <f t="shared" ca="1" si="874"/>
        <v>#REF!</v>
      </c>
      <c r="HN205" s="30" t="str">
        <f t="shared" si="927"/>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5"/>
        <v>14.671428571428155</v>
      </c>
      <c r="IA205" s="26" t="s">
        <v>864</v>
      </c>
      <c r="IB205" s="26"/>
      <c r="IC205" s="22">
        <v>45091</v>
      </c>
      <c r="ID205" s="22">
        <v>45091</v>
      </c>
      <c r="IE205" s="22" t="str">
        <f t="shared" si="876"/>
        <v>VACUNA APLICADA ENTRE SEMANA 27 Y EL PARTO</v>
      </c>
      <c r="IF205" s="22"/>
      <c r="IG205" s="22">
        <f t="shared" si="877"/>
        <v>45169.3</v>
      </c>
      <c r="IH205" s="29">
        <f t="shared" ca="1" si="878"/>
        <v>-62.69999999999709</v>
      </c>
      <c r="II205" s="22" t="str">
        <f t="shared" ca="1" si="879"/>
        <v>POSIBLEMENTE NACIO</v>
      </c>
      <c r="IJ205" s="22"/>
      <c r="IK205" s="21"/>
      <c r="IL205" s="21"/>
      <c r="IM205" s="34"/>
      <c r="IN205" s="349"/>
      <c r="IO205" s="21"/>
      <c r="IP205" s="29" t="str">
        <f t="shared" si="880"/>
        <v/>
      </c>
      <c r="IQ205" s="35"/>
      <c r="IR205" s="21"/>
      <c r="IS205" s="21"/>
      <c r="IT205" s="21"/>
      <c r="IU205" s="21"/>
      <c r="IV205" s="21"/>
      <c r="IW205" s="21"/>
      <c r="IX205" s="21"/>
      <c r="IY205" s="21"/>
      <c r="IZ205" s="21"/>
      <c r="JA205" s="21"/>
      <c r="JB205" s="30"/>
      <c r="JC205" s="21"/>
      <c r="JD205" s="36"/>
      <c r="JE205" s="21" t="str">
        <f t="shared" si="881"/>
        <v/>
      </c>
      <c r="JF205" s="30"/>
      <c r="JG205" s="21"/>
      <c r="JH205" s="21"/>
      <c r="JI205" s="21"/>
      <c r="JJ205" s="30"/>
      <c r="JK205" s="22"/>
      <c r="JL205" s="22"/>
      <c r="JM205" s="21"/>
      <c r="JN205" s="36"/>
      <c r="JO205" s="21" t="str">
        <f t="shared" si="882"/>
        <v/>
      </c>
      <c r="JP205" s="22"/>
      <c r="JQ205" s="21"/>
      <c r="JR205" s="21"/>
      <c r="JS205" s="21"/>
      <c r="JT205" s="30"/>
      <c r="JU205" s="22"/>
      <c r="JV205" s="22"/>
      <c r="JW205" s="33"/>
      <c r="JX205" s="28" t="str">
        <f t="shared" si="883"/>
        <v/>
      </c>
      <c r="JY205" s="33"/>
      <c r="JZ205" s="28" t="str">
        <f t="shared" si="884"/>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5"/>
        <v>0</v>
      </c>
      <c r="MI205" s="43" t="str">
        <f t="shared" si="886"/>
        <v/>
      </c>
      <c r="MJ205" s="43" t="str">
        <f t="shared" si="887"/>
        <v/>
      </c>
      <c r="MK205" s="43">
        <f t="shared" si="888"/>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9"/>
        <v>14.671428571428155</v>
      </c>
      <c r="MN205" s="43">
        <f t="shared" si="890"/>
        <v>3</v>
      </c>
      <c r="MO205" s="43">
        <f t="shared" si="891"/>
        <v>2023</v>
      </c>
      <c r="MP205" s="43" t="str">
        <f t="shared" si="892"/>
        <v>I TRIMESTRE AÑO</v>
      </c>
      <c r="MQ205" s="43">
        <f t="shared" si="893"/>
        <v>23.992553657468239</v>
      </c>
      <c r="MR205" s="43">
        <f t="shared" si="894"/>
        <v>0</v>
      </c>
      <c r="MS205" s="43" t="str">
        <f t="shared" si="895"/>
        <v xml:space="preserve"> DE 20 A 24 AÑOS</v>
      </c>
      <c r="MT205" s="43">
        <f t="shared" si="896"/>
        <v>0</v>
      </c>
      <c r="MU205" s="43">
        <f t="shared" si="897"/>
        <v>0</v>
      </c>
      <c r="MV205" s="43">
        <f t="shared" si="898"/>
        <v>1</v>
      </c>
      <c r="MW205" s="43">
        <f t="shared" si="899"/>
        <v>0</v>
      </c>
      <c r="MX205" s="43" t="str">
        <f t="shared" si="900"/>
        <v/>
      </c>
      <c r="MY205" s="43" t="str">
        <f t="shared" si="901"/>
        <v/>
      </c>
      <c r="MZ205" s="43" t="str">
        <f t="shared" si="902"/>
        <v/>
      </c>
      <c r="NA205" s="43" t="str">
        <f t="shared" si="903"/>
        <v/>
      </c>
      <c r="NB205" s="43" t="str">
        <f t="shared" si="904"/>
        <v/>
      </c>
      <c r="NC205" s="43" t="str">
        <f t="shared" si="905"/>
        <v/>
      </c>
      <c r="ND205" s="43">
        <f t="shared" si="906"/>
        <v>1</v>
      </c>
      <c r="NE205" s="43">
        <f>IF(OR(O205&gt;0,R205&gt;0),SUM(COUNTIF(Tabla1[[#This Row],[AÑOS AL INICIO5 CPN]],"&gt;=40"),COUNTIF(AS205,"0"),COUNTIF(AR205,"SI"),COUNTIF(CC205,"SI"),COUNTIF(BQ205,"&gt;119"),COUNTIF(CI205,"&gt;=35")),"")</f>
        <v>0</v>
      </c>
      <c r="NF205" s="43">
        <f t="shared" si="907"/>
        <v>28.814285714285298</v>
      </c>
      <c r="NG205" s="43">
        <f t="shared" si="908"/>
        <v>0</v>
      </c>
      <c r="NH205" s="43">
        <f t="shared" si="909"/>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10"/>
        <v>X</v>
      </c>
      <c r="NM205" s="43" t="str">
        <f t="shared" si="911"/>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12"/>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3"/>
        <v>REVISAR FUM O FECHA SALIDA PROGRAMA</v>
      </c>
      <c r="NS205" s="205">
        <f t="shared" si="914"/>
        <v>2</v>
      </c>
      <c r="NT205" s="21">
        <f t="shared" si="915"/>
        <v>2</v>
      </c>
      <c r="NU205" s="21" t="str">
        <f t="shared" si="916"/>
        <v>POR DEFINIR</v>
      </c>
      <c r="NV205" s="21" t="str">
        <f t="shared" si="917"/>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8"/>
        <v>VACUNADA</v>
      </c>
      <c r="NY205" s="43">
        <f>ROW(Tabla1[[#This Row],['# DE TAMIZAJES SIFILIS TOMADOS ]])</f>
        <v>205</v>
      </c>
      <c r="NZ205" s="43">
        <f t="shared" si="740"/>
        <v>14</v>
      </c>
      <c r="OA205" s="43" t="str">
        <f t="shared" si="741"/>
        <v/>
      </c>
      <c r="OB205" s="43" t="str">
        <f t="shared" si="742"/>
        <v/>
      </c>
      <c r="OC205" s="43" t="str">
        <f t="shared" si="743"/>
        <v/>
      </c>
      <c r="OD205" s="43" t="str">
        <f t="shared" si="744"/>
        <v/>
      </c>
      <c r="OE205" s="43" t="str">
        <f t="shared" si="745"/>
        <v/>
      </c>
      <c r="OF205" s="43" t="str">
        <f t="shared" si="746"/>
        <v>NORMAL</v>
      </c>
      <c r="OG205" s="43" t="str">
        <f t="shared" si="747"/>
        <v/>
      </c>
      <c r="OH205" s="43" t="str">
        <f t="shared" si="748"/>
        <v/>
      </c>
      <c r="OI205" s="43" t="str">
        <f t="shared" si="749"/>
        <v/>
      </c>
      <c r="OJ205" s="43" t="str">
        <f t="shared" si="750"/>
        <v/>
      </c>
      <c r="OK205" s="43" t="str">
        <f t="shared" si="751"/>
        <v/>
      </c>
      <c r="OL205" s="43" t="str">
        <f t="shared" si="752"/>
        <v/>
      </c>
      <c r="OM205" s="43" t="str">
        <f t="shared" si="753"/>
        <v/>
      </c>
      <c r="ON205" s="43" t="str">
        <f t="shared" si="754"/>
        <v/>
      </c>
      <c r="OO205" s="43" t="str">
        <f t="shared" si="755"/>
        <v/>
      </c>
      <c r="OP205" s="43" t="str">
        <f t="shared" si="756"/>
        <v/>
      </c>
      <c r="OQ205" s="43" t="str">
        <f t="shared" si="757"/>
        <v/>
      </c>
      <c r="OR205" s="43" t="str">
        <f t="shared" si="758"/>
        <v/>
      </c>
      <c r="OS205" s="43" t="str">
        <f t="shared" si="759"/>
        <v/>
      </c>
      <c r="OT205" s="43" t="str">
        <f t="shared" si="760"/>
        <v/>
      </c>
      <c r="OU205" s="43" t="str">
        <f t="shared" si="761"/>
        <v/>
      </c>
      <c r="OV205" s="110" t="str">
        <f t="shared" si="762"/>
        <v/>
      </c>
      <c r="OW205" s="43" t="str">
        <f t="shared" si="763"/>
        <v/>
      </c>
      <c r="OX205" s="43" t="str">
        <f t="shared" si="764"/>
        <v/>
      </c>
      <c r="OY205" s="43" t="str">
        <f t="shared" si="765"/>
        <v/>
      </c>
      <c r="OZ205" s="43" t="str">
        <f t="shared" si="766"/>
        <v/>
      </c>
      <c r="PA205" s="43" t="str">
        <f t="shared" si="767"/>
        <v/>
      </c>
      <c r="PB205" s="43" t="str">
        <f t="shared" si="768"/>
        <v/>
      </c>
      <c r="PC205" s="43" t="str">
        <f t="shared" si="769"/>
        <v/>
      </c>
      <c r="PD205" s="43" t="str">
        <f t="shared" si="770"/>
        <v/>
      </c>
      <c r="PE205" s="43" t="str">
        <f t="shared" si="771"/>
        <v/>
      </c>
      <c r="PF205" s="43" t="str">
        <f t="shared" si="772"/>
        <v/>
      </c>
      <c r="PG205" s="43" t="str">
        <f t="shared" si="773"/>
        <v/>
      </c>
      <c r="PH205" s="43" t="str">
        <f t="shared" si="774"/>
        <v/>
      </c>
      <c r="PI205" s="43">
        <f t="shared" si="775"/>
        <v>31</v>
      </c>
      <c r="PJ205" s="43" t="str">
        <f t="shared" si="776"/>
        <v/>
      </c>
      <c r="PK205" s="43" t="str">
        <f t="shared" si="777"/>
        <v/>
      </c>
      <c r="PL205" s="43" t="str">
        <f t="shared" si="778"/>
        <v/>
      </c>
      <c r="PM205" s="43" t="str">
        <f t="shared" si="779"/>
        <v/>
      </c>
      <c r="PN205" s="43" t="str">
        <f t="shared" si="780"/>
        <v/>
      </c>
      <c r="PO205" s="43" t="str">
        <f t="shared" si="781"/>
        <v/>
      </c>
      <c r="PP205" s="43" t="str">
        <f t="shared" si="782"/>
        <v/>
      </c>
      <c r="PQ205" s="43" t="str">
        <f t="shared" si="783"/>
        <v/>
      </c>
      <c r="PR205" s="43" t="str">
        <f t="shared" si="784"/>
        <v/>
      </c>
      <c r="PS205" s="43" t="str">
        <f t="shared" si="785"/>
        <v/>
      </c>
      <c r="PT205" s="43" t="str">
        <f t="shared" si="786"/>
        <v/>
      </c>
      <c r="PU205" s="43" t="str">
        <f t="shared" si="787"/>
        <v/>
      </c>
      <c r="PV205" s="43" t="str">
        <f t="shared" si="788"/>
        <v/>
      </c>
      <c r="PW205" s="43" t="str">
        <f t="shared" si="789"/>
        <v/>
      </c>
      <c r="PX205" s="43" t="str">
        <f t="shared" si="790"/>
        <v/>
      </c>
      <c r="PY205" s="43" t="str">
        <f t="shared" si="791"/>
        <v/>
      </c>
      <c r="PZ205" s="43" t="str">
        <f t="shared" si="792"/>
        <v/>
      </c>
      <c r="QA205" s="43" t="str">
        <f t="shared" si="793"/>
        <v/>
      </c>
      <c r="QB205" s="43" t="str">
        <f t="shared" si="794"/>
        <v/>
      </c>
      <c r="QC205" s="43" t="str">
        <f t="shared" si="795"/>
        <v/>
      </c>
      <c r="QD205" s="43" t="str">
        <f t="shared" si="796"/>
        <v/>
      </c>
      <c r="QE205" s="43" t="str">
        <f t="shared" si="797"/>
        <v/>
      </c>
      <c r="QF205" s="43" t="str">
        <f t="shared" si="798"/>
        <v>SOBREPESO</v>
      </c>
      <c r="QG205" s="43" t="str">
        <f t="shared" si="799"/>
        <v/>
      </c>
      <c r="QH205" s="43" t="str">
        <f t="shared" si="800"/>
        <v/>
      </c>
      <c r="QI205" s="43" t="str">
        <f t="shared" si="801"/>
        <v/>
      </c>
      <c r="QJ205" s="43" t="str">
        <f t="shared" si="802"/>
        <v/>
      </c>
      <c r="QK205" s="43" t="str">
        <f t="shared" si="803"/>
        <v/>
      </c>
      <c r="QL205" s="43" t="str">
        <f t="shared" si="804"/>
        <v/>
      </c>
      <c r="QM205" s="43" t="str">
        <f t="shared" si="805"/>
        <v/>
      </c>
      <c r="QN205" s="43" t="str">
        <f t="shared" si="806"/>
        <v/>
      </c>
      <c r="QO205" s="43" t="str">
        <f t="shared" si="807"/>
        <v/>
      </c>
      <c r="QP205" s="43" t="str">
        <f t="shared" si="808"/>
        <v/>
      </c>
      <c r="QQ205" s="43" t="str">
        <f t="shared" si="809"/>
        <v/>
      </c>
      <c r="QR205" s="43">
        <f t="shared" si="839"/>
        <v>31</v>
      </c>
      <c r="QS205" s="43"/>
      <c r="QT205" s="21" t="str">
        <f t="shared" si="810"/>
        <v/>
      </c>
      <c r="QU205" s="21" t="str">
        <f t="shared" si="811"/>
        <v/>
      </c>
      <c r="QV205" s="21" t="str">
        <f t="shared" si="812"/>
        <v/>
      </c>
      <c r="QW205" s="21" t="str">
        <f t="shared" si="813"/>
        <v/>
      </c>
      <c r="QX205" s="21" t="str">
        <f t="shared" si="814"/>
        <v/>
      </c>
      <c r="QY205" s="21" t="str">
        <f t="shared" si="815"/>
        <v/>
      </c>
      <c r="QZ205" s="21" t="str">
        <f t="shared" si="816"/>
        <v/>
      </c>
      <c r="RA205" s="21" t="str">
        <f t="shared" si="817"/>
        <v/>
      </c>
      <c r="RB205" s="21" t="str">
        <f t="shared" si="818"/>
        <v/>
      </c>
      <c r="RC205" s="21" t="str">
        <f t="shared" si="819"/>
        <v/>
      </c>
      <c r="RD205" s="21" t="str">
        <f t="shared" si="820"/>
        <v/>
      </c>
      <c r="RE205" s="21" t="str">
        <f t="shared" si="821"/>
        <v/>
      </c>
      <c r="RF205" s="21" t="str">
        <f t="shared" si="822"/>
        <v/>
      </c>
      <c r="RG205" s="21" t="str">
        <f t="shared" si="823"/>
        <v/>
      </c>
      <c r="RH205" s="21" t="str">
        <f t="shared" si="824"/>
        <v/>
      </c>
      <c r="RI205" s="21" t="str">
        <f t="shared" si="825"/>
        <v/>
      </c>
      <c r="RJ205" s="21" t="str">
        <f t="shared" si="826"/>
        <v/>
      </c>
      <c r="RK205" s="21" t="str">
        <f t="shared" si="827"/>
        <v/>
      </c>
      <c r="RL205" s="21" t="str">
        <f t="shared" si="828"/>
        <v>ALTO PARA EDAD GESTACIONAL</v>
      </c>
      <c r="RM205" s="21" t="str">
        <f t="shared" si="829"/>
        <v/>
      </c>
      <c r="RN205" s="21" t="str">
        <f t="shared" si="830"/>
        <v/>
      </c>
      <c r="RO205" s="21" t="str">
        <f t="shared" si="831"/>
        <v/>
      </c>
      <c r="RP205" s="21" t="str">
        <f t="shared" si="832"/>
        <v/>
      </c>
      <c r="RQ205" s="21" t="str">
        <f t="shared" si="833"/>
        <v/>
      </c>
      <c r="RR205" s="21" t="str">
        <f t="shared" si="834"/>
        <v/>
      </c>
      <c r="RS205" s="21" t="str">
        <f t="shared" si="835"/>
        <v/>
      </c>
      <c r="RT205" s="21" t="str">
        <f t="shared" si="836"/>
        <v/>
      </c>
      <c r="RU205" s="21" t="str">
        <f t="shared" si="837"/>
        <v/>
      </c>
      <c r="RV205" s="21">
        <f t="shared" si="838"/>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40"/>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41"/>
        <v>37.586301369863016</v>
      </c>
      <c r="O206" s="22">
        <v>45112</v>
      </c>
      <c r="P206" s="214" t="str">
        <f t="shared" si="919"/>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2"/>
        <v>55.966666666666669</v>
      </c>
      <c r="BR206" s="223">
        <f t="shared" si="843"/>
        <v>45075.5</v>
      </c>
      <c r="BS206" s="224">
        <f t="shared" si="844"/>
        <v>5.1428571428571432</v>
      </c>
      <c r="BT206" s="216" t="str">
        <f t="shared" si="845"/>
        <v>I TRIM</v>
      </c>
      <c r="BU206" s="214">
        <f t="shared" ref="BU206:BU248" ca="1" si="928">IF(AND(BO206="",BR206=""),"",IF(SUM((TODAY()-RW206)/7)&gt;43.1,"",IF(AND(RW206&gt;0,OR(BP206="si",BP206="Corregida",BP206="NO")),SUM((TODAY()-RW206)/7),"")))</f>
        <v>22.285714285714285</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7"/>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8"/>
        <v>45147</v>
      </c>
      <c r="CL206" s="21">
        <v>50</v>
      </c>
      <c r="CM206" s="214">
        <f t="shared" si="849"/>
        <v>21.928862769176792</v>
      </c>
      <c r="CN206" s="216">
        <f t="shared" si="850"/>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51"/>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20"/>
        <v>EN ESPERA</v>
      </c>
      <c r="DV206" s="226" t="str">
        <f t="shared" si="921"/>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2"/>
        <v>#REF!</v>
      </c>
      <c r="DY206" s="212">
        <f>IF(R206="","",IF(R206&gt;0,MAX(Tabla1[[#This Row],[FECHA C2]:[FECHA C13]],Tabla1[[#This Row],[FECHA CONSULTA PRIMERA VEZ PROGRAMA CPN ]])))</f>
        <v>45147</v>
      </c>
      <c r="DZ206" s="216">
        <f t="shared" si="853"/>
        <v>10</v>
      </c>
      <c r="EA206" s="222">
        <f>IF(R206&gt;0,SUM(COUNTA(DF206:DQ206)+COUNTA(Tabla1[[#This Row],[FECHA CONSULTA PRIMERA VEZ PROGRAMA CPN ]])),"")</f>
        <v>2</v>
      </c>
      <c r="EB206" s="222" t="str">
        <f t="shared" si="854"/>
        <v>NO</v>
      </c>
      <c r="EC206" s="214">
        <f t="shared" si="855"/>
        <v>10</v>
      </c>
      <c r="ED206" s="227">
        <f t="shared" si="856"/>
        <v>0.2</v>
      </c>
      <c r="EE206" s="22">
        <v>45112</v>
      </c>
      <c r="EF206" s="22">
        <v>45121</v>
      </c>
      <c r="EG206" s="22">
        <v>45112</v>
      </c>
      <c r="EH206" s="22"/>
      <c r="EI206" s="22">
        <v>45112</v>
      </c>
      <c r="EJ206" s="22"/>
      <c r="EK206" s="22"/>
      <c r="EL206" s="21"/>
      <c r="EM206" s="21">
        <v>12.6</v>
      </c>
      <c r="EN206" s="22">
        <v>45112</v>
      </c>
      <c r="EO206" s="222">
        <f t="shared" si="857"/>
        <v>5.1428571428571432</v>
      </c>
      <c r="EP206" s="214" t="str">
        <f t="shared" si="858"/>
        <v>NORMAL- SUMINISTRAR SULFATO FERROSO</v>
      </c>
      <c r="EQ206" s="216" t="str">
        <f t="shared" si="859"/>
        <v>I TRIM</v>
      </c>
      <c r="ER206" s="24"/>
      <c r="ES206" s="22"/>
      <c r="ET206" s="29" t="str">
        <f t="shared" ca="1" si="922"/>
        <v>EN ESPERA PARA TOMA EXAMEN</v>
      </c>
      <c r="EU206" s="25" t="str">
        <f t="shared" si="860"/>
        <v/>
      </c>
      <c r="EV206" s="24" t="s">
        <v>1628</v>
      </c>
      <c r="EW206" s="32">
        <v>45114</v>
      </c>
      <c r="EX206" s="22"/>
      <c r="EY206" s="29">
        <f t="shared" si="693"/>
        <v>5.4285714285714288</v>
      </c>
      <c r="EZ206" s="25" t="str">
        <f t="shared" ca="1" si="694"/>
        <v>TOMAR COOMBS INMEDIATO PARA DEFINIR MANEJO</v>
      </c>
      <c r="FA206" s="21">
        <v>77</v>
      </c>
      <c r="FB206" s="32">
        <v>45114</v>
      </c>
      <c r="FC206" s="29">
        <f t="shared" si="861"/>
        <v>5.4285714285714288</v>
      </c>
      <c r="FD206" s="29"/>
      <c r="FE206" s="29"/>
      <c r="FF206" s="29"/>
      <c r="FG206" s="21" t="str">
        <f t="shared" ca="1" si="862"/>
        <v>PROGRAMAR TOMA PTOG SIGUIENTE CONTROL</v>
      </c>
      <c r="FH206" s="31"/>
      <c r="FI206" s="29" t="str">
        <f t="shared" si="863"/>
        <v>TOMAR EXAMEN</v>
      </c>
      <c r="FJ206" s="22" t="s">
        <v>867</v>
      </c>
      <c r="FK206" s="32">
        <v>45114</v>
      </c>
      <c r="FL206" s="29">
        <f t="shared" ca="1" si="864"/>
        <v>5.4285714285714288</v>
      </c>
      <c r="FM206" s="22"/>
      <c r="FN206" s="32"/>
      <c r="FO206" s="29" t="str">
        <f t="shared" ca="1" si="923"/>
        <v>EN RANGO PARA TOMAR EXAMEN</v>
      </c>
      <c r="FP206" s="22"/>
      <c r="FQ206" s="32"/>
      <c r="FR206" s="29" t="str">
        <f t="shared" ca="1" si="924"/>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5"/>
        <v>TOMAR EXAMEN</v>
      </c>
      <c r="FY206" s="22" t="s">
        <v>868</v>
      </c>
      <c r="FZ206" s="32">
        <v>45114</v>
      </c>
      <c r="GA206" s="29">
        <f t="shared" ca="1" si="739"/>
        <v>5.4285714285714288</v>
      </c>
      <c r="GB206" s="22"/>
      <c r="GC206" s="22"/>
      <c r="GD206" s="29" t="str">
        <f t="shared" ca="1" si="925"/>
        <v>EN RANGO PARA TOMAR EXAMEN</v>
      </c>
      <c r="GE206" s="22"/>
      <c r="GF206" s="22"/>
      <c r="GG206" s="29" t="str">
        <f t="shared" ca="1" si="926"/>
        <v>EN ESPERA-ESTÁ I TRIM O II TRIM</v>
      </c>
      <c r="GH206" s="22"/>
      <c r="GI206" s="29"/>
      <c r="GJ206" s="22"/>
      <c r="GK206" s="22"/>
      <c r="GL206" s="22"/>
      <c r="GM206" s="22"/>
      <c r="GN206" s="28" t="s">
        <v>869</v>
      </c>
      <c r="GO206" s="32">
        <v>45114</v>
      </c>
      <c r="GP206" s="29">
        <f t="shared" si="866"/>
        <v>5.4285714285714288</v>
      </c>
      <c r="GQ206" s="28" t="s">
        <v>880</v>
      </c>
      <c r="GR206" s="28" t="s">
        <v>869</v>
      </c>
      <c r="GS206" s="22" t="str">
        <f t="shared" si="728"/>
        <v>SE EXCLUYE INFECCION</v>
      </c>
      <c r="GT206" s="22">
        <v>45114</v>
      </c>
      <c r="GU206" s="29">
        <f t="shared" si="867"/>
        <v>5.4285714285714288</v>
      </c>
      <c r="GV206" s="21" t="str">
        <f t="shared" si="868"/>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9"/>
        <v>#REF!</v>
      </c>
      <c r="HI206" s="22" t="e">
        <f t="shared" ca="1" si="870"/>
        <v>#REF!</v>
      </c>
      <c r="HJ206" s="21" t="str">
        <f t="shared" ca="1" si="871"/>
        <v>************************RIESGO POR EDAD***************</v>
      </c>
      <c r="HK206" s="21" t="str">
        <f t="shared" si="872"/>
        <v>SIN ANTECEDENTES DE RIESGO</v>
      </c>
      <c r="HL206" s="24" t="str">
        <f t="shared" si="873"/>
        <v>APARENTEMENTE NORMAL</v>
      </c>
      <c r="HM206" s="21" t="e">
        <f t="shared" ca="1" si="874"/>
        <v>#REF!</v>
      </c>
      <c r="HN206" s="30" t="str">
        <f t="shared" si="927"/>
        <v>ACTIVA INGRESO A CPN</v>
      </c>
      <c r="HO206" s="21"/>
      <c r="HP206" s="21"/>
      <c r="HQ206" s="349"/>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5"/>
        <v>5.1428571428571432</v>
      </c>
      <c r="IA206" s="26"/>
      <c r="IB206" s="26"/>
      <c r="IC206" s="111"/>
      <c r="ID206" s="22"/>
      <c r="IE206" s="22" t="str">
        <f t="shared" ca="1" si="876"/>
        <v>PROGRAMAR APLICACION DE VACUNA</v>
      </c>
      <c r="IF206" s="22"/>
      <c r="IG206" s="22">
        <f t="shared" si="877"/>
        <v>45356</v>
      </c>
      <c r="IH206" s="29">
        <f t="shared" ca="1" si="878"/>
        <v>124</v>
      </c>
      <c r="II206" s="22" t="str">
        <f t="shared" ca="1" si="879"/>
        <v>PENDIENTE</v>
      </c>
      <c r="IJ206" s="22"/>
      <c r="IK206" s="21"/>
      <c r="IL206" s="21"/>
      <c r="IM206" s="34"/>
      <c r="IN206" s="22"/>
      <c r="IO206" s="21"/>
      <c r="IP206" s="29" t="str">
        <f t="shared" si="880"/>
        <v/>
      </c>
      <c r="IQ206" s="35"/>
      <c r="IR206" s="21"/>
      <c r="IS206" s="21"/>
      <c r="IT206" s="21"/>
      <c r="IU206" s="21"/>
      <c r="IV206" s="21"/>
      <c r="IW206" s="21"/>
      <c r="IX206" s="21"/>
      <c r="IY206" s="21"/>
      <c r="IZ206" s="21"/>
      <c r="JA206" s="21"/>
      <c r="JB206" s="30"/>
      <c r="JC206" s="21"/>
      <c r="JD206" s="36"/>
      <c r="JE206" s="21" t="str">
        <f t="shared" si="881"/>
        <v/>
      </c>
      <c r="JF206" s="30"/>
      <c r="JG206" s="21"/>
      <c r="JH206" s="21"/>
      <c r="JI206" s="21"/>
      <c r="JJ206" s="30"/>
      <c r="JK206" s="22"/>
      <c r="JL206" s="22"/>
      <c r="JM206" s="21"/>
      <c r="JN206" s="36"/>
      <c r="JO206" s="21" t="str">
        <f t="shared" si="882"/>
        <v/>
      </c>
      <c r="JP206" s="22"/>
      <c r="JQ206" s="21"/>
      <c r="JR206" s="21"/>
      <c r="JS206" s="21"/>
      <c r="JT206" s="30"/>
      <c r="JU206" s="22"/>
      <c r="JV206" s="22"/>
      <c r="JW206" s="33"/>
      <c r="JX206" s="28" t="str">
        <f t="shared" si="883"/>
        <v/>
      </c>
      <c r="JY206" s="33"/>
      <c r="JZ206" s="28" t="str">
        <f t="shared" si="884"/>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5"/>
        <v>0</v>
      </c>
      <c r="MI206" s="43" t="str">
        <f t="shared" si="886"/>
        <v/>
      </c>
      <c r="MJ206" s="43" t="str">
        <f t="shared" si="887"/>
        <v/>
      </c>
      <c r="MK206" s="43">
        <f t="shared" si="888"/>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9"/>
        <v>5.1428571428571432</v>
      </c>
      <c r="MN206" s="43">
        <f t="shared" si="890"/>
        <v>7</v>
      </c>
      <c r="MO206" s="43">
        <f t="shared" si="891"/>
        <v>2023</v>
      </c>
      <c r="MP206" s="43" t="str">
        <f t="shared" si="892"/>
        <v>III TRIMESTRE AÑO</v>
      </c>
      <c r="MQ206" s="43">
        <f t="shared" si="893"/>
        <v>36.695137976346906</v>
      </c>
      <c r="MR206" s="43">
        <f t="shared" si="894"/>
        <v>2</v>
      </c>
      <c r="MS206" s="43" t="str">
        <f t="shared" si="895"/>
        <v xml:space="preserve"> DE 35 A 39 AÑOS</v>
      </c>
      <c r="MT206" s="43">
        <f t="shared" si="896"/>
        <v>0</v>
      </c>
      <c r="MU206" s="43">
        <f t="shared" si="897"/>
        <v>0</v>
      </c>
      <c r="MV206" s="43">
        <f t="shared" si="898"/>
        <v>0</v>
      </c>
      <c r="MW206" s="43">
        <f t="shared" si="899"/>
        <v>0</v>
      </c>
      <c r="MX206" s="43" t="str">
        <f t="shared" si="900"/>
        <v/>
      </c>
      <c r="MY206" s="43" t="str">
        <f t="shared" ca="1" si="901"/>
        <v/>
      </c>
      <c r="MZ206" s="43" t="str">
        <f t="shared" si="902"/>
        <v/>
      </c>
      <c r="NA206" s="43" t="str">
        <f t="shared" si="903"/>
        <v/>
      </c>
      <c r="NB206" s="43" t="str">
        <f t="shared" si="904"/>
        <v/>
      </c>
      <c r="NC206" s="43" t="str">
        <f t="shared" si="905"/>
        <v/>
      </c>
      <c r="ND206" s="43">
        <f t="shared" ca="1" si="906"/>
        <v>2</v>
      </c>
      <c r="NE206" s="43">
        <f>IF(OR(O206&gt;0,R206&gt;0),SUM(COUNTIF(Tabla1[[#This Row],[AÑOS AL INICIO5 CPN]],"&gt;=40"),COUNTIF(AS206,"0"),COUNTIF(AR206,"SI"),COUNTIF(CC206,"SI"),COUNTIF(BQ206,"&gt;119"),COUNTIF(CI206,"&gt;=35")),"")</f>
        <v>0</v>
      </c>
      <c r="NF206" s="43" t="str">
        <f t="shared" si="907"/>
        <v/>
      </c>
      <c r="NG206" s="43">
        <f t="shared" si="908"/>
        <v>0</v>
      </c>
      <c r="NH206" s="43">
        <f t="shared" si="909"/>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10"/>
        <v>X</v>
      </c>
      <c r="NM206" s="43" t="str">
        <f t="shared" si="911"/>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12"/>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3"/>
        <v>2</v>
      </c>
      <c r="NS206" s="205">
        <f t="shared" ca="1" si="914"/>
        <v>1</v>
      </c>
      <c r="NT206" s="21">
        <f t="shared" ca="1" si="915"/>
        <v>1</v>
      </c>
      <c r="NU206" s="21" t="str">
        <f t="shared" ca="1" si="916"/>
        <v>INCOMPLETO</v>
      </c>
      <c r="NV206" s="21" t="str">
        <f t="shared" ca="1" si="917"/>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8"/>
        <v>SIN VACUNAR</v>
      </c>
      <c r="NY206" s="43">
        <f>ROW(Tabla1[[#This Row],['# DE TAMIZAJES SIFILIS TOMADOS ]])</f>
        <v>206</v>
      </c>
      <c r="NZ206" s="43" t="str">
        <f t="shared" si="740"/>
        <v>Menor</v>
      </c>
      <c r="OA206" s="43" t="str">
        <f t="shared" si="741"/>
        <v>NORMAL</v>
      </c>
      <c r="OB206" s="43" t="str">
        <f t="shared" si="742"/>
        <v/>
      </c>
      <c r="OC206" s="43" t="str">
        <f t="shared" si="743"/>
        <v/>
      </c>
      <c r="OD206" s="43" t="str">
        <f t="shared" si="744"/>
        <v/>
      </c>
      <c r="OE206" s="43" t="str">
        <f t="shared" si="745"/>
        <v/>
      </c>
      <c r="OF206" s="43" t="str">
        <f t="shared" si="746"/>
        <v/>
      </c>
      <c r="OG206" s="43" t="str">
        <f t="shared" si="747"/>
        <v/>
      </c>
      <c r="OH206" s="43" t="str">
        <f t="shared" si="748"/>
        <v/>
      </c>
      <c r="OI206" s="43" t="str">
        <f t="shared" si="749"/>
        <v/>
      </c>
      <c r="OJ206" s="43" t="str">
        <f t="shared" si="750"/>
        <v/>
      </c>
      <c r="OK206" s="43" t="str">
        <f t="shared" si="751"/>
        <v/>
      </c>
      <c r="OL206" s="43" t="str">
        <f t="shared" si="752"/>
        <v/>
      </c>
      <c r="OM206" s="43" t="str">
        <f t="shared" si="753"/>
        <v/>
      </c>
      <c r="ON206" s="43" t="str">
        <f t="shared" si="754"/>
        <v/>
      </c>
      <c r="OO206" s="43" t="str">
        <f t="shared" si="755"/>
        <v/>
      </c>
      <c r="OP206" s="43" t="str">
        <f t="shared" si="756"/>
        <v/>
      </c>
      <c r="OQ206" s="43" t="str">
        <f t="shared" si="757"/>
        <v/>
      </c>
      <c r="OR206" s="43" t="str">
        <f t="shared" si="758"/>
        <v/>
      </c>
      <c r="OS206" s="43" t="str">
        <f t="shared" si="759"/>
        <v/>
      </c>
      <c r="OT206" s="43" t="str">
        <f t="shared" si="760"/>
        <v/>
      </c>
      <c r="OU206" s="43" t="str">
        <f t="shared" si="761"/>
        <v/>
      </c>
      <c r="OV206" s="110" t="str">
        <f t="shared" si="762"/>
        <v/>
      </c>
      <c r="OW206" s="43" t="str">
        <f t="shared" si="763"/>
        <v/>
      </c>
      <c r="OX206" s="43" t="str">
        <f t="shared" si="764"/>
        <v/>
      </c>
      <c r="OY206" s="43" t="str">
        <f t="shared" si="765"/>
        <v/>
      </c>
      <c r="OZ206" s="43" t="str">
        <f t="shared" si="766"/>
        <v/>
      </c>
      <c r="PA206" s="43" t="str">
        <f t="shared" si="767"/>
        <v/>
      </c>
      <c r="PB206" s="43" t="str">
        <f t="shared" si="768"/>
        <v/>
      </c>
      <c r="PC206" s="43" t="str">
        <f t="shared" si="769"/>
        <v/>
      </c>
      <c r="PD206" s="43" t="str">
        <f t="shared" si="770"/>
        <v/>
      </c>
      <c r="PE206" s="43" t="str">
        <f t="shared" si="771"/>
        <v/>
      </c>
      <c r="PF206" s="43" t="str">
        <f t="shared" si="772"/>
        <v/>
      </c>
      <c r="PG206" s="43" t="str">
        <f t="shared" si="773"/>
        <v/>
      </c>
      <c r="PH206" s="43" t="str">
        <f t="shared" si="774"/>
        <v/>
      </c>
      <c r="PI206" s="43">
        <f t="shared" si="775"/>
        <v>10</v>
      </c>
      <c r="PJ206" s="43" t="str">
        <f t="shared" si="776"/>
        <v/>
      </c>
      <c r="PK206" s="43" t="str">
        <f t="shared" si="777"/>
        <v>NORMAL</v>
      </c>
      <c r="PL206" s="43" t="str">
        <f t="shared" si="778"/>
        <v/>
      </c>
      <c r="PM206" s="43" t="str">
        <f t="shared" si="779"/>
        <v/>
      </c>
      <c r="PN206" s="43" t="str">
        <f t="shared" si="780"/>
        <v/>
      </c>
      <c r="PO206" s="43" t="str">
        <f t="shared" si="781"/>
        <v/>
      </c>
      <c r="PP206" s="43" t="str">
        <f t="shared" si="782"/>
        <v/>
      </c>
      <c r="PQ206" s="43" t="str">
        <f t="shared" si="783"/>
        <v/>
      </c>
      <c r="PR206" s="43" t="str">
        <f t="shared" si="784"/>
        <v/>
      </c>
      <c r="PS206" s="43" t="str">
        <f t="shared" si="785"/>
        <v/>
      </c>
      <c r="PT206" s="43" t="str">
        <f t="shared" si="786"/>
        <v/>
      </c>
      <c r="PU206" s="43" t="str">
        <f t="shared" si="787"/>
        <v/>
      </c>
      <c r="PV206" s="43" t="str">
        <f t="shared" si="788"/>
        <v/>
      </c>
      <c r="PW206" s="43" t="str">
        <f t="shared" si="789"/>
        <v/>
      </c>
      <c r="PX206" s="43" t="str">
        <f t="shared" si="790"/>
        <v/>
      </c>
      <c r="PY206" s="43" t="str">
        <f t="shared" si="791"/>
        <v/>
      </c>
      <c r="PZ206" s="43" t="str">
        <f t="shared" si="792"/>
        <v/>
      </c>
      <c r="QA206" s="43" t="str">
        <f t="shared" si="793"/>
        <v/>
      </c>
      <c r="QB206" s="43" t="str">
        <f t="shared" si="794"/>
        <v/>
      </c>
      <c r="QC206" s="43" t="str">
        <f t="shared" si="795"/>
        <v/>
      </c>
      <c r="QD206" s="43" t="str">
        <f t="shared" si="796"/>
        <v/>
      </c>
      <c r="QE206" s="43" t="str">
        <f t="shared" si="797"/>
        <v/>
      </c>
      <c r="QF206" s="43" t="str">
        <f t="shared" si="798"/>
        <v/>
      </c>
      <c r="QG206" s="43" t="str">
        <f t="shared" si="799"/>
        <v/>
      </c>
      <c r="QH206" s="43" t="str">
        <f t="shared" si="800"/>
        <v/>
      </c>
      <c r="QI206" s="43" t="str">
        <f t="shared" si="801"/>
        <v/>
      </c>
      <c r="QJ206" s="43" t="str">
        <f t="shared" si="802"/>
        <v/>
      </c>
      <c r="QK206" s="43" t="str">
        <f t="shared" si="803"/>
        <v/>
      </c>
      <c r="QL206" s="43" t="str">
        <f t="shared" si="804"/>
        <v/>
      </c>
      <c r="QM206" s="43" t="str">
        <f t="shared" si="805"/>
        <v/>
      </c>
      <c r="QN206" s="43" t="str">
        <f t="shared" si="806"/>
        <v/>
      </c>
      <c r="QO206" s="43" t="str">
        <f t="shared" si="807"/>
        <v/>
      </c>
      <c r="QP206" s="43" t="str">
        <f t="shared" si="808"/>
        <v/>
      </c>
      <c r="QQ206" s="43" t="str">
        <f t="shared" si="809"/>
        <v/>
      </c>
      <c r="QR206" s="43" t="str">
        <f t="shared" si="839"/>
        <v>Menor</v>
      </c>
      <c r="QS206" s="43"/>
      <c r="QT206" s="21" t="str">
        <f t="shared" si="810"/>
        <v/>
      </c>
      <c r="QU206" s="21" t="str">
        <f t="shared" si="811"/>
        <v/>
      </c>
      <c r="QV206" s="21" t="str">
        <f t="shared" si="812"/>
        <v/>
      </c>
      <c r="QW206" s="21" t="str">
        <f t="shared" si="813"/>
        <v/>
      </c>
      <c r="QX206" s="21" t="str">
        <f t="shared" si="814"/>
        <v/>
      </c>
      <c r="QY206" s="21" t="str">
        <f t="shared" si="815"/>
        <v/>
      </c>
      <c r="QZ206" s="21" t="str">
        <f t="shared" si="816"/>
        <v/>
      </c>
      <c r="RA206" s="21" t="str">
        <f t="shared" si="817"/>
        <v/>
      </c>
      <c r="RB206" s="21" t="str">
        <f t="shared" si="818"/>
        <v/>
      </c>
      <c r="RC206" s="21" t="str">
        <f t="shared" si="819"/>
        <v/>
      </c>
      <c r="RD206" s="21" t="str">
        <f t="shared" si="820"/>
        <v/>
      </c>
      <c r="RE206" s="21" t="str">
        <f t="shared" si="821"/>
        <v/>
      </c>
      <c r="RF206" s="21" t="str">
        <f t="shared" si="822"/>
        <v/>
      </c>
      <c r="RG206" s="21" t="str">
        <f t="shared" si="823"/>
        <v/>
      </c>
      <c r="RH206" s="21" t="str">
        <f t="shared" si="824"/>
        <v/>
      </c>
      <c r="RI206" s="21" t="str">
        <f t="shared" si="825"/>
        <v/>
      </c>
      <c r="RJ206" s="21" t="str">
        <f t="shared" si="826"/>
        <v/>
      </c>
      <c r="RK206" s="21" t="str">
        <f t="shared" si="827"/>
        <v/>
      </c>
      <c r="RL206" s="21" t="str">
        <f t="shared" si="828"/>
        <v/>
      </c>
      <c r="RM206" s="21" t="str">
        <f t="shared" si="829"/>
        <v/>
      </c>
      <c r="RN206" s="21" t="str">
        <f t="shared" si="830"/>
        <v/>
      </c>
      <c r="RO206" s="21" t="str">
        <f t="shared" si="831"/>
        <v/>
      </c>
      <c r="RP206" s="21" t="str">
        <f t="shared" si="832"/>
        <v/>
      </c>
      <c r="RQ206" s="21" t="str">
        <f t="shared" si="833"/>
        <v/>
      </c>
      <c r="RR206" s="21" t="str">
        <f t="shared" si="834"/>
        <v/>
      </c>
      <c r="RS206" s="21" t="str">
        <f t="shared" si="835"/>
        <v/>
      </c>
      <c r="RT206" s="21" t="str">
        <f t="shared" si="836"/>
        <v/>
      </c>
      <c r="RU206" s="21" t="str">
        <f t="shared" si="837"/>
        <v/>
      </c>
      <c r="RV206" s="21">
        <f t="shared" si="838"/>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40"/>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41"/>
        <v>25.254794520547946</v>
      </c>
      <c r="O207" s="22">
        <v>45115</v>
      </c>
      <c r="P207" s="214" t="str">
        <f t="shared" si="919"/>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2"/>
        <v>116.96666666666667</v>
      </c>
      <c r="BR207" s="223">
        <f t="shared" si="843"/>
        <v>45079</v>
      </c>
      <c r="BS207" s="224">
        <f t="shared" si="844"/>
        <v>5.1428571428571432</v>
      </c>
      <c r="BT207" s="216" t="str">
        <f t="shared" si="845"/>
        <v>I TRIM</v>
      </c>
      <c r="BU207" s="214">
        <f t="shared" ca="1" si="928"/>
        <v>21.857142857142858</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7"/>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8"/>
        <v>45115</v>
      </c>
      <c r="CL207" s="21">
        <v>49.2</v>
      </c>
      <c r="CM207" s="214">
        <f t="shared" si="849"/>
        <v>21.866666666666667</v>
      </c>
      <c r="CN207" s="216">
        <f t="shared" si="850"/>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51"/>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20"/>
        <v>EN ESPERA</v>
      </c>
      <c r="DV207" s="226" t="str">
        <f t="shared" si="921"/>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2"/>
        <v>#REF!</v>
      </c>
      <c r="DY207" s="212">
        <f>IF(R207="","",IF(R207&gt;0,MAX(Tabla1[[#This Row],[FECHA C2]:[FECHA C13]],Tabla1[[#This Row],[FECHA CONSULTA PRIMERA VEZ PROGRAMA CPN ]])))</f>
        <v>45115</v>
      </c>
      <c r="DZ207" s="216">
        <f t="shared" si="853"/>
        <v>5</v>
      </c>
      <c r="EA207" s="222">
        <f>IF(R207&gt;0,SUM(COUNTA(DF207:DQ207)+COUNTA(Tabla1[[#This Row],[FECHA CONSULTA PRIMERA VEZ PROGRAMA CPN ]])),"")</f>
        <v>1</v>
      </c>
      <c r="EB207" s="222" t="str">
        <f t="shared" si="854"/>
        <v>NO</v>
      </c>
      <c r="EC207" s="214">
        <f t="shared" si="855"/>
        <v>10</v>
      </c>
      <c r="ED207" s="227">
        <f t="shared" si="856"/>
        <v>0.1</v>
      </c>
      <c r="EE207" s="22">
        <v>45115</v>
      </c>
      <c r="EF207" s="22">
        <v>45121</v>
      </c>
      <c r="EG207" s="22">
        <v>45115</v>
      </c>
      <c r="EH207" s="22"/>
      <c r="EI207" s="22">
        <v>45115</v>
      </c>
      <c r="EJ207" s="22"/>
      <c r="EK207" s="22"/>
      <c r="EL207" s="21"/>
      <c r="EM207" s="21">
        <v>13.1</v>
      </c>
      <c r="EN207" s="22">
        <v>45115</v>
      </c>
      <c r="EO207" s="222">
        <f t="shared" si="857"/>
        <v>5.1428571428571432</v>
      </c>
      <c r="EP207" s="214" t="str">
        <f t="shared" si="858"/>
        <v>NORMAL- SUMINISTRAR SULFATO FERROSO</v>
      </c>
      <c r="EQ207" s="216" t="str">
        <f t="shared" si="859"/>
        <v>I TRIM</v>
      </c>
      <c r="ER207" s="24"/>
      <c r="ES207" s="22"/>
      <c r="ET207" s="29" t="str">
        <f t="shared" ca="1" si="922"/>
        <v>EN ESPERA PARA TOMA EXAMEN</v>
      </c>
      <c r="EU207" s="25" t="str">
        <f t="shared" si="860"/>
        <v/>
      </c>
      <c r="EV207" s="24" t="s">
        <v>1510</v>
      </c>
      <c r="EW207" s="32">
        <v>45115</v>
      </c>
      <c r="EX207" s="22"/>
      <c r="EY207" s="29">
        <f t="shared" si="693"/>
        <v>5.1428571428571432</v>
      </c>
      <c r="EZ207" s="25" t="str">
        <f t="shared" si="694"/>
        <v>SIN RIESGO DE ISOINMUNIZACIÓN</v>
      </c>
      <c r="FA207" s="21">
        <v>88</v>
      </c>
      <c r="FB207" s="32">
        <v>45115</v>
      </c>
      <c r="FC207" s="29">
        <f t="shared" si="861"/>
        <v>5.1428571428571432</v>
      </c>
      <c r="FD207" s="29"/>
      <c r="FE207" s="29"/>
      <c r="FF207" s="29"/>
      <c r="FG207" s="21" t="str">
        <f t="shared" ca="1" si="862"/>
        <v>PROGRAMAR TOMA PTOG SIGUIENTE CONTROL</v>
      </c>
      <c r="FH207" s="31"/>
      <c r="FI207" s="29" t="str">
        <f t="shared" si="863"/>
        <v>TOMAR EXAMEN</v>
      </c>
      <c r="FJ207" s="22" t="s">
        <v>867</v>
      </c>
      <c r="FK207" s="32">
        <v>45115</v>
      </c>
      <c r="FL207" s="29">
        <f t="shared" ca="1" si="864"/>
        <v>5.1428571428571432</v>
      </c>
      <c r="FM207" s="22"/>
      <c r="FN207" s="32"/>
      <c r="FO207" s="29" t="str">
        <f t="shared" ca="1" si="923"/>
        <v>EN RANGO PARA TOMAR EXAMEN</v>
      </c>
      <c r="FP207" s="22"/>
      <c r="FQ207" s="32"/>
      <c r="FR207" s="29" t="str">
        <f t="shared" ca="1" si="924"/>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5"/>
        <v>TOMAR EXAMEN</v>
      </c>
      <c r="FY207" s="22" t="s">
        <v>868</v>
      </c>
      <c r="FZ207" s="32">
        <v>45115</v>
      </c>
      <c r="GA207" s="29">
        <f t="shared" ca="1" si="739"/>
        <v>5.1428571428571432</v>
      </c>
      <c r="GB207" s="22"/>
      <c r="GC207" s="22"/>
      <c r="GD207" s="29" t="str">
        <f t="shared" ca="1" si="925"/>
        <v>EN RANGO PARA TOMAR EXAMEN</v>
      </c>
      <c r="GE207" s="22"/>
      <c r="GF207" s="22"/>
      <c r="GG207" s="29" t="str">
        <f t="shared" ca="1" si="926"/>
        <v>EN ESPERA-ESTÁ I TRIM O II TRIM</v>
      </c>
      <c r="GH207" s="22"/>
      <c r="GI207" s="29"/>
      <c r="GJ207" s="22"/>
      <c r="GK207" s="22"/>
      <c r="GL207" s="22"/>
      <c r="GM207" s="22"/>
      <c r="GN207" s="28" t="s">
        <v>869</v>
      </c>
      <c r="GO207" s="32">
        <v>45115</v>
      </c>
      <c r="GP207" s="29">
        <f t="shared" si="866"/>
        <v>5.1428571428571432</v>
      </c>
      <c r="GQ207" s="28" t="s">
        <v>846</v>
      </c>
      <c r="GR207" s="28" t="s">
        <v>869</v>
      </c>
      <c r="GS207" s="22" t="str">
        <f t="shared" si="728"/>
        <v/>
      </c>
      <c r="GT207" s="22">
        <v>45115</v>
      </c>
      <c r="GU207" s="29">
        <f t="shared" si="867"/>
        <v>5.5714285714285712</v>
      </c>
      <c r="GV207" s="21" t="str">
        <f t="shared" si="868"/>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9"/>
        <v>#REF!</v>
      </c>
      <c r="HI207" s="22" t="e">
        <f t="shared" si="870"/>
        <v>#REF!</v>
      </c>
      <c r="HJ207" s="21" t="e">
        <f t="shared" ca="1" si="871"/>
        <v>#REF!</v>
      </c>
      <c r="HK207" s="21" t="e">
        <f t="shared" si="872"/>
        <v>#REF!</v>
      </c>
      <c r="HL207" s="24" t="str">
        <f t="shared" si="873"/>
        <v>APARENTEMENTE NORMAL</v>
      </c>
      <c r="HM207" s="21" t="e">
        <f t="shared" ca="1" si="874"/>
        <v>#REF!</v>
      </c>
      <c r="HN207" s="30" t="str">
        <f t="shared" si="927"/>
        <v>ACTIVA INGRESO A CPN</v>
      </c>
      <c r="HO207" s="21"/>
      <c r="HP207" s="21"/>
      <c r="HQ207" s="349"/>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5"/>
        <v>5.1428571428571432</v>
      </c>
      <c r="IA207" s="26"/>
      <c r="IB207" s="26"/>
      <c r="IC207" s="111"/>
      <c r="ID207" s="22"/>
      <c r="IE207" s="22" t="e">
        <f t="shared" si="876"/>
        <v>#REF!</v>
      </c>
      <c r="IF207" s="22"/>
      <c r="IG207" s="22">
        <f t="shared" si="877"/>
        <v>45359</v>
      </c>
      <c r="IH207" s="29">
        <f t="shared" ca="1" si="878"/>
        <v>127</v>
      </c>
      <c r="II207" s="22" t="str">
        <f t="shared" ca="1" si="879"/>
        <v>PENDIENTE</v>
      </c>
      <c r="IJ207" s="22"/>
      <c r="IK207" s="21"/>
      <c r="IL207" s="21"/>
      <c r="IM207" s="34"/>
      <c r="IN207" s="22"/>
      <c r="IO207" s="21"/>
      <c r="IP207" s="29" t="str">
        <f t="shared" si="880"/>
        <v/>
      </c>
      <c r="IQ207" s="35"/>
      <c r="IR207" s="21"/>
      <c r="IS207" s="21"/>
      <c r="IT207" s="21"/>
      <c r="IU207" s="21"/>
      <c r="IV207" s="21"/>
      <c r="IW207" s="21"/>
      <c r="IX207" s="21"/>
      <c r="IY207" s="21"/>
      <c r="IZ207" s="21"/>
      <c r="JA207" s="21"/>
      <c r="JB207" s="30"/>
      <c r="JC207" s="21"/>
      <c r="JD207" s="36"/>
      <c r="JE207" s="21" t="str">
        <f t="shared" si="881"/>
        <v/>
      </c>
      <c r="JF207" s="30"/>
      <c r="JG207" s="21"/>
      <c r="JH207" s="21"/>
      <c r="JI207" s="21"/>
      <c r="JJ207" s="30"/>
      <c r="JK207" s="22"/>
      <c r="JL207" s="22"/>
      <c r="JM207" s="21"/>
      <c r="JN207" s="36"/>
      <c r="JO207" s="21" t="str">
        <f t="shared" si="882"/>
        <v/>
      </c>
      <c r="JP207" s="22"/>
      <c r="JQ207" s="21"/>
      <c r="JR207" s="21"/>
      <c r="JS207" s="21"/>
      <c r="JT207" s="30"/>
      <c r="JU207" s="22"/>
      <c r="JV207" s="22"/>
      <c r="JW207" s="33"/>
      <c r="JX207" s="28" t="str">
        <f t="shared" si="883"/>
        <v/>
      </c>
      <c r="JY207" s="33"/>
      <c r="JZ207" s="28" t="str">
        <f t="shared" si="884"/>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5"/>
        <v>0</v>
      </c>
      <c r="MI207" s="43" t="e">
        <f>IF(AND(#REF!="",#REF!=""),"",IF(AND(OR(#REF!&gt;0,#REF!&gt;0),KT207&gt;0),SUM(KT207-RW207)/7,""))</f>
        <v>#REF!</v>
      </c>
      <c r="MJ207" s="43" t="e">
        <f t="shared" si="887"/>
        <v>#REF!</v>
      </c>
      <c r="MK207" s="43">
        <f t="shared" si="888"/>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92"/>
        <v>#REF!</v>
      </c>
      <c r="MQ207" s="43" t="e">
        <f>IF(AND(#REF!&gt;0,#REF!&gt;0),DAYS360(#REF!,#REF!)/30.44/12,IF(AND(#REF!&gt;0,#REF!&gt;0,#REF!=""),DAYS360(#REF!,#REF!)/30.44/12,""))</f>
        <v>#REF!</v>
      </c>
      <c r="MR207" s="43" t="e">
        <f t="shared" si="894"/>
        <v>#REF!</v>
      </c>
      <c r="MS207" s="43" t="e">
        <f t="shared" si="895"/>
        <v>#REF!</v>
      </c>
      <c r="MT207" s="43">
        <f t="shared" si="896"/>
        <v>0</v>
      </c>
      <c r="MU207" s="43">
        <f t="shared" si="897"/>
        <v>0</v>
      </c>
      <c r="MV207" s="43">
        <f t="shared" si="898"/>
        <v>0</v>
      </c>
      <c r="MW207" s="43">
        <f t="shared" si="899"/>
        <v>0</v>
      </c>
      <c r="MX207" s="43" t="str">
        <f t="shared" si="900"/>
        <v/>
      </c>
      <c r="MY207" s="43" t="str">
        <f t="shared" ca="1" si="901"/>
        <v/>
      </c>
      <c r="MZ207" s="43" t="str">
        <f t="shared" si="902"/>
        <v/>
      </c>
      <c r="NA207" s="43" t="str">
        <f t="shared" si="903"/>
        <v/>
      </c>
      <c r="NB207" s="43" t="str">
        <f t="shared" si="904"/>
        <v/>
      </c>
      <c r="NC207" s="43" t="str">
        <f t="shared" si="905"/>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8"/>
        <v>0</v>
      </c>
      <c r="NH207" s="43">
        <f t="shared" si="909"/>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12"/>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4"/>
        <v>1</v>
      </c>
      <c r="NT207" s="21">
        <f t="shared" ca="1" si="915"/>
        <v>1</v>
      </c>
      <c r="NU207" s="21" t="e">
        <f t="shared" si="916"/>
        <v>#REF!</v>
      </c>
      <c r="NV207" s="21" t="e">
        <f t="shared" si="917"/>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40"/>
        <v>Menor</v>
      </c>
      <c r="OA207" s="43" t="str">
        <f t="shared" si="741"/>
        <v>NORMAL</v>
      </c>
      <c r="OB207" s="43" t="str">
        <f t="shared" si="742"/>
        <v/>
      </c>
      <c r="OC207" s="43" t="str">
        <f t="shared" si="743"/>
        <v/>
      </c>
      <c r="OD207" s="43" t="str">
        <f t="shared" si="744"/>
        <v/>
      </c>
      <c r="OE207" s="43" t="str">
        <f t="shared" si="745"/>
        <v/>
      </c>
      <c r="OF207" s="43" t="str">
        <f t="shared" si="746"/>
        <v/>
      </c>
      <c r="OG207" s="43" t="str">
        <f t="shared" si="747"/>
        <v/>
      </c>
      <c r="OH207" s="43" t="str">
        <f t="shared" si="748"/>
        <v/>
      </c>
      <c r="OI207" s="43" t="str">
        <f t="shared" si="749"/>
        <v/>
      </c>
      <c r="OJ207" s="43" t="str">
        <f t="shared" si="750"/>
        <v/>
      </c>
      <c r="OK207" s="43" t="str">
        <f t="shared" si="751"/>
        <v/>
      </c>
      <c r="OL207" s="43" t="str">
        <f t="shared" si="752"/>
        <v/>
      </c>
      <c r="OM207" s="43" t="str">
        <f t="shared" si="753"/>
        <v/>
      </c>
      <c r="ON207" s="43" t="str">
        <f t="shared" si="754"/>
        <v/>
      </c>
      <c r="OO207" s="43" t="str">
        <f t="shared" si="755"/>
        <v/>
      </c>
      <c r="OP207" s="43" t="str">
        <f t="shared" si="756"/>
        <v/>
      </c>
      <c r="OQ207" s="43" t="str">
        <f t="shared" si="757"/>
        <v/>
      </c>
      <c r="OR207" s="43" t="str">
        <f t="shared" si="758"/>
        <v/>
      </c>
      <c r="OS207" s="43" t="str">
        <f t="shared" si="759"/>
        <v/>
      </c>
      <c r="OT207" s="43" t="str">
        <f t="shared" si="760"/>
        <v/>
      </c>
      <c r="OU207" s="43" t="str">
        <f t="shared" si="761"/>
        <v/>
      </c>
      <c r="OV207" s="110" t="str">
        <f t="shared" si="762"/>
        <v/>
      </c>
      <c r="OW207" s="43" t="str">
        <f t="shared" si="763"/>
        <v/>
      </c>
      <c r="OX207" s="43" t="str">
        <f t="shared" si="764"/>
        <v/>
      </c>
      <c r="OY207" s="43" t="str">
        <f t="shared" si="765"/>
        <v/>
      </c>
      <c r="OZ207" s="43" t="str">
        <f t="shared" si="766"/>
        <v/>
      </c>
      <c r="PA207" s="43" t="str">
        <f t="shared" si="767"/>
        <v/>
      </c>
      <c r="PB207" s="43" t="str">
        <f t="shared" si="768"/>
        <v/>
      </c>
      <c r="PC207" s="43" t="str">
        <f t="shared" si="769"/>
        <v/>
      </c>
      <c r="PD207" s="43" t="str">
        <f t="shared" si="770"/>
        <v/>
      </c>
      <c r="PE207" s="43" t="str">
        <f t="shared" si="771"/>
        <v/>
      </c>
      <c r="PF207" s="43" t="str">
        <f t="shared" si="772"/>
        <v/>
      </c>
      <c r="PG207" s="43" t="str">
        <f t="shared" si="773"/>
        <v/>
      </c>
      <c r="PH207" s="43" t="str">
        <f t="shared" si="774"/>
        <v/>
      </c>
      <c r="PI207" s="43" t="str">
        <f t="shared" si="775"/>
        <v>Menor</v>
      </c>
      <c r="PJ207" s="43" t="str">
        <f t="shared" si="776"/>
        <v>NORMAL</v>
      </c>
      <c r="PK207" s="43" t="str">
        <f t="shared" si="777"/>
        <v/>
      </c>
      <c r="PL207" s="43" t="str">
        <f t="shared" si="778"/>
        <v/>
      </c>
      <c r="PM207" s="43" t="str">
        <f t="shared" si="779"/>
        <v/>
      </c>
      <c r="PN207" s="43" t="str">
        <f t="shared" si="780"/>
        <v/>
      </c>
      <c r="PO207" s="43" t="str">
        <f t="shared" si="781"/>
        <v/>
      </c>
      <c r="PP207" s="43" t="str">
        <f t="shared" si="782"/>
        <v/>
      </c>
      <c r="PQ207" s="43" t="str">
        <f t="shared" si="783"/>
        <v/>
      </c>
      <c r="PR207" s="43" t="str">
        <f t="shared" si="784"/>
        <v/>
      </c>
      <c r="PS207" s="43" t="str">
        <f t="shared" si="785"/>
        <v/>
      </c>
      <c r="PT207" s="43" t="str">
        <f t="shared" si="786"/>
        <v/>
      </c>
      <c r="PU207" s="43" t="str">
        <f t="shared" si="787"/>
        <v/>
      </c>
      <c r="PV207" s="43" t="str">
        <f t="shared" si="788"/>
        <v/>
      </c>
      <c r="PW207" s="43" t="str">
        <f t="shared" si="789"/>
        <v/>
      </c>
      <c r="PX207" s="43" t="str">
        <f t="shared" si="790"/>
        <v/>
      </c>
      <c r="PY207" s="43" t="str">
        <f t="shared" si="791"/>
        <v/>
      </c>
      <c r="PZ207" s="43" t="str">
        <f t="shared" si="792"/>
        <v/>
      </c>
      <c r="QA207" s="43" t="str">
        <f t="shared" si="793"/>
        <v/>
      </c>
      <c r="QB207" s="43" t="str">
        <f t="shared" si="794"/>
        <v/>
      </c>
      <c r="QC207" s="43" t="str">
        <f t="shared" si="795"/>
        <v/>
      </c>
      <c r="QD207" s="43" t="str">
        <f t="shared" si="796"/>
        <v/>
      </c>
      <c r="QE207" s="43" t="str">
        <f t="shared" si="797"/>
        <v/>
      </c>
      <c r="QF207" s="43" t="str">
        <f t="shared" si="798"/>
        <v/>
      </c>
      <c r="QG207" s="43" t="str">
        <f t="shared" si="799"/>
        <v/>
      </c>
      <c r="QH207" s="43" t="str">
        <f t="shared" si="800"/>
        <v/>
      </c>
      <c r="QI207" s="43" t="str">
        <f t="shared" si="801"/>
        <v/>
      </c>
      <c r="QJ207" s="43" t="str">
        <f t="shared" si="802"/>
        <v/>
      </c>
      <c r="QK207" s="43" t="str">
        <f t="shared" si="803"/>
        <v/>
      </c>
      <c r="QL207" s="43" t="str">
        <f t="shared" si="804"/>
        <v/>
      </c>
      <c r="QM207" s="43" t="str">
        <f t="shared" si="805"/>
        <v/>
      </c>
      <c r="QN207" s="43" t="str">
        <f t="shared" si="806"/>
        <v/>
      </c>
      <c r="QO207" s="43" t="str">
        <f t="shared" si="807"/>
        <v/>
      </c>
      <c r="QP207" s="43" t="str">
        <f t="shared" si="808"/>
        <v/>
      </c>
      <c r="QQ207" s="43" t="str">
        <f t="shared" si="809"/>
        <v/>
      </c>
      <c r="QR207" s="43" t="str">
        <f t="shared" si="839"/>
        <v>Menor</v>
      </c>
      <c r="QS207" s="43"/>
      <c r="QT207" s="21" t="str">
        <f t="shared" si="810"/>
        <v/>
      </c>
      <c r="QU207" s="21" t="str">
        <f t="shared" si="811"/>
        <v/>
      </c>
      <c r="QV207" s="21" t="str">
        <f t="shared" si="812"/>
        <v/>
      </c>
      <c r="QW207" s="21" t="str">
        <f t="shared" si="813"/>
        <v/>
      </c>
      <c r="QX207" s="21" t="str">
        <f t="shared" si="814"/>
        <v/>
      </c>
      <c r="QY207" s="21" t="str">
        <f t="shared" si="815"/>
        <v/>
      </c>
      <c r="QZ207" s="21" t="str">
        <f t="shared" si="816"/>
        <v/>
      </c>
      <c r="RA207" s="21" t="str">
        <f t="shared" si="817"/>
        <v/>
      </c>
      <c r="RB207" s="21" t="str">
        <f t="shared" si="818"/>
        <v/>
      </c>
      <c r="RC207" s="21" t="str">
        <f t="shared" si="819"/>
        <v/>
      </c>
      <c r="RD207" s="21" t="str">
        <f t="shared" si="820"/>
        <v/>
      </c>
      <c r="RE207" s="21" t="str">
        <f t="shared" si="821"/>
        <v/>
      </c>
      <c r="RF207" s="21" t="str">
        <f t="shared" si="822"/>
        <v/>
      </c>
      <c r="RG207" s="21" t="str">
        <f t="shared" si="823"/>
        <v/>
      </c>
      <c r="RH207" s="21" t="str">
        <f t="shared" si="824"/>
        <v/>
      </c>
      <c r="RI207" s="21" t="str">
        <f t="shared" si="825"/>
        <v/>
      </c>
      <c r="RJ207" s="21" t="str">
        <f t="shared" si="826"/>
        <v/>
      </c>
      <c r="RK207" s="21" t="str">
        <f t="shared" si="827"/>
        <v/>
      </c>
      <c r="RL207" s="21" t="str">
        <f t="shared" si="828"/>
        <v/>
      </c>
      <c r="RM207" s="21" t="str">
        <f t="shared" si="829"/>
        <v/>
      </c>
      <c r="RN207" s="21" t="str">
        <f t="shared" si="830"/>
        <v/>
      </c>
      <c r="RO207" s="21" t="str">
        <f t="shared" si="831"/>
        <v/>
      </c>
      <c r="RP207" s="21" t="str">
        <f t="shared" si="832"/>
        <v/>
      </c>
      <c r="RQ207" s="21" t="str">
        <f t="shared" si="833"/>
        <v/>
      </c>
      <c r="RR207" s="21" t="str">
        <f t="shared" si="834"/>
        <v/>
      </c>
      <c r="RS207" s="21" t="str">
        <f t="shared" si="835"/>
        <v/>
      </c>
      <c r="RT207" s="21" t="str">
        <f t="shared" si="836"/>
        <v/>
      </c>
      <c r="RU207" s="21" t="str">
        <f t="shared" si="837"/>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40"/>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41"/>
        <v>16.241095890410961</v>
      </c>
      <c r="O208" s="22">
        <v>45115</v>
      </c>
      <c r="P208" s="214" t="str">
        <f t="shared" si="919"/>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2"/>
        <v>0</v>
      </c>
      <c r="BR208" s="223">
        <f t="shared" si="843"/>
        <v>45071.3</v>
      </c>
      <c r="BS208" s="224">
        <f t="shared" si="844"/>
        <v>6</v>
      </c>
      <c r="BT208" s="216" t="str">
        <f t="shared" si="845"/>
        <v>I TRIM</v>
      </c>
      <c r="BU208" s="214">
        <f t="shared" ca="1" si="928"/>
        <v>22.714285714285715</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7"/>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8"/>
        <v>45146</v>
      </c>
      <c r="CL208" s="21">
        <v>42</v>
      </c>
      <c r="CM208" s="214">
        <f t="shared" si="849"/>
        <v>18.666666666666668</v>
      </c>
      <c r="CN208" s="216">
        <f t="shared" si="850"/>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51"/>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20"/>
        <v>EN ESPERA</v>
      </c>
      <c r="DV208" s="226" t="str">
        <f t="shared" si="921"/>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2"/>
        <v>#REF!</v>
      </c>
      <c r="DY208" s="212">
        <f>IF(R208="","",IF(R208&gt;0,MAX(Tabla1[[#This Row],[FECHA C2]:[FECHA C13]],Tabla1[[#This Row],[FECHA CONSULTA PRIMERA VEZ PROGRAMA CPN ]])))</f>
        <v>45146</v>
      </c>
      <c r="DZ208" s="216">
        <f t="shared" si="853"/>
        <v>10</v>
      </c>
      <c r="EA208" s="222">
        <f>IF(R208&gt;0,SUM(COUNTA(DF208:DQ208)+COUNTA(Tabla1[[#This Row],[FECHA CONSULTA PRIMERA VEZ PROGRAMA CPN ]])),"")</f>
        <v>2</v>
      </c>
      <c r="EB208" s="222" t="str">
        <f t="shared" si="854"/>
        <v>NO</v>
      </c>
      <c r="EC208" s="214">
        <f t="shared" si="855"/>
        <v>10</v>
      </c>
      <c r="ED208" s="227">
        <f t="shared" si="856"/>
        <v>0.2</v>
      </c>
      <c r="EE208" s="22">
        <v>45115</v>
      </c>
      <c r="EF208" s="22">
        <v>45121</v>
      </c>
      <c r="EG208" s="22">
        <v>45115</v>
      </c>
      <c r="EH208" s="22"/>
      <c r="EI208" s="22">
        <v>45115</v>
      </c>
      <c r="EJ208" s="22"/>
      <c r="EK208" s="22"/>
      <c r="EL208" s="21"/>
      <c r="EM208" s="21">
        <v>12.7</v>
      </c>
      <c r="EN208" s="22">
        <v>45115</v>
      </c>
      <c r="EO208" s="222">
        <f t="shared" si="857"/>
        <v>6</v>
      </c>
      <c r="EP208" s="214" t="str">
        <f t="shared" si="858"/>
        <v>NORMAL- SUMINISTRAR SULFATO FERROSO</v>
      </c>
      <c r="EQ208" s="216" t="str">
        <f t="shared" si="859"/>
        <v>I TRIM</v>
      </c>
      <c r="ER208" s="24"/>
      <c r="ES208" s="22"/>
      <c r="ET208" s="29" t="str">
        <f t="shared" ca="1" si="922"/>
        <v>EN ESPERA PARA TOMA EXAMEN</v>
      </c>
      <c r="EU208" s="25" t="str">
        <f t="shared" si="860"/>
        <v/>
      </c>
      <c r="EV208" s="24" t="s">
        <v>1510</v>
      </c>
      <c r="EW208" s="32">
        <v>45115</v>
      </c>
      <c r="EX208" s="22"/>
      <c r="EY208" s="29">
        <f t="shared" si="693"/>
        <v>6</v>
      </c>
      <c r="EZ208" s="25" t="str">
        <f t="shared" si="694"/>
        <v>SIN RIESGO DE ISOINMUNIZACIÓN</v>
      </c>
      <c r="FA208" s="21">
        <v>90</v>
      </c>
      <c r="FB208" s="32">
        <v>45115</v>
      </c>
      <c r="FC208" s="29">
        <f t="shared" si="861"/>
        <v>6</v>
      </c>
      <c r="FD208" s="29"/>
      <c r="FE208" s="29"/>
      <c r="FF208" s="29"/>
      <c r="FG208" s="21" t="str">
        <f t="shared" ca="1" si="862"/>
        <v>PROGRAMAR TOMA PTOG SIGUIENTE CONTROL</v>
      </c>
      <c r="FH208" s="31"/>
      <c r="FI208" s="29" t="str">
        <f t="shared" si="863"/>
        <v>TOMAR EXAMEN</v>
      </c>
      <c r="FJ208" s="22" t="s">
        <v>867</v>
      </c>
      <c r="FK208" s="32">
        <v>45115</v>
      </c>
      <c r="FL208" s="29">
        <f t="shared" ca="1" si="864"/>
        <v>6</v>
      </c>
      <c r="FM208" s="22"/>
      <c r="FN208" s="32"/>
      <c r="FO208" s="29" t="str">
        <f t="shared" ca="1" si="923"/>
        <v>EN RANGO PARA TOMAR EXAMEN</v>
      </c>
      <c r="FP208" s="22"/>
      <c r="FQ208" s="32"/>
      <c r="FR208" s="29" t="str">
        <f t="shared" ca="1" si="924"/>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5"/>
        <v>TOMAR EXAMEN</v>
      </c>
      <c r="FY208" s="22" t="s">
        <v>868</v>
      </c>
      <c r="FZ208" s="32">
        <v>45116</v>
      </c>
      <c r="GA208" s="29">
        <f t="shared" ca="1" si="739"/>
        <v>6.1428571428571432</v>
      </c>
      <c r="GB208" s="22"/>
      <c r="GC208" s="22"/>
      <c r="GD208" s="29" t="str">
        <f t="shared" ca="1" si="925"/>
        <v>EN RANGO PARA TOMAR EXAMEN</v>
      </c>
      <c r="GE208" s="22"/>
      <c r="GF208" s="22"/>
      <c r="GG208" s="29" t="str">
        <f t="shared" ca="1" si="926"/>
        <v>EN ESPERA-ESTÁ I TRIM O II TRIM</v>
      </c>
      <c r="GH208" s="22"/>
      <c r="GI208" s="29"/>
      <c r="GJ208" s="22"/>
      <c r="GK208" s="22"/>
      <c r="GL208" s="22"/>
      <c r="GM208" s="22"/>
      <c r="GN208" s="28" t="s">
        <v>869</v>
      </c>
      <c r="GO208" s="32">
        <v>45115</v>
      </c>
      <c r="GP208" s="29">
        <f t="shared" si="866"/>
        <v>6</v>
      </c>
      <c r="GQ208" s="28" t="s">
        <v>869</v>
      </c>
      <c r="GR208" s="28" t="s">
        <v>869</v>
      </c>
      <c r="GS208" s="22" t="str">
        <f t="shared" si="728"/>
        <v>CONTROL Igm</v>
      </c>
      <c r="GT208" s="22">
        <v>45115</v>
      </c>
      <c r="GU208" s="29">
        <f t="shared" si="867"/>
        <v>6</v>
      </c>
      <c r="GV208" s="21" t="str">
        <f t="shared" si="868"/>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9"/>
        <v>#REF!</v>
      </c>
      <c r="HI208" s="22" t="e">
        <f t="shared" ca="1" si="870"/>
        <v>#REF!</v>
      </c>
      <c r="HJ208" s="21" t="str">
        <f t="shared" ca="1" si="871"/>
        <v>**********************MULTIPARIDAD**RIESGO POR EDAD***************</v>
      </c>
      <c r="HK208" s="21" t="str">
        <f t="shared" si="872"/>
        <v>SIN ANTECEDENTES DE RIESGO</v>
      </c>
      <c r="HL208" s="24" t="str">
        <f t="shared" si="873"/>
        <v>APARENTEMENTE NORMAL</v>
      </c>
      <c r="HM208" s="21" t="e">
        <f t="shared" ca="1" si="874"/>
        <v>#REF!</v>
      </c>
      <c r="HN208" s="30" t="str">
        <f t="shared" si="927"/>
        <v>ACTIVA INGRESO A CPN</v>
      </c>
      <c r="HO208" s="21"/>
      <c r="HP208" s="21"/>
      <c r="HQ208" s="349"/>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5"/>
        <v>6</v>
      </c>
      <c r="IA208" s="26" t="s">
        <v>864</v>
      </c>
      <c r="IB208" s="26"/>
      <c r="IC208" s="111"/>
      <c r="ID208" s="22"/>
      <c r="IE208" s="22" t="str">
        <f t="shared" ca="1" si="876"/>
        <v>PROGRAMAR APLICACION DE VACUNA</v>
      </c>
      <c r="IF208" s="22"/>
      <c r="IG208" s="22">
        <f t="shared" si="877"/>
        <v>45353</v>
      </c>
      <c r="IH208" s="29">
        <f t="shared" ca="1" si="878"/>
        <v>121</v>
      </c>
      <c r="II208" s="22" t="str">
        <f t="shared" ca="1" si="879"/>
        <v>PENDIENTE</v>
      </c>
      <c r="IJ208" s="22"/>
      <c r="IK208" s="21"/>
      <c r="IL208" s="21"/>
      <c r="IM208" s="34"/>
      <c r="IN208" s="22"/>
      <c r="IO208" s="21"/>
      <c r="IP208" s="29" t="str">
        <f t="shared" si="880"/>
        <v/>
      </c>
      <c r="IQ208" s="35"/>
      <c r="IR208" s="21"/>
      <c r="IS208" s="21"/>
      <c r="IT208" s="21"/>
      <c r="IU208" s="21"/>
      <c r="IV208" s="21"/>
      <c r="IW208" s="21"/>
      <c r="IX208" s="21"/>
      <c r="IY208" s="21"/>
      <c r="IZ208" s="21"/>
      <c r="JA208" s="21"/>
      <c r="JB208" s="30"/>
      <c r="JC208" s="21"/>
      <c r="JD208" s="36"/>
      <c r="JE208" s="21" t="str">
        <f t="shared" si="881"/>
        <v/>
      </c>
      <c r="JF208" s="30"/>
      <c r="JG208" s="21"/>
      <c r="JH208" s="21"/>
      <c r="JI208" s="21"/>
      <c r="JJ208" s="30"/>
      <c r="JK208" s="22"/>
      <c r="JL208" s="22"/>
      <c r="JM208" s="21"/>
      <c r="JN208" s="36"/>
      <c r="JO208" s="21" t="str">
        <f t="shared" si="882"/>
        <v/>
      </c>
      <c r="JP208" s="22"/>
      <c r="JQ208" s="21"/>
      <c r="JR208" s="21"/>
      <c r="JS208" s="21"/>
      <c r="JT208" s="30"/>
      <c r="JU208" s="22"/>
      <c r="JV208" s="22"/>
      <c r="JW208" s="33"/>
      <c r="JX208" s="28" t="str">
        <f t="shared" si="883"/>
        <v/>
      </c>
      <c r="JY208" s="33"/>
      <c r="JZ208" s="28" t="str">
        <f t="shared" si="884"/>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5"/>
        <v>0</v>
      </c>
      <c r="MI208" s="43" t="str">
        <f t="shared" ref="MI208:MI248" si="929">IF(AND(R208="",O208=""),"",IF(AND(OR(O208&gt;0,R208&gt;0),KT208&gt;0),SUM(KT208-RW208)/7,""))</f>
        <v/>
      </c>
      <c r="MJ208" s="43" t="str">
        <f t="shared" si="887"/>
        <v/>
      </c>
      <c r="MK208" s="43">
        <f t="shared" si="888"/>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30">IF(AND(O208&gt;0,RW208&gt;0),SUM(O208-RW208)/7,"")</f>
        <v>6</v>
      </c>
      <c r="MN208" s="43">
        <f t="shared" ref="MN208:MN248" si="931">IF(R208&gt;0,MONTH(R208),"")</f>
        <v>7</v>
      </c>
      <c r="MO208" s="43">
        <f t="shared" ref="MO208:MO248" si="932">IF(R208&gt;0,YEAR(R208),"")</f>
        <v>2023</v>
      </c>
      <c r="MP208" s="43" t="str">
        <f t="shared" si="892"/>
        <v>III TRIMESTRE AÑO</v>
      </c>
      <c r="MQ208" s="43">
        <f t="shared" ref="MQ208:MQ248" si="933">IF(AND(M208&gt;0,R208&gt;0),DAYS360(M208,R208)/30.44/12,IF(AND(M208&gt;0,O208&gt;0,R208=""),DAYS360(M208,O208)/30.44/12,""))</f>
        <v>15.681121331581252</v>
      </c>
      <c r="MR208" s="43">
        <f t="shared" si="894"/>
        <v>1</v>
      </c>
      <c r="MS208" s="43" t="str">
        <f t="shared" si="895"/>
        <v>DE 14 A 19AÑOS</v>
      </c>
      <c r="MT208" s="43">
        <f t="shared" si="896"/>
        <v>0</v>
      </c>
      <c r="MU208" s="43">
        <f t="shared" si="897"/>
        <v>1</v>
      </c>
      <c r="MV208" s="43">
        <f t="shared" si="898"/>
        <v>0</v>
      </c>
      <c r="MW208" s="43">
        <f t="shared" si="899"/>
        <v>0</v>
      </c>
      <c r="MX208" s="43" t="str">
        <f t="shared" si="900"/>
        <v/>
      </c>
      <c r="MY208" s="43" t="str">
        <f t="shared" ca="1" si="901"/>
        <v/>
      </c>
      <c r="MZ208" s="43" t="str">
        <f t="shared" si="902"/>
        <v/>
      </c>
      <c r="NA208" s="43" t="str">
        <f t="shared" si="903"/>
        <v/>
      </c>
      <c r="NB208" s="43" t="str">
        <f t="shared" si="904"/>
        <v/>
      </c>
      <c r="NC208" s="43" t="str">
        <f t="shared" si="905"/>
        <v/>
      </c>
      <c r="ND208" s="43">
        <f t="shared" ref="ND208:ND248" ca="1" si="934">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5">IF(AND(R208="",O208=""),"",IF(AND(OR(O208&gt;0,R208&gt;0),RW208=""),"SD",IF(AND(OR(O208&gt;0,R208&gt;0),ID208&gt;0),SUM(ID208-RW208)/7,"")))</f>
        <v/>
      </c>
      <c r="NG208" s="43">
        <f t="shared" si="908"/>
        <v>0.5</v>
      </c>
      <c r="NH208" s="43">
        <f t="shared" si="909"/>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6">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12"/>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7">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4"/>
        <v>1</v>
      </c>
      <c r="NT208" s="21">
        <f t="shared" ca="1" si="915"/>
        <v>1</v>
      </c>
      <c r="NU208" s="21" t="str">
        <f t="shared" ca="1" si="916"/>
        <v>INCOMPLETO</v>
      </c>
      <c r="NV208" s="21" t="str">
        <f t="shared" ca="1" si="917"/>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8">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40"/>
        <v>Menor</v>
      </c>
      <c r="OA208" s="43" t="str">
        <f t="shared" si="741"/>
        <v>NORMAL</v>
      </c>
      <c r="OB208" s="43" t="str">
        <f t="shared" si="742"/>
        <v/>
      </c>
      <c r="OC208" s="43" t="str">
        <f t="shared" si="743"/>
        <v/>
      </c>
      <c r="OD208" s="43" t="str">
        <f t="shared" si="744"/>
        <v/>
      </c>
      <c r="OE208" s="43" t="str">
        <f t="shared" si="745"/>
        <v/>
      </c>
      <c r="OF208" s="43" t="str">
        <f t="shared" si="746"/>
        <v/>
      </c>
      <c r="OG208" s="43" t="str">
        <f t="shared" si="747"/>
        <v/>
      </c>
      <c r="OH208" s="43" t="str">
        <f t="shared" si="748"/>
        <v/>
      </c>
      <c r="OI208" s="43" t="str">
        <f t="shared" si="749"/>
        <v/>
      </c>
      <c r="OJ208" s="43" t="str">
        <f t="shared" si="750"/>
        <v/>
      </c>
      <c r="OK208" s="43" t="str">
        <f t="shared" si="751"/>
        <v/>
      </c>
      <c r="OL208" s="43" t="str">
        <f t="shared" si="752"/>
        <v/>
      </c>
      <c r="OM208" s="43" t="str">
        <f t="shared" si="753"/>
        <v/>
      </c>
      <c r="ON208" s="43" t="str">
        <f t="shared" si="754"/>
        <v/>
      </c>
      <c r="OO208" s="43" t="str">
        <f t="shared" si="755"/>
        <v/>
      </c>
      <c r="OP208" s="43" t="str">
        <f t="shared" si="756"/>
        <v/>
      </c>
      <c r="OQ208" s="43" t="str">
        <f t="shared" si="757"/>
        <v/>
      </c>
      <c r="OR208" s="43" t="str">
        <f t="shared" si="758"/>
        <v/>
      </c>
      <c r="OS208" s="43" t="str">
        <f t="shared" si="759"/>
        <v/>
      </c>
      <c r="OT208" s="43" t="str">
        <f t="shared" si="760"/>
        <v/>
      </c>
      <c r="OU208" s="43" t="str">
        <f t="shared" si="761"/>
        <v/>
      </c>
      <c r="OV208" s="110" t="str">
        <f t="shared" si="762"/>
        <v/>
      </c>
      <c r="OW208" s="43" t="str">
        <f t="shared" si="763"/>
        <v/>
      </c>
      <c r="OX208" s="43" t="str">
        <f t="shared" si="764"/>
        <v/>
      </c>
      <c r="OY208" s="43" t="str">
        <f t="shared" si="765"/>
        <v/>
      </c>
      <c r="OZ208" s="43" t="str">
        <f t="shared" si="766"/>
        <v/>
      </c>
      <c r="PA208" s="43" t="str">
        <f t="shared" si="767"/>
        <v/>
      </c>
      <c r="PB208" s="43" t="str">
        <f t="shared" si="768"/>
        <v/>
      </c>
      <c r="PC208" s="43" t="str">
        <f t="shared" si="769"/>
        <v/>
      </c>
      <c r="PD208" s="43" t="str">
        <f t="shared" si="770"/>
        <v/>
      </c>
      <c r="PE208" s="43" t="str">
        <f t="shared" si="771"/>
        <v/>
      </c>
      <c r="PF208" s="43" t="str">
        <f t="shared" si="772"/>
        <v/>
      </c>
      <c r="PG208" s="43" t="str">
        <f t="shared" si="773"/>
        <v/>
      </c>
      <c r="PH208" s="43" t="str">
        <f t="shared" si="774"/>
        <v/>
      </c>
      <c r="PI208" s="43">
        <f t="shared" si="775"/>
        <v>10</v>
      </c>
      <c r="PJ208" s="43" t="str">
        <f t="shared" si="776"/>
        <v/>
      </c>
      <c r="PK208" s="43" t="str">
        <f t="shared" si="777"/>
        <v>BAJO PESO</v>
      </c>
      <c r="PL208" s="43" t="str">
        <f t="shared" si="778"/>
        <v/>
      </c>
      <c r="PM208" s="43" t="str">
        <f t="shared" si="779"/>
        <v/>
      </c>
      <c r="PN208" s="43" t="str">
        <f t="shared" si="780"/>
        <v/>
      </c>
      <c r="PO208" s="43" t="str">
        <f t="shared" si="781"/>
        <v/>
      </c>
      <c r="PP208" s="43" t="str">
        <f t="shared" si="782"/>
        <v/>
      </c>
      <c r="PQ208" s="43" t="str">
        <f t="shared" si="783"/>
        <v/>
      </c>
      <c r="PR208" s="43" t="str">
        <f t="shared" si="784"/>
        <v/>
      </c>
      <c r="PS208" s="43" t="str">
        <f t="shared" si="785"/>
        <v/>
      </c>
      <c r="PT208" s="43" t="str">
        <f t="shared" si="786"/>
        <v/>
      </c>
      <c r="PU208" s="43" t="str">
        <f t="shared" si="787"/>
        <v/>
      </c>
      <c r="PV208" s="43" t="str">
        <f t="shared" si="788"/>
        <v/>
      </c>
      <c r="PW208" s="43" t="str">
        <f t="shared" si="789"/>
        <v/>
      </c>
      <c r="PX208" s="43" t="str">
        <f t="shared" si="790"/>
        <v/>
      </c>
      <c r="PY208" s="43" t="str">
        <f t="shared" si="791"/>
        <v/>
      </c>
      <c r="PZ208" s="43" t="str">
        <f t="shared" si="792"/>
        <v/>
      </c>
      <c r="QA208" s="43" t="str">
        <f t="shared" si="793"/>
        <v/>
      </c>
      <c r="QB208" s="43" t="str">
        <f t="shared" si="794"/>
        <v/>
      </c>
      <c r="QC208" s="43" t="str">
        <f t="shared" si="795"/>
        <v/>
      </c>
      <c r="QD208" s="43" t="str">
        <f t="shared" si="796"/>
        <v/>
      </c>
      <c r="QE208" s="43" t="str">
        <f t="shared" si="797"/>
        <v/>
      </c>
      <c r="QF208" s="43" t="str">
        <f t="shared" si="798"/>
        <v/>
      </c>
      <c r="QG208" s="43" t="str">
        <f t="shared" si="799"/>
        <v/>
      </c>
      <c r="QH208" s="43" t="str">
        <f t="shared" si="800"/>
        <v/>
      </c>
      <c r="QI208" s="43" t="str">
        <f t="shared" si="801"/>
        <v/>
      </c>
      <c r="QJ208" s="43" t="str">
        <f t="shared" si="802"/>
        <v/>
      </c>
      <c r="QK208" s="43" t="str">
        <f t="shared" si="803"/>
        <v/>
      </c>
      <c r="QL208" s="43" t="str">
        <f t="shared" si="804"/>
        <v/>
      </c>
      <c r="QM208" s="43" t="str">
        <f t="shared" si="805"/>
        <v/>
      </c>
      <c r="QN208" s="43" t="str">
        <f t="shared" si="806"/>
        <v/>
      </c>
      <c r="QO208" s="43" t="str">
        <f t="shared" si="807"/>
        <v/>
      </c>
      <c r="QP208" s="43" t="str">
        <f t="shared" si="808"/>
        <v/>
      </c>
      <c r="QQ208" s="43" t="str">
        <f t="shared" si="809"/>
        <v/>
      </c>
      <c r="QR208" s="43" t="str">
        <f t="shared" si="839"/>
        <v>Menor</v>
      </c>
      <c r="QS208" s="43"/>
      <c r="QT208" s="21" t="str">
        <f t="shared" si="810"/>
        <v/>
      </c>
      <c r="QU208" s="21" t="str">
        <f t="shared" si="811"/>
        <v/>
      </c>
      <c r="QV208" s="21" t="str">
        <f t="shared" si="812"/>
        <v/>
      </c>
      <c r="QW208" s="21" t="str">
        <f t="shared" si="813"/>
        <v/>
      </c>
      <c r="QX208" s="21" t="str">
        <f t="shared" si="814"/>
        <v/>
      </c>
      <c r="QY208" s="21" t="str">
        <f t="shared" si="815"/>
        <v/>
      </c>
      <c r="QZ208" s="21" t="str">
        <f t="shared" si="816"/>
        <v/>
      </c>
      <c r="RA208" s="21" t="str">
        <f t="shared" si="817"/>
        <v/>
      </c>
      <c r="RB208" s="21" t="str">
        <f t="shared" si="818"/>
        <v/>
      </c>
      <c r="RC208" s="21" t="str">
        <f t="shared" si="819"/>
        <v/>
      </c>
      <c r="RD208" s="21" t="str">
        <f t="shared" si="820"/>
        <v/>
      </c>
      <c r="RE208" s="21" t="str">
        <f t="shared" si="821"/>
        <v/>
      </c>
      <c r="RF208" s="21" t="str">
        <f t="shared" si="822"/>
        <v/>
      </c>
      <c r="RG208" s="21" t="str">
        <f t="shared" si="823"/>
        <v/>
      </c>
      <c r="RH208" s="21" t="str">
        <f t="shared" si="824"/>
        <v/>
      </c>
      <c r="RI208" s="21" t="str">
        <f t="shared" si="825"/>
        <v/>
      </c>
      <c r="RJ208" s="21" t="str">
        <f t="shared" si="826"/>
        <v/>
      </c>
      <c r="RK208" s="21" t="str">
        <f t="shared" si="827"/>
        <v/>
      </c>
      <c r="RL208" s="21" t="str">
        <f t="shared" si="828"/>
        <v/>
      </c>
      <c r="RM208" s="21" t="str">
        <f t="shared" si="829"/>
        <v/>
      </c>
      <c r="RN208" s="21" t="str">
        <f t="shared" si="830"/>
        <v/>
      </c>
      <c r="RO208" s="21" t="str">
        <f t="shared" si="831"/>
        <v/>
      </c>
      <c r="RP208" s="21" t="str">
        <f t="shared" si="832"/>
        <v/>
      </c>
      <c r="RQ208" s="21" t="str">
        <f t="shared" si="833"/>
        <v/>
      </c>
      <c r="RR208" s="21" t="str">
        <f t="shared" si="834"/>
        <v/>
      </c>
      <c r="RS208" s="21" t="str">
        <f t="shared" si="835"/>
        <v/>
      </c>
      <c r="RT208" s="21" t="str">
        <f t="shared" si="836"/>
        <v/>
      </c>
      <c r="RU208" s="21" t="str">
        <f t="shared" si="837"/>
        <v/>
      </c>
      <c r="RV208" s="21">
        <f t="shared" si="838"/>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40"/>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41"/>
        <v>18.901369863013699</v>
      </c>
      <c r="O209" s="22">
        <v>45111</v>
      </c>
      <c r="P209" s="214" t="str">
        <f t="shared" si="919"/>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2"/>
        <v>0</v>
      </c>
      <c r="BR209" s="223">
        <f t="shared" si="843"/>
        <v>45016</v>
      </c>
      <c r="BS209" s="224">
        <f t="shared" si="844"/>
        <v>13.571428571428571</v>
      </c>
      <c r="BT209" s="216" t="str">
        <f t="shared" si="845"/>
        <v>II TRIM</v>
      </c>
      <c r="BU209" s="214">
        <f t="shared" ca="1" si="928"/>
        <v>30.857142857142858</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7"/>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8"/>
        <v>45111</v>
      </c>
      <c r="CL209" s="21">
        <v>51.7</v>
      </c>
      <c r="CM209" s="214">
        <f t="shared" si="849"/>
        <v>21.799628942486088</v>
      </c>
      <c r="CN209" s="216">
        <f t="shared" si="850"/>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51"/>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20"/>
        <v>PLANEAR PLAN DE PARTO</v>
      </c>
      <c r="DV209" s="226" t="str">
        <f t="shared" si="921"/>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2"/>
        <v>#REF!</v>
      </c>
      <c r="DY209" s="212">
        <f>IF(R209="","",IF(R209&gt;0,MAX(Tabla1[[#This Row],[FECHA C2]:[FECHA C13]],Tabla1[[#This Row],[FECHA CONSULTA PRIMERA VEZ PROGRAMA CPN ]])))</f>
        <v>45111</v>
      </c>
      <c r="DZ209" s="216">
        <f t="shared" si="853"/>
        <v>13</v>
      </c>
      <c r="EA209" s="222">
        <f>IF(R209&gt;0,SUM(COUNTA(DF209:DQ209)+COUNTA(Tabla1[[#This Row],[FECHA CONSULTA PRIMERA VEZ PROGRAMA CPN ]])),"")</f>
        <v>1</v>
      </c>
      <c r="EB209" s="222" t="str">
        <f t="shared" si="854"/>
        <v>NO</v>
      </c>
      <c r="EC209" s="214">
        <f t="shared" si="855"/>
        <v>8</v>
      </c>
      <c r="ED209" s="227">
        <f t="shared" si="856"/>
        <v>0.125</v>
      </c>
      <c r="EE209" s="22">
        <v>45111</v>
      </c>
      <c r="EF209" s="22">
        <v>45111</v>
      </c>
      <c r="EG209" s="22">
        <v>45111</v>
      </c>
      <c r="EH209" s="22"/>
      <c r="EI209" s="22">
        <v>45111</v>
      </c>
      <c r="EJ209" s="22"/>
      <c r="EK209" s="22"/>
      <c r="EL209" s="21"/>
      <c r="EM209" s="21"/>
      <c r="EN209" s="22"/>
      <c r="EO209" s="222" t="str">
        <f t="shared" si="857"/>
        <v>TOMAR EXAMEN</v>
      </c>
      <c r="EP209" s="214" t="str">
        <f t="shared" si="858"/>
        <v/>
      </c>
      <c r="EQ209" s="216" t="str">
        <f t="shared" si="859"/>
        <v>POR DEFINIR</v>
      </c>
      <c r="ER209" s="24"/>
      <c r="ES209" s="22"/>
      <c r="ET209" s="29" t="str">
        <f t="shared" ca="1" si="922"/>
        <v>EN SEMANA 28 TOMA INMEDIATA DE EXAMEN</v>
      </c>
      <c r="EU209" s="25" t="str">
        <f t="shared" si="860"/>
        <v/>
      </c>
      <c r="EV209" s="24" t="s">
        <v>1510</v>
      </c>
      <c r="EW209" s="32">
        <v>45121</v>
      </c>
      <c r="EX209" s="22"/>
      <c r="EY209" s="29">
        <f t="shared" si="693"/>
        <v>15</v>
      </c>
      <c r="EZ209" s="25" t="str">
        <f t="shared" si="694"/>
        <v>SIN RIESGO DE ISOINMUNIZACIÓN</v>
      </c>
      <c r="FA209" s="21">
        <v>78</v>
      </c>
      <c r="FB209" s="32">
        <v>45121</v>
      </c>
      <c r="FC209" s="29">
        <f t="shared" si="861"/>
        <v>15</v>
      </c>
      <c r="FD209" s="29"/>
      <c r="FE209" s="29"/>
      <c r="FF209" s="29"/>
      <c r="FG209" s="21" t="str">
        <f t="shared" ca="1" si="862"/>
        <v>TOMAR PTOG</v>
      </c>
      <c r="FH209" s="31"/>
      <c r="FI209" s="29" t="str">
        <f t="shared" si="863"/>
        <v>TOMAR EXAMEN</v>
      </c>
      <c r="FJ209" s="22"/>
      <c r="FK209" s="32"/>
      <c r="FL209" s="29" t="str">
        <f t="shared" ca="1" si="864"/>
        <v>NO APLICA-INGRESO TARDIO</v>
      </c>
      <c r="FM209" s="22" t="s">
        <v>867</v>
      </c>
      <c r="FN209" s="32">
        <v>45121</v>
      </c>
      <c r="FO209" s="29">
        <f t="shared" ca="1" si="923"/>
        <v>15</v>
      </c>
      <c r="FP209" s="22"/>
      <c r="FQ209" s="32"/>
      <c r="FR209" s="29" t="str">
        <f t="shared" ca="1" si="924"/>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5"/>
        <v>TOMAR EXAMEN</v>
      </c>
      <c r="FY209" s="22"/>
      <c r="FZ209" s="32"/>
      <c r="GA209" s="29" t="str">
        <f t="shared" ca="1" si="739"/>
        <v>NO APLICA-INGRESO TARDIO</v>
      </c>
      <c r="GB209" s="22" t="s">
        <v>868</v>
      </c>
      <c r="GC209" s="32">
        <v>45117</v>
      </c>
      <c r="GD209" s="29">
        <f t="shared" ca="1" si="925"/>
        <v>14.428571428571429</v>
      </c>
      <c r="GE209" s="22"/>
      <c r="GF209" s="22"/>
      <c r="GG209" s="29" t="str">
        <f t="shared" ca="1" si="926"/>
        <v>EN RANGO PARA TOMAR EXAMEN</v>
      </c>
      <c r="GH209" s="22"/>
      <c r="GI209" s="29"/>
      <c r="GJ209" s="22"/>
      <c r="GK209" s="22"/>
      <c r="GL209" s="22"/>
      <c r="GM209" s="22"/>
      <c r="GN209" s="28" t="s">
        <v>869</v>
      </c>
      <c r="GO209" s="22">
        <v>45121</v>
      </c>
      <c r="GP209" s="29">
        <f t="shared" si="866"/>
        <v>15</v>
      </c>
      <c r="GQ209" s="28" t="s">
        <v>846</v>
      </c>
      <c r="GR209" s="28" t="s">
        <v>869</v>
      </c>
      <c r="GS209" s="22" t="str">
        <f t="shared" si="728"/>
        <v/>
      </c>
      <c r="GT209" s="22">
        <v>45121</v>
      </c>
      <c r="GU209" s="29">
        <f t="shared" si="867"/>
        <v>8.2857142857142865</v>
      </c>
      <c r="GV209" s="21" t="str">
        <f t="shared" si="868"/>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9"/>
        <v>#REF!</v>
      </c>
      <c r="HI209" s="22" t="e">
        <f t="shared" ca="1" si="870"/>
        <v>#REF!</v>
      </c>
      <c r="HJ209" s="21" t="str">
        <f t="shared" ca="1" si="871"/>
        <v>**********************MULTIPARIDAD*****************</v>
      </c>
      <c r="HK209" s="21" t="str">
        <f t="shared" si="872"/>
        <v>SIN ANTECEDENTES DE RIESGO</v>
      </c>
      <c r="HL209" s="24" t="str">
        <f t="shared" si="873"/>
        <v>APARENTEMENTE NORMAL</v>
      </c>
      <c r="HM209" s="21" t="e">
        <f t="shared" ca="1" si="874"/>
        <v>#REF!</v>
      </c>
      <c r="HN209" s="30" t="str">
        <f t="shared" si="927"/>
        <v>ACTIVA INGRESO A CPN</v>
      </c>
      <c r="HO209" s="21"/>
      <c r="HP209" s="21"/>
      <c r="HQ209" s="349"/>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5"/>
        <v>13.571428571428571</v>
      </c>
      <c r="IA209" s="26"/>
      <c r="IB209" s="26"/>
      <c r="IC209" s="111"/>
      <c r="ID209" s="22"/>
      <c r="IE209" s="22" t="str">
        <f t="shared" ca="1" si="876"/>
        <v>INASISTENTE</v>
      </c>
      <c r="IF209" s="22"/>
      <c r="IG209" s="22">
        <f t="shared" si="877"/>
        <v>45296</v>
      </c>
      <c r="IH209" s="29">
        <f t="shared" ca="1" si="878"/>
        <v>64</v>
      </c>
      <c r="II209" s="22" t="str">
        <f t="shared" ca="1" si="879"/>
        <v>PENDIENTE</v>
      </c>
      <c r="IJ209" s="22"/>
      <c r="IK209" s="21"/>
      <c r="IL209" s="21"/>
      <c r="IM209" s="34"/>
      <c r="IN209" s="22"/>
      <c r="IO209" s="21"/>
      <c r="IP209" s="29" t="str">
        <f t="shared" si="880"/>
        <v/>
      </c>
      <c r="IQ209" s="35"/>
      <c r="IR209" s="21"/>
      <c r="IS209" s="21"/>
      <c r="IT209" s="21"/>
      <c r="IU209" s="21"/>
      <c r="IV209" s="21"/>
      <c r="IW209" s="21"/>
      <c r="IX209" s="21"/>
      <c r="IY209" s="21"/>
      <c r="IZ209" s="21"/>
      <c r="JA209" s="21"/>
      <c r="JB209" s="30"/>
      <c r="JC209" s="21"/>
      <c r="JD209" s="36"/>
      <c r="JE209" s="21" t="str">
        <f t="shared" si="881"/>
        <v/>
      </c>
      <c r="JF209" s="30"/>
      <c r="JG209" s="21"/>
      <c r="JH209" s="21"/>
      <c r="JI209" s="21"/>
      <c r="JJ209" s="30"/>
      <c r="JK209" s="22"/>
      <c r="JL209" s="22"/>
      <c r="JM209" s="21"/>
      <c r="JN209" s="36"/>
      <c r="JO209" s="21" t="str">
        <f t="shared" si="882"/>
        <v/>
      </c>
      <c r="JP209" s="22"/>
      <c r="JQ209" s="21"/>
      <c r="JR209" s="21"/>
      <c r="JS209" s="21"/>
      <c r="JT209" s="30"/>
      <c r="JU209" s="22"/>
      <c r="JV209" s="22"/>
      <c r="JW209" s="33"/>
      <c r="JX209" s="28" t="str">
        <f t="shared" si="883"/>
        <v/>
      </c>
      <c r="JY209" s="33"/>
      <c r="JZ209" s="28" t="str">
        <f t="shared" si="884"/>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5"/>
        <v>0</v>
      </c>
      <c r="MI209" s="43" t="str">
        <f t="shared" si="929"/>
        <v/>
      </c>
      <c r="MJ209" s="43" t="str">
        <f t="shared" si="887"/>
        <v/>
      </c>
      <c r="MK209" s="43">
        <f t="shared" si="888"/>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30"/>
        <v>13.571428571428571</v>
      </c>
      <c r="MN209" s="43">
        <f t="shared" si="931"/>
        <v>7</v>
      </c>
      <c r="MO209" s="43">
        <f t="shared" si="932"/>
        <v>2023</v>
      </c>
      <c r="MP209" s="43" t="str">
        <f t="shared" si="892"/>
        <v>III TRIMESTRE AÑO</v>
      </c>
      <c r="MQ209" s="43">
        <f t="shared" si="933"/>
        <v>18.292816469557597</v>
      </c>
      <c r="MR209" s="43">
        <f t="shared" si="894"/>
        <v>0</v>
      </c>
      <c r="MS209" s="43" t="str">
        <f t="shared" si="895"/>
        <v>DE 14 A 19AÑOS</v>
      </c>
      <c r="MT209" s="43">
        <f t="shared" si="896"/>
        <v>0</v>
      </c>
      <c r="MU209" s="43">
        <f t="shared" si="897"/>
        <v>1</v>
      </c>
      <c r="MV209" s="43">
        <f t="shared" si="898"/>
        <v>0</v>
      </c>
      <c r="MW209" s="43">
        <f t="shared" si="899"/>
        <v>0</v>
      </c>
      <c r="MX209" s="43" t="str">
        <f t="shared" si="900"/>
        <v/>
      </c>
      <c r="MY209" s="43" t="str">
        <f t="shared" ca="1" si="901"/>
        <v/>
      </c>
      <c r="MZ209" s="43" t="str">
        <f t="shared" si="902"/>
        <v/>
      </c>
      <c r="NA209" s="43" t="str">
        <f t="shared" si="903"/>
        <v/>
      </c>
      <c r="NB209" s="43" t="str">
        <f t="shared" si="904"/>
        <v/>
      </c>
      <c r="NC209" s="43" t="str">
        <f t="shared" si="905"/>
        <v/>
      </c>
      <c r="ND209" s="43">
        <f t="shared" ca="1" si="934"/>
        <v>1.5</v>
      </c>
      <c r="NE209" s="43">
        <f>IF(OR(O209&gt;0,R209&gt;0),SUM(COUNTIF(Tabla1[[#This Row],[AÑOS AL INICIO5 CPN]],"&gt;=40"),COUNTIF(AS209,"0"),COUNTIF(AR209,"SI"),COUNTIF(CC209,"SI"),COUNTIF(BQ209,"&gt;119"),COUNTIF(CI209,"&gt;=35")),"")</f>
        <v>1</v>
      </c>
      <c r="NF209" s="43" t="str">
        <f t="shared" si="935"/>
        <v/>
      </c>
      <c r="NG209" s="43">
        <f t="shared" si="908"/>
        <v>0.5</v>
      </c>
      <c r="NH209" s="43">
        <f t="shared" si="909"/>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6"/>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12"/>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7"/>
        <v>2</v>
      </c>
      <c r="NS209" s="205">
        <f t="shared" ca="1" si="914"/>
        <v>1</v>
      </c>
      <c r="NT209" s="21">
        <f t="shared" ca="1" si="915"/>
        <v>1</v>
      </c>
      <c r="NU209" s="21" t="str">
        <f t="shared" ca="1" si="916"/>
        <v>INCOMPLETO</v>
      </c>
      <c r="NV209" s="21" t="str">
        <f t="shared" ca="1" si="917"/>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8"/>
        <v>SIN VACUNAR</v>
      </c>
      <c r="NY209" s="43">
        <f>ROW(Tabla1[[#This Row],['# DE TAMIZAJES SIFILIS TOMADOS ]])</f>
        <v>209</v>
      </c>
      <c r="NZ209" s="43">
        <f t="shared" si="740"/>
        <v>13</v>
      </c>
      <c r="OA209" s="43" t="str">
        <f t="shared" si="741"/>
        <v/>
      </c>
      <c r="OB209" s="43" t="str">
        <f t="shared" si="742"/>
        <v/>
      </c>
      <c r="OC209" s="43" t="str">
        <f t="shared" si="743"/>
        <v/>
      </c>
      <c r="OD209" s="43" t="str">
        <f t="shared" si="744"/>
        <v/>
      </c>
      <c r="OE209" s="43" t="str">
        <f t="shared" si="745"/>
        <v>NORMAL</v>
      </c>
      <c r="OF209" s="43" t="str">
        <f t="shared" si="746"/>
        <v/>
      </c>
      <c r="OG209" s="43" t="str">
        <f t="shared" si="747"/>
        <v/>
      </c>
      <c r="OH209" s="43" t="str">
        <f t="shared" si="748"/>
        <v/>
      </c>
      <c r="OI209" s="43" t="str">
        <f t="shared" si="749"/>
        <v/>
      </c>
      <c r="OJ209" s="43" t="str">
        <f t="shared" si="750"/>
        <v/>
      </c>
      <c r="OK209" s="43" t="str">
        <f t="shared" si="751"/>
        <v/>
      </c>
      <c r="OL209" s="43" t="str">
        <f t="shared" si="752"/>
        <v/>
      </c>
      <c r="OM209" s="43" t="str">
        <f t="shared" si="753"/>
        <v/>
      </c>
      <c r="ON209" s="43" t="str">
        <f t="shared" si="754"/>
        <v/>
      </c>
      <c r="OO209" s="43" t="str">
        <f t="shared" si="755"/>
        <v/>
      </c>
      <c r="OP209" s="43" t="str">
        <f t="shared" si="756"/>
        <v/>
      </c>
      <c r="OQ209" s="43" t="str">
        <f t="shared" si="757"/>
        <v/>
      </c>
      <c r="OR209" s="43" t="str">
        <f t="shared" si="758"/>
        <v/>
      </c>
      <c r="OS209" s="43" t="str">
        <f t="shared" si="759"/>
        <v/>
      </c>
      <c r="OT209" s="43" t="str">
        <f t="shared" si="760"/>
        <v/>
      </c>
      <c r="OU209" s="43" t="str">
        <f t="shared" si="761"/>
        <v/>
      </c>
      <c r="OV209" s="110" t="str">
        <f t="shared" si="762"/>
        <v/>
      </c>
      <c r="OW209" s="43" t="str">
        <f t="shared" si="763"/>
        <v/>
      </c>
      <c r="OX209" s="43" t="str">
        <f t="shared" si="764"/>
        <v/>
      </c>
      <c r="OY209" s="43" t="str">
        <f t="shared" si="765"/>
        <v/>
      </c>
      <c r="OZ209" s="43" t="str">
        <f t="shared" si="766"/>
        <v/>
      </c>
      <c r="PA209" s="43" t="str">
        <f t="shared" si="767"/>
        <v/>
      </c>
      <c r="PB209" s="43" t="str">
        <f t="shared" si="768"/>
        <v/>
      </c>
      <c r="PC209" s="43" t="str">
        <f t="shared" si="769"/>
        <v/>
      </c>
      <c r="PD209" s="43" t="str">
        <f t="shared" si="770"/>
        <v/>
      </c>
      <c r="PE209" s="43" t="str">
        <f t="shared" si="771"/>
        <v/>
      </c>
      <c r="PF209" s="43" t="str">
        <f t="shared" si="772"/>
        <v/>
      </c>
      <c r="PG209" s="43" t="str">
        <f t="shared" si="773"/>
        <v/>
      </c>
      <c r="PH209" s="43" t="str">
        <f t="shared" si="774"/>
        <v/>
      </c>
      <c r="PI209" s="43">
        <f t="shared" si="775"/>
        <v>13</v>
      </c>
      <c r="PJ209" s="43" t="str">
        <f t="shared" si="776"/>
        <v/>
      </c>
      <c r="PK209" s="43" t="str">
        <f t="shared" si="777"/>
        <v/>
      </c>
      <c r="PL209" s="43" t="str">
        <f t="shared" si="778"/>
        <v/>
      </c>
      <c r="PM209" s="43" t="str">
        <f t="shared" si="779"/>
        <v/>
      </c>
      <c r="PN209" s="43" t="str">
        <f t="shared" si="780"/>
        <v>NORMAL</v>
      </c>
      <c r="PO209" s="43" t="str">
        <f t="shared" si="781"/>
        <v/>
      </c>
      <c r="PP209" s="43" t="str">
        <f t="shared" si="782"/>
        <v/>
      </c>
      <c r="PQ209" s="43" t="str">
        <f t="shared" si="783"/>
        <v/>
      </c>
      <c r="PR209" s="43" t="str">
        <f t="shared" si="784"/>
        <v/>
      </c>
      <c r="PS209" s="43" t="str">
        <f t="shared" si="785"/>
        <v/>
      </c>
      <c r="PT209" s="43" t="str">
        <f t="shared" si="786"/>
        <v/>
      </c>
      <c r="PU209" s="43" t="str">
        <f t="shared" si="787"/>
        <v/>
      </c>
      <c r="PV209" s="43" t="str">
        <f t="shared" si="788"/>
        <v/>
      </c>
      <c r="PW209" s="43" t="str">
        <f t="shared" si="789"/>
        <v/>
      </c>
      <c r="PX209" s="43" t="str">
        <f t="shared" si="790"/>
        <v/>
      </c>
      <c r="PY209" s="43" t="str">
        <f t="shared" si="791"/>
        <v/>
      </c>
      <c r="PZ209" s="43" t="str">
        <f t="shared" si="792"/>
        <v/>
      </c>
      <c r="QA209" s="43" t="str">
        <f t="shared" si="793"/>
        <v/>
      </c>
      <c r="QB209" s="43" t="str">
        <f t="shared" si="794"/>
        <v/>
      </c>
      <c r="QC209" s="43" t="str">
        <f t="shared" si="795"/>
        <v/>
      </c>
      <c r="QD209" s="43" t="str">
        <f t="shared" si="796"/>
        <v/>
      </c>
      <c r="QE209" s="43" t="str">
        <f t="shared" si="797"/>
        <v/>
      </c>
      <c r="QF209" s="43" t="str">
        <f t="shared" si="798"/>
        <v/>
      </c>
      <c r="QG209" s="43" t="str">
        <f t="shared" si="799"/>
        <v/>
      </c>
      <c r="QH209" s="43" t="str">
        <f t="shared" si="800"/>
        <v/>
      </c>
      <c r="QI209" s="43" t="str">
        <f t="shared" si="801"/>
        <v/>
      </c>
      <c r="QJ209" s="43" t="str">
        <f t="shared" si="802"/>
        <v/>
      </c>
      <c r="QK209" s="43" t="str">
        <f t="shared" si="803"/>
        <v/>
      </c>
      <c r="QL209" s="43" t="str">
        <f t="shared" si="804"/>
        <v/>
      </c>
      <c r="QM209" s="43" t="str">
        <f t="shared" si="805"/>
        <v/>
      </c>
      <c r="QN209" s="43" t="str">
        <f t="shared" si="806"/>
        <v/>
      </c>
      <c r="QO209" s="43" t="str">
        <f t="shared" si="807"/>
        <v/>
      </c>
      <c r="QP209" s="43" t="str">
        <f t="shared" si="808"/>
        <v/>
      </c>
      <c r="QQ209" s="43" t="str">
        <f t="shared" si="809"/>
        <v/>
      </c>
      <c r="QR209" s="43">
        <f t="shared" si="839"/>
        <v>13</v>
      </c>
      <c r="QS209" s="43"/>
      <c r="QT209" s="21" t="str">
        <f t="shared" si="810"/>
        <v/>
      </c>
      <c r="QU209" s="21" t="str">
        <f t="shared" si="811"/>
        <v/>
      </c>
      <c r="QV209" s="21" t="str">
        <f t="shared" si="812"/>
        <v/>
      </c>
      <c r="QW209" s="21" t="str">
        <f t="shared" si="813"/>
        <v/>
      </c>
      <c r="QX209" s="21" t="str">
        <f t="shared" si="814"/>
        <v/>
      </c>
      <c r="QY209" s="21" t="str">
        <f t="shared" si="815"/>
        <v/>
      </c>
      <c r="QZ209" s="21" t="str">
        <f t="shared" si="816"/>
        <v/>
      </c>
      <c r="RA209" s="21" t="str">
        <f t="shared" si="817"/>
        <v/>
      </c>
      <c r="RB209" s="21" t="str">
        <f t="shared" si="818"/>
        <v/>
      </c>
      <c r="RC209" s="21" t="str">
        <f t="shared" si="819"/>
        <v/>
      </c>
      <c r="RD209" s="21" t="str">
        <f t="shared" si="820"/>
        <v/>
      </c>
      <c r="RE209" s="21" t="str">
        <f t="shared" si="821"/>
        <v/>
      </c>
      <c r="RF209" s="21" t="str">
        <f t="shared" si="822"/>
        <v/>
      </c>
      <c r="RG209" s="21" t="str">
        <f t="shared" si="823"/>
        <v/>
      </c>
      <c r="RH209" s="21" t="str">
        <f t="shared" si="824"/>
        <v/>
      </c>
      <c r="RI209" s="21" t="str">
        <f t="shared" si="825"/>
        <v/>
      </c>
      <c r="RJ209" s="21" t="str">
        <f t="shared" si="826"/>
        <v/>
      </c>
      <c r="RK209" s="21" t="str">
        <f t="shared" si="827"/>
        <v/>
      </c>
      <c r="RL209" s="21" t="str">
        <f t="shared" si="828"/>
        <v/>
      </c>
      <c r="RM209" s="21" t="str">
        <f t="shared" si="829"/>
        <v/>
      </c>
      <c r="RN209" s="21" t="str">
        <f t="shared" si="830"/>
        <v/>
      </c>
      <c r="RO209" s="21" t="str">
        <f t="shared" si="831"/>
        <v/>
      </c>
      <c r="RP209" s="21" t="str">
        <f t="shared" si="832"/>
        <v/>
      </c>
      <c r="RQ209" s="21" t="str">
        <f t="shared" si="833"/>
        <v/>
      </c>
      <c r="RR209" s="21" t="str">
        <f t="shared" si="834"/>
        <v/>
      </c>
      <c r="RS209" s="21" t="str">
        <f t="shared" si="835"/>
        <v/>
      </c>
      <c r="RT209" s="21" t="str">
        <f t="shared" si="836"/>
        <v/>
      </c>
      <c r="RU209" s="21" t="str">
        <f t="shared" si="837"/>
        <v/>
      </c>
      <c r="RV209" s="21">
        <f t="shared" si="838"/>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40"/>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41"/>
        <v>24.293150684931508</v>
      </c>
      <c r="O210" s="22">
        <v>45113</v>
      </c>
      <c r="P210" s="214" t="str">
        <f t="shared" si="919"/>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2"/>
        <v>0</v>
      </c>
      <c r="BR210" s="223">
        <f t="shared" si="843"/>
        <v>44942.5</v>
      </c>
      <c r="BS210" s="224">
        <f t="shared" si="844"/>
        <v>24.357142857142858</v>
      </c>
      <c r="BT210" s="216" t="str">
        <f t="shared" si="845"/>
        <v>II TRIM</v>
      </c>
      <c r="BU210" s="214">
        <f t="shared" ca="1" si="928"/>
        <v>41.357142857142854</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7"/>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8"/>
        <v>45113</v>
      </c>
      <c r="CL210" s="21">
        <v>63</v>
      </c>
      <c r="CM210" s="214">
        <f t="shared" si="849"/>
        <v>27.268005540166204</v>
      </c>
      <c r="CN210" s="216">
        <f t="shared" si="850"/>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51"/>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20"/>
        <v>CONCERTAR PLAN DE PARTO INMEDIATO</v>
      </c>
      <c r="DV210" s="226" t="str">
        <f t="shared" si="921"/>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2"/>
        <v>#REF!</v>
      </c>
      <c r="DY210" s="212">
        <f>IF(R210="","",IF(R210&gt;0,MAX(Tabla1[[#This Row],[FECHA C2]:[FECHA C13]],Tabla1[[#This Row],[FECHA CONSULTA PRIMERA VEZ PROGRAMA CPN ]])))</f>
        <v>45113</v>
      </c>
      <c r="DZ210" s="216">
        <f t="shared" si="853"/>
        <v>24</v>
      </c>
      <c r="EA210" s="222">
        <f>IF(R210&gt;0,SUM(COUNTA(DF210:DQ210)+COUNTA(Tabla1[[#This Row],[FECHA CONSULTA PRIMERA VEZ PROGRAMA CPN ]])),"")</f>
        <v>1</v>
      </c>
      <c r="EB210" s="222" t="str">
        <f t="shared" si="854"/>
        <v>NO</v>
      </c>
      <c r="EC210" s="214">
        <f t="shared" si="855"/>
        <v>5</v>
      </c>
      <c r="ED210" s="227">
        <f t="shared" si="856"/>
        <v>0.2</v>
      </c>
      <c r="EE210" s="22">
        <v>45113</v>
      </c>
      <c r="EF210" s="22">
        <v>45113</v>
      </c>
      <c r="EG210" s="22">
        <v>45113</v>
      </c>
      <c r="EH210" s="22"/>
      <c r="EI210" s="22">
        <v>45113</v>
      </c>
      <c r="EJ210" s="22"/>
      <c r="EK210" s="22"/>
      <c r="EL210" s="21"/>
      <c r="EM210" s="21">
        <v>12.5</v>
      </c>
      <c r="EN210" s="22">
        <v>45115</v>
      </c>
      <c r="EO210" s="222">
        <f t="shared" si="857"/>
        <v>24.642857142857142</v>
      </c>
      <c r="EP210" s="214" t="str">
        <f t="shared" si="858"/>
        <v>NORMAL- SUMINISTRAR SULFATO FERROSO</v>
      </c>
      <c r="EQ210" s="216" t="str">
        <f t="shared" si="859"/>
        <v>II TRIM</v>
      </c>
      <c r="ER210" s="24"/>
      <c r="ES210" s="22"/>
      <c r="ET210" s="29" t="str">
        <f t="shared" ca="1" si="922"/>
        <v>TOMA DE HEMOGLOBINA TARDÍA</v>
      </c>
      <c r="EU210" s="25" t="str">
        <f t="shared" si="860"/>
        <v/>
      </c>
      <c r="EV210" s="24" t="s">
        <v>1510</v>
      </c>
      <c r="EW210" s="22">
        <v>45115</v>
      </c>
      <c r="EX210" s="22"/>
      <c r="EY210" s="29">
        <f t="shared" si="693"/>
        <v>24.642857142857142</v>
      </c>
      <c r="EZ210" s="25" t="str">
        <f t="shared" si="694"/>
        <v>SIN RIESGO DE ISOINMUNIZACIÓN</v>
      </c>
      <c r="FA210" s="21">
        <v>69</v>
      </c>
      <c r="FB210" s="22">
        <v>45115</v>
      </c>
      <c r="FC210" s="29" t="str">
        <f t="shared" si="861"/>
        <v>NO APLICA &gt; 23 SEM -TOMAR PTOG</v>
      </c>
      <c r="FD210" s="29"/>
      <c r="FE210" s="29"/>
      <c r="FF210" s="29"/>
      <c r="FG210" s="21" t="str">
        <f t="shared" ca="1" si="862"/>
        <v>TOMAR PTOG</v>
      </c>
      <c r="FH210" s="31"/>
      <c r="FI210" s="29" t="str">
        <f t="shared" si="863"/>
        <v>TOMAR EXAMEN</v>
      </c>
      <c r="FJ210" s="22"/>
      <c r="FK210" s="22"/>
      <c r="FL210" s="29" t="str">
        <f t="shared" ca="1" si="864"/>
        <v>NO APLICA-INGRESO TARDIO</v>
      </c>
      <c r="FM210" s="22" t="s">
        <v>867</v>
      </c>
      <c r="FN210" s="22">
        <v>45115</v>
      </c>
      <c r="FO210" s="29">
        <f t="shared" ca="1" si="923"/>
        <v>24.642857142857142</v>
      </c>
      <c r="FP210" s="22"/>
      <c r="FQ210" s="32"/>
      <c r="FR210" s="29" t="str">
        <f t="shared" ca="1" si="924"/>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5"/>
        <v>TOMAR EXAMEN</v>
      </c>
      <c r="FY210" s="22"/>
      <c r="FZ210" s="290"/>
      <c r="GA210" s="29" t="str">
        <f t="shared" ca="1" si="739"/>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6"/>
        <v>TOMA INMEDIATA DE TAMIZAJE</v>
      </c>
      <c r="GH210" s="22"/>
      <c r="GI210" s="29"/>
      <c r="GJ210" s="22"/>
      <c r="GK210" s="22"/>
      <c r="GL210" s="22"/>
      <c r="GM210" s="22"/>
      <c r="GN210" s="28" t="s">
        <v>869</v>
      </c>
      <c r="GO210" s="22">
        <v>45115</v>
      </c>
      <c r="GP210" s="29">
        <f t="shared" si="866"/>
        <v>24.642857142857142</v>
      </c>
      <c r="GQ210" s="28" t="s">
        <v>880</v>
      </c>
      <c r="GR210" s="28" t="s">
        <v>869</v>
      </c>
      <c r="GS210" s="22" t="str">
        <f t="shared" si="728"/>
        <v>SE EXCLUYE INFECCION</v>
      </c>
      <c r="GT210" s="22">
        <v>45115</v>
      </c>
      <c r="GU210" s="29">
        <f t="shared" si="867"/>
        <v>25.857142857142858</v>
      </c>
      <c r="GV210" s="21" t="str">
        <f t="shared" si="868"/>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9"/>
        <v>#REF!</v>
      </c>
      <c r="HI210" s="22" t="e">
        <f t="shared" ca="1" si="870"/>
        <v>#REF!</v>
      </c>
      <c r="HJ210" s="21" t="str">
        <f t="shared" ca="1" si="871"/>
        <v>***************************EMBARAZO PROLONGADO************</v>
      </c>
      <c r="HK210" s="21" t="str">
        <f t="shared" si="872"/>
        <v>SIN ANTECEDENTES DE RIESGO</v>
      </c>
      <c r="HL210" s="24" t="str">
        <f t="shared" si="873"/>
        <v>APARENTEMENTE NORMAL</v>
      </c>
      <c r="HM210" s="21" t="e">
        <f t="shared" ca="1" si="874"/>
        <v>#REF!</v>
      </c>
      <c r="HN210" s="30" t="str">
        <f t="shared" si="927"/>
        <v>ACTIVA INGRESO A CPN</v>
      </c>
      <c r="HO210" s="21"/>
      <c r="HP210" s="21"/>
      <c r="HQ210" s="349"/>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5"/>
        <v>24.357142857142858</v>
      </c>
      <c r="IA210" s="26"/>
      <c r="IB210" s="26"/>
      <c r="IC210" s="22">
        <v>45121</v>
      </c>
      <c r="ID210" s="22">
        <v>45121</v>
      </c>
      <c r="IE210" s="22" t="str">
        <f t="shared" ca="1" si="876"/>
        <v>VACUNA APLICADA ENTRE SEMANA 20 Y SEMANA 26</v>
      </c>
      <c r="IF210" s="22"/>
      <c r="IG210" s="22">
        <f t="shared" si="877"/>
        <v>45222.5</v>
      </c>
      <c r="IH210" s="29">
        <f t="shared" ca="1" si="878"/>
        <v>-9.5</v>
      </c>
      <c r="II210" s="22" t="str">
        <f t="shared" ca="1" si="879"/>
        <v>POSIBLEMENTE NACIO</v>
      </c>
      <c r="IJ210" s="22"/>
      <c r="IK210" s="21"/>
      <c r="IL210" s="21"/>
      <c r="IM210" s="34"/>
      <c r="IN210" s="22"/>
      <c r="IO210" s="21"/>
      <c r="IP210" s="29" t="str">
        <f t="shared" si="880"/>
        <v/>
      </c>
      <c r="IQ210" s="35"/>
      <c r="IR210" s="21"/>
      <c r="IS210" s="21"/>
      <c r="IT210" s="21"/>
      <c r="IU210" s="21"/>
      <c r="IV210" s="21"/>
      <c r="IW210" s="21"/>
      <c r="IX210" s="21"/>
      <c r="IY210" s="21"/>
      <c r="IZ210" s="21"/>
      <c r="JA210" s="21"/>
      <c r="JB210" s="30"/>
      <c r="JC210" s="21"/>
      <c r="JD210" s="36"/>
      <c r="JE210" s="21" t="str">
        <f t="shared" si="881"/>
        <v/>
      </c>
      <c r="JF210" s="30"/>
      <c r="JG210" s="21"/>
      <c r="JH210" s="21"/>
      <c r="JI210" s="21"/>
      <c r="JJ210" s="30"/>
      <c r="JK210" s="22"/>
      <c r="JL210" s="22"/>
      <c r="JM210" s="21"/>
      <c r="JN210" s="36"/>
      <c r="JO210" s="21" t="str">
        <f t="shared" si="882"/>
        <v/>
      </c>
      <c r="JP210" s="22"/>
      <c r="JQ210" s="21"/>
      <c r="JR210" s="21"/>
      <c r="JS210" s="21"/>
      <c r="JT210" s="30"/>
      <c r="JU210" s="22"/>
      <c r="JV210" s="22"/>
      <c r="JW210" s="33"/>
      <c r="JX210" s="28" t="str">
        <f t="shared" si="883"/>
        <v/>
      </c>
      <c r="JY210" s="33"/>
      <c r="JZ210" s="28" t="str">
        <f t="shared" si="884"/>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5"/>
        <v>0</v>
      </c>
      <c r="MI210" s="43" t="str">
        <f t="shared" si="929"/>
        <v/>
      </c>
      <c r="MJ210" s="43" t="str">
        <f t="shared" si="887"/>
        <v/>
      </c>
      <c r="MK210" s="43">
        <f t="shared" si="888"/>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30"/>
        <v>24.357142857142858</v>
      </c>
      <c r="MN210" s="43">
        <f t="shared" si="931"/>
        <v>7</v>
      </c>
      <c r="MO210" s="43">
        <f t="shared" si="932"/>
        <v>2023</v>
      </c>
      <c r="MP210" s="43" t="str">
        <f t="shared" si="892"/>
        <v>III TRIMESTRE AÑO</v>
      </c>
      <c r="MQ210" s="43">
        <f t="shared" si="933"/>
        <v>23.60381077529566</v>
      </c>
      <c r="MR210" s="43">
        <f t="shared" si="894"/>
        <v>0</v>
      </c>
      <c r="MS210" s="43" t="str">
        <f t="shared" si="895"/>
        <v xml:space="preserve"> DE 20 A 24 AÑOS</v>
      </c>
      <c r="MT210" s="43">
        <f t="shared" si="896"/>
        <v>0</v>
      </c>
      <c r="MU210" s="43">
        <f t="shared" si="897"/>
        <v>0</v>
      </c>
      <c r="MV210" s="43">
        <f t="shared" si="898"/>
        <v>0</v>
      </c>
      <c r="MW210" s="43">
        <f t="shared" si="899"/>
        <v>0</v>
      </c>
      <c r="MX210" s="43" t="str">
        <f t="shared" si="900"/>
        <v/>
      </c>
      <c r="MY210" s="43">
        <f t="shared" ca="1" si="901"/>
        <v>1</v>
      </c>
      <c r="MZ210" s="43" t="str">
        <f t="shared" si="902"/>
        <v/>
      </c>
      <c r="NA210" s="43" t="str">
        <f t="shared" si="903"/>
        <v/>
      </c>
      <c r="NB210" s="43" t="str">
        <f t="shared" si="904"/>
        <v/>
      </c>
      <c r="NC210" s="43" t="str">
        <f t="shared" si="905"/>
        <v/>
      </c>
      <c r="ND210" s="43">
        <f t="shared" ca="1" si="934"/>
        <v>1.5</v>
      </c>
      <c r="NE210" s="43">
        <f>IF(OR(O210&gt;0,R210&gt;0),SUM(COUNTIF(Tabla1[[#This Row],[AÑOS AL INICIO5 CPN]],"&gt;=40"),COUNTIF(AS210,"0"),COUNTIF(AR210,"SI"),COUNTIF(CC210,"SI"),COUNTIF(BQ210,"&gt;119"),COUNTIF(CI210,"&gt;=35")),"")</f>
        <v>0</v>
      </c>
      <c r="NF210" s="43">
        <f t="shared" si="935"/>
        <v>25.5</v>
      </c>
      <c r="NG210" s="43">
        <f t="shared" si="908"/>
        <v>0.5</v>
      </c>
      <c r="NH210" s="43">
        <f t="shared" si="909"/>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6"/>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12"/>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7"/>
        <v>2</v>
      </c>
      <c r="NS210" s="205">
        <f t="shared" ca="1" si="914"/>
        <v>1</v>
      </c>
      <c r="NT210" s="21">
        <f t="shared" ca="1" si="915"/>
        <v>0</v>
      </c>
      <c r="NU210" s="21" t="str">
        <f t="shared" ca="1" si="916"/>
        <v>INCOMPLETO</v>
      </c>
      <c r="NV210" s="21" t="str">
        <f t="shared" ca="1" si="917"/>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8"/>
        <v>VACUNADA</v>
      </c>
      <c r="NY210" s="43">
        <f>ROW(Tabla1[[#This Row],['# DE TAMIZAJES SIFILIS TOMADOS ]])</f>
        <v>210</v>
      </c>
      <c r="NZ210" s="43">
        <f t="shared" si="740"/>
        <v>24</v>
      </c>
      <c r="OA210" s="43" t="str">
        <f t="shared" si="741"/>
        <v/>
      </c>
      <c r="OB210" s="43" t="str">
        <f t="shared" si="742"/>
        <v/>
      </c>
      <c r="OC210" s="43" t="str">
        <f t="shared" si="743"/>
        <v/>
      </c>
      <c r="OD210" s="43" t="str">
        <f t="shared" si="744"/>
        <v/>
      </c>
      <c r="OE210" s="43" t="str">
        <f t="shared" si="745"/>
        <v/>
      </c>
      <c r="OF210" s="43" t="str">
        <f t="shared" si="746"/>
        <v/>
      </c>
      <c r="OG210" s="43" t="str">
        <f t="shared" si="747"/>
        <v/>
      </c>
      <c r="OH210" s="43" t="str">
        <f t="shared" si="748"/>
        <v/>
      </c>
      <c r="OI210" s="43" t="str">
        <f t="shared" si="749"/>
        <v/>
      </c>
      <c r="OJ210" s="43" t="str">
        <f t="shared" si="750"/>
        <v/>
      </c>
      <c r="OK210" s="43" t="str">
        <f t="shared" si="751"/>
        <v/>
      </c>
      <c r="OL210" s="43" t="str">
        <f t="shared" si="752"/>
        <v/>
      </c>
      <c r="OM210" s="43" t="str">
        <f t="shared" si="753"/>
        <v/>
      </c>
      <c r="ON210" s="43" t="str">
        <f t="shared" si="754"/>
        <v/>
      </c>
      <c r="OO210" s="43" t="str">
        <f t="shared" si="755"/>
        <v/>
      </c>
      <c r="OP210" s="43" t="str">
        <f t="shared" si="756"/>
        <v>SOBREPESO</v>
      </c>
      <c r="OQ210" s="43" t="str">
        <f t="shared" si="757"/>
        <v/>
      </c>
      <c r="OR210" s="43" t="str">
        <f t="shared" si="758"/>
        <v/>
      </c>
      <c r="OS210" s="43" t="str">
        <f t="shared" si="759"/>
        <v/>
      </c>
      <c r="OT210" s="43" t="str">
        <f t="shared" si="760"/>
        <v/>
      </c>
      <c r="OU210" s="43" t="str">
        <f t="shared" si="761"/>
        <v/>
      </c>
      <c r="OV210" s="110" t="str">
        <f t="shared" si="762"/>
        <v/>
      </c>
      <c r="OW210" s="43" t="str">
        <f t="shared" si="763"/>
        <v/>
      </c>
      <c r="OX210" s="43" t="str">
        <f t="shared" si="764"/>
        <v/>
      </c>
      <c r="OY210" s="43" t="str">
        <f t="shared" si="765"/>
        <v/>
      </c>
      <c r="OZ210" s="43" t="str">
        <f t="shared" si="766"/>
        <v/>
      </c>
      <c r="PA210" s="43" t="str">
        <f t="shared" si="767"/>
        <v/>
      </c>
      <c r="PB210" s="43" t="str">
        <f t="shared" si="768"/>
        <v/>
      </c>
      <c r="PC210" s="43" t="str">
        <f t="shared" si="769"/>
        <v/>
      </c>
      <c r="PD210" s="43" t="str">
        <f t="shared" si="770"/>
        <v/>
      </c>
      <c r="PE210" s="43" t="str">
        <f t="shared" si="771"/>
        <v/>
      </c>
      <c r="PF210" s="43" t="str">
        <f t="shared" si="772"/>
        <v/>
      </c>
      <c r="PG210" s="43" t="str">
        <f t="shared" si="773"/>
        <v/>
      </c>
      <c r="PH210" s="43" t="str">
        <f t="shared" si="774"/>
        <v/>
      </c>
      <c r="PI210" s="43">
        <f t="shared" si="775"/>
        <v>24</v>
      </c>
      <c r="PJ210" s="43" t="str">
        <f t="shared" si="776"/>
        <v/>
      </c>
      <c r="PK210" s="43" t="str">
        <f t="shared" si="777"/>
        <v/>
      </c>
      <c r="PL210" s="43" t="str">
        <f t="shared" si="778"/>
        <v/>
      </c>
      <c r="PM210" s="43" t="str">
        <f t="shared" si="779"/>
        <v/>
      </c>
      <c r="PN210" s="43" t="str">
        <f t="shared" si="780"/>
        <v/>
      </c>
      <c r="PO210" s="43" t="str">
        <f t="shared" si="781"/>
        <v/>
      </c>
      <c r="PP210" s="43" t="str">
        <f t="shared" si="782"/>
        <v/>
      </c>
      <c r="PQ210" s="43" t="str">
        <f t="shared" si="783"/>
        <v/>
      </c>
      <c r="PR210" s="43" t="str">
        <f t="shared" si="784"/>
        <v/>
      </c>
      <c r="PS210" s="43" t="str">
        <f t="shared" si="785"/>
        <v/>
      </c>
      <c r="PT210" s="43" t="str">
        <f t="shared" si="786"/>
        <v/>
      </c>
      <c r="PU210" s="43" t="str">
        <f t="shared" si="787"/>
        <v/>
      </c>
      <c r="PV210" s="43" t="str">
        <f t="shared" si="788"/>
        <v/>
      </c>
      <c r="PW210" s="43" t="str">
        <f t="shared" si="789"/>
        <v/>
      </c>
      <c r="PX210" s="43" t="str">
        <f t="shared" si="790"/>
        <v/>
      </c>
      <c r="PY210" s="43" t="str">
        <f t="shared" si="791"/>
        <v>SOBREPESO</v>
      </c>
      <c r="PZ210" s="43" t="str">
        <f t="shared" si="792"/>
        <v/>
      </c>
      <c r="QA210" s="43" t="str">
        <f t="shared" si="793"/>
        <v/>
      </c>
      <c r="QB210" s="43" t="str">
        <f t="shared" si="794"/>
        <v/>
      </c>
      <c r="QC210" s="43" t="str">
        <f t="shared" si="795"/>
        <v/>
      </c>
      <c r="QD210" s="43" t="str">
        <f t="shared" si="796"/>
        <v/>
      </c>
      <c r="QE210" s="43" t="str">
        <f t="shared" si="797"/>
        <v/>
      </c>
      <c r="QF210" s="43" t="str">
        <f t="shared" si="798"/>
        <v/>
      </c>
      <c r="QG210" s="43" t="str">
        <f t="shared" si="799"/>
        <v/>
      </c>
      <c r="QH210" s="43" t="str">
        <f t="shared" si="800"/>
        <v/>
      </c>
      <c r="QI210" s="43" t="str">
        <f t="shared" si="801"/>
        <v/>
      </c>
      <c r="QJ210" s="43" t="str">
        <f t="shared" si="802"/>
        <v/>
      </c>
      <c r="QK210" s="43" t="str">
        <f t="shared" si="803"/>
        <v/>
      </c>
      <c r="QL210" s="43" t="str">
        <f t="shared" si="804"/>
        <v/>
      </c>
      <c r="QM210" s="43" t="str">
        <f t="shared" si="805"/>
        <v/>
      </c>
      <c r="QN210" s="43" t="str">
        <f t="shared" si="806"/>
        <v/>
      </c>
      <c r="QO210" s="43" t="str">
        <f t="shared" si="807"/>
        <v/>
      </c>
      <c r="QP210" s="43" t="str">
        <f t="shared" si="808"/>
        <v/>
      </c>
      <c r="QQ210" s="43" t="str">
        <f t="shared" si="809"/>
        <v/>
      </c>
      <c r="QR210" s="43">
        <f t="shared" si="839"/>
        <v>24</v>
      </c>
      <c r="QS210" s="43"/>
      <c r="QT210" s="21" t="str">
        <f t="shared" si="810"/>
        <v/>
      </c>
      <c r="QU210" s="21" t="str">
        <f t="shared" si="811"/>
        <v/>
      </c>
      <c r="QV210" s="21" t="str">
        <f t="shared" si="812"/>
        <v/>
      </c>
      <c r="QW210" s="21" t="str">
        <f t="shared" si="813"/>
        <v/>
      </c>
      <c r="QX210" s="21" t="str">
        <f t="shared" si="814"/>
        <v/>
      </c>
      <c r="QY210" s="21" t="str">
        <f t="shared" si="815"/>
        <v/>
      </c>
      <c r="QZ210" s="21" t="str">
        <f t="shared" si="816"/>
        <v/>
      </c>
      <c r="RA210" s="21" t="str">
        <f t="shared" si="817"/>
        <v/>
      </c>
      <c r="RB210" s="21" t="str">
        <f t="shared" si="818"/>
        <v/>
      </c>
      <c r="RC210" s="21" t="str">
        <f t="shared" si="819"/>
        <v/>
      </c>
      <c r="RD210" s="21" t="str">
        <f t="shared" si="820"/>
        <v/>
      </c>
      <c r="RE210" s="21" t="str">
        <f t="shared" si="821"/>
        <v>ADECUADO PARA EDAD GESTACIONAL</v>
      </c>
      <c r="RF210" s="21" t="str">
        <f t="shared" si="822"/>
        <v/>
      </c>
      <c r="RG210" s="21" t="str">
        <f t="shared" si="823"/>
        <v/>
      </c>
      <c r="RH210" s="21" t="str">
        <f t="shared" si="824"/>
        <v/>
      </c>
      <c r="RI210" s="21" t="str">
        <f t="shared" si="825"/>
        <v/>
      </c>
      <c r="RJ210" s="21" t="str">
        <f t="shared" si="826"/>
        <v/>
      </c>
      <c r="RK210" s="21" t="str">
        <f t="shared" si="827"/>
        <v/>
      </c>
      <c r="RL210" s="21" t="str">
        <f t="shared" si="828"/>
        <v/>
      </c>
      <c r="RM210" s="21" t="str">
        <f t="shared" si="829"/>
        <v/>
      </c>
      <c r="RN210" s="21" t="str">
        <f t="shared" si="830"/>
        <v/>
      </c>
      <c r="RO210" s="21" t="str">
        <f t="shared" si="831"/>
        <v/>
      </c>
      <c r="RP210" s="21" t="str">
        <f t="shared" si="832"/>
        <v/>
      </c>
      <c r="RQ210" s="21" t="str">
        <f t="shared" si="833"/>
        <v/>
      </c>
      <c r="RR210" s="21" t="str">
        <f t="shared" si="834"/>
        <v/>
      </c>
      <c r="RS210" s="21" t="str">
        <f t="shared" si="835"/>
        <v/>
      </c>
      <c r="RT210" s="21" t="str">
        <f t="shared" si="836"/>
        <v/>
      </c>
      <c r="RU210" s="21" t="str">
        <f t="shared" si="837"/>
        <v/>
      </c>
      <c r="RV210" s="21">
        <f t="shared" si="838"/>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40"/>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41"/>
        <v>18.5013698630137</v>
      </c>
      <c r="O211" s="22">
        <v>45079</v>
      </c>
      <c r="P211" s="214" t="str">
        <f t="shared" si="919"/>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2"/>
        <v>20.6</v>
      </c>
      <c r="BR211" s="223">
        <f t="shared" si="843"/>
        <v>44995</v>
      </c>
      <c r="BS211" s="224">
        <f t="shared" si="844"/>
        <v>12</v>
      </c>
      <c r="BT211" s="216" t="str">
        <f t="shared" si="845"/>
        <v>II TRIM</v>
      </c>
      <c r="BU211" s="214">
        <f t="shared" ca="1" si="928"/>
        <v>33.857142857142854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7"/>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8"/>
        <v>45164</v>
      </c>
      <c r="CL211" s="21">
        <v>51.1</v>
      </c>
      <c r="CM211" s="214">
        <f t="shared" si="849"/>
        <v>21.54663518299882</v>
      </c>
      <c r="CN211" s="216">
        <f t="shared" si="850"/>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51"/>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20"/>
        <v>PLANEAR PLAN DE PARTO</v>
      </c>
      <c r="DV211" s="226" t="str">
        <f t="shared" si="921"/>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2"/>
        <v>#REF!</v>
      </c>
      <c r="DY211" s="212">
        <f>IF(R211="","",IF(R211&gt;0,MAX(Tabla1[[#This Row],[FECHA C2]:[FECHA C13]],Tabla1[[#This Row],[FECHA CONSULTA PRIMERA VEZ PROGRAMA CPN ]])))</f>
        <v>45164</v>
      </c>
      <c r="DZ211" s="216">
        <f t="shared" si="853"/>
        <v>24</v>
      </c>
      <c r="EA211" s="222">
        <f>IF(R211&gt;0,SUM(COUNTA(DF211:DQ211)+COUNTA(Tabla1[[#This Row],[FECHA CONSULTA PRIMERA VEZ PROGRAMA CPN ]])),"")</f>
        <v>3</v>
      </c>
      <c r="EB211" s="222" t="str">
        <f t="shared" si="854"/>
        <v>NO</v>
      </c>
      <c r="EC211" s="214">
        <f t="shared" si="855"/>
        <v>9</v>
      </c>
      <c r="ED211" s="227">
        <f t="shared" si="856"/>
        <v>0.33333333333333331</v>
      </c>
      <c r="EE211" s="22">
        <v>45079</v>
      </c>
      <c r="EF211" s="22">
        <v>45079</v>
      </c>
      <c r="EG211" s="22">
        <v>45079</v>
      </c>
      <c r="EH211" s="22"/>
      <c r="EI211" s="22">
        <v>45079</v>
      </c>
      <c r="EJ211" s="22"/>
      <c r="EK211" s="22"/>
      <c r="EL211" s="21"/>
      <c r="EM211" s="21">
        <v>13.5</v>
      </c>
      <c r="EN211" s="22">
        <v>45083</v>
      </c>
      <c r="EO211" s="222">
        <f t="shared" si="857"/>
        <v>12.571428571428571</v>
      </c>
      <c r="EP211" s="214" t="str">
        <f t="shared" si="858"/>
        <v>NORMAL- SUMINISTRAR SULFATO FERROSO</v>
      </c>
      <c r="EQ211" s="216" t="str">
        <f t="shared" si="859"/>
        <v>I TRIM</v>
      </c>
      <c r="ER211" s="24"/>
      <c r="ES211" s="22"/>
      <c r="ET211" s="29" t="str">
        <f t="shared" ca="1" si="922"/>
        <v>TOMA DE HEMOGLOBINA TARDÍA</v>
      </c>
      <c r="EU211" s="25" t="str">
        <f t="shared" si="860"/>
        <v/>
      </c>
      <c r="EV211" s="24" t="s">
        <v>1510</v>
      </c>
      <c r="EW211" s="32">
        <v>45083</v>
      </c>
      <c r="EX211" s="22"/>
      <c r="EY211" s="29">
        <f t="shared" si="693"/>
        <v>12.571428571428571</v>
      </c>
      <c r="EZ211" s="25" t="str">
        <f t="shared" si="694"/>
        <v>SIN RIESGO DE ISOINMUNIZACIÓN</v>
      </c>
      <c r="FA211" s="21">
        <v>72</v>
      </c>
      <c r="FB211" s="32">
        <v>45083</v>
      </c>
      <c r="FC211" s="29">
        <f t="shared" si="861"/>
        <v>12.571428571428571</v>
      </c>
      <c r="FD211" s="29"/>
      <c r="FE211" s="29"/>
      <c r="FF211" s="29"/>
      <c r="FG211" s="21" t="str">
        <f t="shared" ca="1" si="862"/>
        <v>TOMAR PTOG</v>
      </c>
      <c r="FH211" s="31"/>
      <c r="FI211" s="29" t="str">
        <f t="shared" si="863"/>
        <v>TOMAR EXAMEN</v>
      </c>
      <c r="FJ211" s="22" t="s">
        <v>867</v>
      </c>
      <c r="FK211" s="22">
        <v>45083</v>
      </c>
      <c r="FL211" s="29">
        <f t="shared" ca="1" si="864"/>
        <v>12.571428571428571</v>
      </c>
      <c r="FM211" s="22"/>
      <c r="FN211" s="32"/>
      <c r="FO211" s="29" t="str">
        <f t="shared" ca="1" si="923"/>
        <v>PIERDE TOMA DE TAMIZAJE</v>
      </c>
      <c r="FP211" s="22"/>
      <c r="FQ211" s="32"/>
      <c r="FR211" s="29" t="str">
        <f t="shared" ca="1" si="924"/>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5"/>
        <v>TOMAR EXAMEN</v>
      </c>
      <c r="FY211" s="22" t="s">
        <v>868</v>
      </c>
      <c r="FZ211" s="32">
        <v>45083</v>
      </c>
      <c r="GA211" s="29">
        <f t="shared" ref="GA211:GA248" ca="1" si="939">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40">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6"/>
        <v>EN RANGO PARA TOMAR EXAMEN</v>
      </c>
      <c r="GH211" s="22"/>
      <c r="GI211" s="29"/>
      <c r="GJ211" s="22"/>
      <c r="GK211" s="22"/>
      <c r="GL211" s="22"/>
      <c r="GM211" s="22"/>
      <c r="GN211" s="28"/>
      <c r="GO211" s="22"/>
      <c r="GP211" s="29" t="str">
        <f t="shared" si="866"/>
        <v>TOMAR EXAMEN</v>
      </c>
      <c r="GQ211" s="28" t="s">
        <v>880</v>
      </c>
      <c r="GR211" s="28" t="s">
        <v>869</v>
      </c>
      <c r="GS211" s="22" t="str">
        <f t="shared" si="728"/>
        <v>SE EXCLUYE INFECCION</v>
      </c>
      <c r="GT211" s="22">
        <v>45083</v>
      </c>
      <c r="GU211" s="29">
        <f t="shared" si="867"/>
        <v>13.714285714285714</v>
      </c>
      <c r="GV211" s="21" t="str">
        <f t="shared" si="868"/>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9"/>
        <v>#REF!</v>
      </c>
      <c r="HI211" s="22" t="e">
        <f t="shared" ca="1" si="870"/>
        <v>#REF!</v>
      </c>
      <c r="HJ211" s="21" t="str">
        <f t="shared" ca="1" si="871"/>
        <v>***************************************</v>
      </c>
      <c r="HK211" s="21" t="str">
        <f t="shared" si="872"/>
        <v>SIN ANTECEDENTES DE RIESGO</v>
      </c>
      <c r="HL211" s="24" t="str">
        <f t="shared" si="873"/>
        <v>APARENTEMENTE NORMAL</v>
      </c>
      <c r="HM211" s="21" t="e">
        <f t="shared" ca="1" si="874"/>
        <v>#REF!</v>
      </c>
      <c r="HN211" s="30" t="str">
        <f t="shared" si="927"/>
        <v>ACTIVA INGRESO A CPN</v>
      </c>
      <c r="HO211" s="21"/>
      <c r="HP211" s="21"/>
      <c r="HQ211" s="349"/>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5"/>
        <v>PENDIENTE CONSULTA</v>
      </c>
      <c r="IA211" s="26"/>
      <c r="IB211" s="26"/>
      <c r="IC211" s="22"/>
      <c r="ID211" s="22"/>
      <c r="IE211" s="22" t="str">
        <f t="shared" ca="1" si="876"/>
        <v>INASISTENTE</v>
      </c>
      <c r="IF211" s="22"/>
      <c r="IG211" s="22">
        <f t="shared" si="877"/>
        <v>45275</v>
      </c>
      <c r="IH211" s="29">
        <f t="shared" ca="1" si="878"/>
        <v>43</v>
      </c>
      <c r="II211" s="22" t="str">
        <f t="shared" ca="1" si="879"/>
        <v>PENDIENTE</v>
      </c>
      <c r="IJ211" s="22"/>
      <c r="IK211" s="21"/>
      <c r="IL211" s="21"/>
      <c r="IM211" s="34"/>
      <c r="IN211" s="22"/>
      <c r="IO211" s="21"/>
      <c r="IP211" s="29" t="str">
        <f t="shared" si="880"/>
        <v/>
      </c>
      <c r="IQ211" s="35"/>
      <c r="IR211" s="21"/>
      <c r="IS211" s="21"/>
      <c r="IT211" s="21"/>
      <c r="IU211" s="21"/>
      <c r="IV211" s="21"/>
      <c r="IW211" s="21"/>
      <c r="IX211" s="21"/>
      <c r="IY211" s="21"/>
      <c r="IZ211" s="21"/>
      <c r="JA211" s="21"/>
      <c r="JB211" s="30"/>
      <c r="JC211" s="21"/>
      <c r="JD211" s="36"/>
      <c r="JE211" s="21" t="str">
        <f t="shared" si="881"/>
        <v/>
      </c>
      <c r="JF211" s="30"/>
      <c r="JG211" s="21"/>
      <c r="JH211" s="21"/>
      <c r="JI211" s="21"/>
      <c r="JJ211" s="30"/>
      <c r="JK211" s="22"/>
      <c r="JL211" s="22"/>
      <c r="JM211" s="21"/>
      <c r="JN211" s="36"/>
      <c r="JO211" s="21" t="str">
        <f t="shared" si="882"/>
        <v/>
      </c>
      <c r="JP211" s="22"/>
      <c r="JQ211" s="21"/>
      <c r="JR211" s="21"/>
      <c r="JS211" s="21"/>
      <c r="JT211" s="30"/>
      <c r="JU211" s="22"/>
      <c r="JV211" s="22"/>
      <c r="JW211" s="33"/>
      <c r="JX211" s="28" t="str">
        <f t="shared" si="883"/>
        <v/>
      </c>
      <c r="JY211" s="33"/>
      <c r="JZ211" s="28" t="str">
        <f t="shared" si="884"/>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5"/>
        <v>0</v>
      </c>
      <c r="MI211" s="43" t="str">
        <f t="shared" si="929"/>
        <v/>
      </c>
      <c r="MJ211" s="43" t="str">
        <f t="shared" si="887"/>
        <v/>
      </c>
      <c r="MK211" s="43">
        <f t="shared" si="888"/>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30"/>
        <v>12</v>
      </c>
      <c r="MN211" s="43">
        <f t="shared" si="931"/>
        <v>6</v>
      </c>
      <c r="MO211" s="43">
        <f t="shared" si="932"/>
        <v>2023</v>
      </c>
      <c r="MP211" s="43" t="str">
        <f t="shared" si="892"/>
        <v>II TRIMESTRE AÑO</v>
      </c>
      <c r="MQ211" s="43">
        <f t="shared" si="933"/>
        <v>17.808256679807268</v>
      </c>
      <c r="MR211" s="43">
        <f t="shared" si="894"/>
        <v>0</v>
      </c>
      <c r="MS211" s="43" t="str">
        <f t="shared" si="895"/>
        <v>DE 14 A 19AÑOS</v>
      </c>
      <c r="MT211" s="43">
        <f t="shared" si="896"/>
        <v>0</v>
      </c>
      <c r="MU211" s="43">
        <f t="shared" si="897"/>
        <v>0</v>
      </c>
      <c r="MV211" s="43">
        <f t="shared" si="898"/>
        <v>0</v>
      </c>
      <c r="MW211" s="43">
        <f t="shared" si="899"/>
        <v>0</v>
      </c>
      <c r="MX211" s="43" t="str">
        <f t="shared" si="900"/>
        <v/>
      </c>
      <c r="MY211" s="43" t="str">
        <f t="shared" ca="1" si="901"/>
        <v/>
      </c>
      <c r="MZ211" s="43" t="str">
        <f t="shared" si="902"/>
        <v/>
      </c>
      <c r="NA211" s="43" t="str">
        <f t="shared" si="903"/>
        <v/>
      </c>
      <c r="NB211" s="43" t="str">
        <f t="shared" si="904"/>
        <v/>
      </c>
      <c r="NC211" s="43" t="str">
        <f t="shared" si="905"/>
        <v/>
      </c>
      <c r="ND211" s="43">
        <f t="shared" ca="1" si="934"/>
        <v>0</v>
      </c>
      <c r="NE211" s="43">
        <f>IF(OR(O211&gt;0,R211&gt;0),SUM(COUNTIF(Tabla1[[#This Row],[AÑOS AL INICIO5 CPN]],"&gt;=40"),COUNTIF(AS211,"0"),COUNTIF(AR211,"SI"),COUNTIF(CC211,"SI"),COUNTIF(BQ211,"&gt;119"),COUNTIF(CI211,"&gt;=35")),"")</f>
        <v>0</v>
      </c>
      <c r="NF211" s="43" t="str">
        <f t="shared" si="935"/>
        <v/>
      </c>
      <c r="NG211" s="43">
        <f t="shared" si="908"/>
        <v>0</v>
      </c>
      <c r="NH211" s="43">
        <f t="shared" si="909"/>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6"/>
        <v>X</v>
      </c>
      <c r="NM211" s="43" t="str">
        <f t="shared" ref="NM211:NM248" si="941">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12"/>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7"/>
        <v>2</v>
      </c>
      <c r="NS211" s="205">
        <f t="shared" ca="1" si="914"/>
        <v>1</v>
      </c>
      <c r="NT211" s="21">
        <f t="shared" ca="1" si="915"/>
        <v>1</v>
      </c>
      <c r="NU211" s="21" t="str">
        <f t="shared" ca="1" si="916"/>
        <v>INCOMPLETO</v>
      </c>
      <c r="NV211" s="21" t="str">
        <f t="shared" ca="1" si="917"/>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8"/>
        <v>SIN VACUNAR</v>
      </c>
      <c r="NY211" s="43">
        <f>ROW(Tabla1[[#This Row],['# DE TAMIZAJES SIFILIS TOMADOS ]])</f>
        <v>211</v>
      </c>
      <c r="NZ211" s="43">
        <f t="shared" si="740"/>
        <v>12</v>
      </c>
      <c r="OA211" s="43" t="str">
        <f t="shared" si="741"/>
        <v/>
      </c>
      <c r="OB211" s="43" t="str">
        <f t="shared" si="742"/>
        <v/>
      </c>
      <c r="OC211" s="43" t="str">
        <f t="shared" si="743"/>
        <v/>
      </c>
      <c r="OD211" s="43" t="str">
        <f t="shared" si="744"/>
        <v>NORMAL</v>
      </c>
      <c r="OE211" s="43" t="str">
        <f t="shared" si="745"/>
        <v/>
      </c>
      <c r="OF211" s="43" t="str">
        <f t="shared" si="746"/>
        <v/>
      </c>
      <c r="OG211" s="43" t="str">
        <f t="shared" si="747"/>
        <v/>
      </c>
      <c r="OH211" s="43" t="str">
        <f t="shared" si="748"/>
        <v/>
      </c>
      <c r="OI211" s="43" t="str">
        <f t="shared" si="749"/>
        <v/>
      </c>
      <c r="OJ211" s="43" t="str">
        <f t="shared" si="750"/>
        <v/>
      </c>
      <c r="OK211" s="43" t="str">
        <f t="shared" si="751"/>
        <v/>
      </c>
      <c r="OL211" s="43" t="str">
        <f t="shared" si="752"/>
        <v/>
      </c>
      <c r="OM211" s="43" t="str">
        <f t="shared" si="753"/>
        <v/>
      </c>
      <c r="ON211" s="43" t="str">
        <f t="shared" si="754"/>
        <v/>
      </c>
      <c r="OO211" s="43" t="str">
        <f t="shared" si="755"/>
        <v/>
      </c>
      <c r="OP211" s="43" t="str">
        <f t="shared" si="756"/>
        <v/>
      </c>
      <c r="OQ211" s="43" t="str">
        <f t="shared" si="757"/>
        <v/>
      </c>
      <c r="OR211" s="43" t="str">
        <f t="shared" si="758"/>
        <v/>
      </c>
      <c r="OS211" s="43" t="str">
        <f t="shared" si="759"/>
        <v/>
      </c>
      <c r="OT211" s="43" t="str">
        <f t="shared" si="760"/>
        <v/>
      </c>
      <c r="OU211" s="43" t="str">
        <f t="shared" si="761"/>
        <v/>
      </c>
      <c r="OV211" s="110" t="str">
        <f t="shared" si="762"/>
        <v/>
      </c>
      <c r="OW211" s="43" t="str">
        <f t="shared" si="763"/>
        <v/>
      </c>
      <c r="OX211" s="43" t="str">
        <f t="shared" si="764"/>
        <v/>
      </c>
      <c r="OY211" s="43" t="str">
        <f t="shared" si="765"/>
        <v/>
      </c>
      <c r="OZ211" s="43" t="str">
        <f t="shared" si="766"/>
        <v/>
      </c>
      <c r="PA211" s="43" t="str">
        <f t="shared" si="767"/>
        <v/>
      </c>
      <c r="PB211" s="43" t="str">
        <f t="shared" si="768"/>
        <v/>
      </c>
      <c r="PC211" s="43" t="str">
        <f t="shared" si="769"/>
        <v/>
      </c>
      <c r="PD211" s="43" t="str">
        <f t="shared" si="770"/>
        <v/>
      </c>
      <c r="PE211" s="43" t="str">
        <f t="shared" si="771"/>
        <v/>
      </c>
      <c r="PF211" s="43" t="str">
        <f t="shared" si="772"/>
        <v/>
      </c>
      <c r="PG211" s="43" t="str">
        <f t="shared" si="773"/>
        <v/>
      </c>
      <c r="PH211" s="43" t="str">
        <f t="shared" si="774"/>
        <v/>
      </c>
      <c r="PI211" s="43">
        <f t="shared" si="775"/>
        <v>24</v>
      </c>
      <c r="PJ211" s="43" t="str">
        <f t="shared" si="776"/>
        <v/>
      </c>
      <c r="PK211" s="43" t="str">
        <f t="shared" si="777"/>
        <v/>
      </c>
      <c r="PL211" s="43" t="str">
        <f t="shared" si="778"/>
        <v/>
      </c>
      <c r="PM211" s="43" t="str">
        <f t="shared" si="779"/>
        <v/>
      </c>
      <c r="PN211" s="43" t="str">
        <f t="shared" si="780"/>
        <v/>
      </c>
      <c r="PO211" s="43" t="str">
        <f t="shared" si="781"/>
        <v/>
      </c>
      <c r="PP211" s="43" t="str">
        <f t="shared" si="782"/>
        <v/>
      </c>
      <c r="PQ211" s="43" t="str">
        <f t="shared" si="783"/>
        <v/>
      </c>
      <c r="PR211" s="43" t="str">
        <f t="shared" si="784"/>
        <v/>
      </c>
      <c r="PS211" s="43" t="str">
        <f t="shared" si="785"/>
        <v/>
      </c>
      <c r="PT211" s="43" t="str">
        <f t="shared" si="786"/>
        <v/>
      </c>
      <c r="PU211" s="43" t="str">
        <f t="shared" si="787"/>
        <v/>
      </c>
      <c r="PV211" s="43" t="str">
        <f t="shared" si="788"/>
        <v/>
      </c>
      <c r="PW211" s="43" t="str">
        <f t="shared" si="789"/>
        <v/>
      </c>
      <c r="PX211" s="43" t="str">
        <f t="shared" si="790"/>
        <v/>
      </c>
      <c r="PY211" s="43" t="str">
        <f t="shared" si="791"/>
        <v>BAJO PESO</v>
      </c>
      <c r="PZ211" s="43" t="str">
        <f t="shared" si="792"/>
        <v/>
      </c>
      <c r="QA211" s="43" t="str">
        <f t="shared" si="793"/>
        <v/>
      </c>
      <c r="QB211" s="43" t="str">
        <f t="shared" si="794"/>
        <v/>
      </c>
      <c r="QC211" s="43" t="str">
        <f t="shared" si="795"/>
        <v/>
      </c>
      <c r="QD211" s="43" t="str">
        <f t="shared" si="796"/>
        <v/>
      </c>
      <c r="QE211" s="43" t="str">
        <f t="shared" si="797"/>
        <v/>
      </c>
      <c r="QF211" s="43" t="str">
        <f t="shared" si="798"/>
        <v/>
      </c>
      <c r="QG211" s="43" t="str">
        <f t="shared" si="799"/>
        <v/>
      </c>
      <c r="QH211" s="43" t="str">
        <f t="shared" si="800"/>
        <v/>
      </c>
      <c r="QI211" s="43" t="str">
        <f t="shared" si="801"/>
        <v/>
      </c>
      <c r="QJ211" s="43" t="str">
        <f t="shared" si="802"/>
        <v/>
      </c>
      <c r="QK211" s="43" t="str">
        <f t="shared" si="803"/>
        <v/>
      </c>
      <c r="QL211" s="43" t="str">
        <f t="shared" si="804"/>
        <v/>
      </c>
      <c r="QM211" s="43" t="str">
        <f t="shared" si="805"/>
        <v/>
      </c>
      <c r="QN211" s="43" t="str">
        <f t="shared" si="806"/>
        <v/>
      </c>
      <c r="QO211" s="43" t="str">
        <f t="shared" si="807"/>
        <v/>
      </c>
      <c r="QP211" s="43" t="str">
        <f t="shared" si="808"/>
        <v/>
      </c>
      <c r="QQ211" s="43" t="str">
        <f t="shared" si="809"/>
        <v/>
      </c>
      <c r="QR211" s="43">
        <f t="shared" si="839"/>
        <v>24</v>
      </c>
      <c r="QS211" s="43"/>
      <c r="QT211" s="21" t="str">
        <f t="shared" si="810"/>
        <v/>
      </c>
      <c r="QU211" s="21" t="str">
        <f t="shared" si="811"/>
        <v/>
      </c>
      <c r="QV211" s="21" t="str">
        <f t="shared" si="812"/>
        <v/>
      </c>
      <c r="QW211" s="21" t="str">
        <f t="shared" si="813"/>
        <v/>
      </c>
      <c r="QX211" s="21" t="str">
        <f t="shared" si="814"/>
        <v/>
      </c>
      <c r="QY211" s="21" t="str">
        <f t="shared" si="815"/>
        <v/>
      </c>
      <c r="QZ211" s="21" t="str">
        <f t="shared" si="816"/>
        <v/>
      </c>
      <c r="RA211" s="21" t="str">
        <f t="shared" si="817"/>
        <v/>
      </c>
      <c r="RB211" s="21" t="str">
        <f t="shared" si="818"/>
        <v/>
      </c>
      <c r="RC211" s="21" t="str">
        <f t="shared" si="819"/>
        <v/>
      </c>
      <c r="RD211" s="21" t="str">
        <f t="shared" si="820"/>
        <v/>
      </c>
      <c r="RE211" s="21" t="str">
        <f t="shared" si="821"/>
        <v>BAJO PARA EDAD GESTACIONAL</v>
      </c>
      <c r="RF211" s="21" t="str">
        <f t="shared" si="822"/>
        <v/>
      </c>
      <c r="RG211" s="21" t="str">
        <f t="shared" si="823"/>
        <v/>
      </c>
      <c r="RH211" s="21" t="str">
        <f t="shared" si="824"/>
        <v/>
      </c>
      <c r="RI211" s="21" t="str">
        <f t="shared" si="825"/>
        <v/>
      </c>
      <c r="RJ211" s="21" t="str">
        <f t="shared" si="826"/>
        <v/>
      </c>
      <c r="RK211" s="21" t="str">
        <f t="shared" si="827"/>
        <v/>
      </c>
      <c r="RL211" s="21" t="str">
        <f t="shared" si="828"/>
        <v/>
      </c>
      <c r="RM211" s="21" t="str">
        <f t="shared" si="829"/>
        <v/>
      </c>
      <c r="RN211" s="21" t="str">
        <f t="shared" si="830"/>
        <v/>
      </c>
      <c r="RO211" s="21" t="str">
        <f t="shared" si="831"/>
        <v/>
      </c>
      <c r="RP211" s="21" t="str">
        <f t="shared" si="832"/>
        <v/>
      </c>
      <c r="RQ211" s="21" t="str">
        <f t="shared" si="833"/>
        <v/>
      </c>
      <c r="RR211" s="21" t="str">
        <f t="shared" si="834"/>
        <v/>
      </c>
      <c r="RS211" s="21" t="str">
        <f t="shared" si="835"/>
        <v/>
      </c>
      <c r="RT211" s="21" t="str">
        <f t="shared" si="836"/>
        <v/>
      </c>
      <c r="RU211" s="21" t="str">
        <f t="shared" si="837"/>
        <v/>
      </c>
      <c r="RV211" s="21">
        <f t="shared" si="838"/>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40"/>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41"/>
        <v>23.246575342465754</v>
      </c>
      <c r="O212" s="22">
        <v>45079</v>
      </c>
      <c r="P212" s="214" t="str">
        <f t="shared" si="919"/>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2"/>
        <v>145.69999999999999</v>
      </c>
      <c r="BR212" s="223">
        <f t="shared" si="843"/>
        <v>44944.6</v>
      </c>
      <c r="BS212" s="224">
        <f t="shared" si="844"/>
        <v>17.857142857142858</v>
      </c>
      <c r="BT212" s="216" t="str">
        <f t="shared" si="845"/>
        <v>II TRIM</v>
      </c>
      <c r="BU212" s="214">
        <f t="shared" ca="1" si="928"/>
        <v>39.714285714285715</v>
      </c>
      <c r="BV212" s="25"/>
      <c r="BW212" s="22">
        <v>45121</v>
      </c>
      <c r="BX212" s="28">
        <v>25.2</v>
      </c>
      <c r="BY212" s="28"/>
      <c r="BZ212" s="22"/>
      <c r="CA212" s="21"/>
      <c r="CB212" s="26"/>
      <c r="CC212" s="26"/>
      <c r="CD212" s="26"/>
      <c r="CE212" s="26"/>
      <c r="CF212" s="22" t="s">
        <v>1517</v>
      </c>
      <c r="CG212" s="21">
        <v>1.5</v>
      </c>
      <c r="CH212" s="21">
        <v>61</v>
      </c>
      <c r="CI212" s="214">
        <f t="shared" si="847"/>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8"/>
        <v>45121</v>
      </c>
      <c r="CL212" s="21">
        <v>62.5</v>
      </c>
      <c r="CM212" s="214">
        <f t="shared" si="849"/>
        <v>27.777777777777779</v>
      </c>
      <c r="CN212" s="216">
        <f t="shared" si="850"/>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51"/>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20"/>
        <v>CONCERTAR PLAN DE PARTO INMEDIATO</v>
      </c>
      <c r="DV212" s="226" t="str">
        <f t="shared" si="921"/>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2"/>
        <v>#REF!</v>
      </c>
      <c r="DY212" s="212">
        <f>IF(R212="","",IF(R212&gt;0,MAX(Tabla1[[#This Row],[FECHA C2]:[FECHA C13]],Tabla1[[#This Row],[FECHA CONSULTA PRIMERA VEZ PROGRAMA CPN ]])))</f>
        <v>45121</v>
      </c>
      <c r="DZ212" s="216">
        <f t="shared" si="853"/>
        <v>23</v>
      </c>
      <c r="EA212" s="222">
        <f>IF(R212&gt;0,SUM(COUNTA(DF212:DQ212)+COUNTA(Tabla1[[#This Row],[FECHA CONSULTA PRIMERA VEZ PROGRAMA CPN ]])),"")</f>
        <v>2</v>
      </c>
      <c r="EB212" s="222" t="str">
        <f t="shared" si="854"/>
        <v>NO</v>
      </c>
      <c r="EC212" s="214">
        <f t="shared" si="855"/>
        <v>7</v>
      </c>
      <c r="ED212" s="227">
        <f t="shared" si="856"/>
        <v>0.2857142857142857</v>
      </c>
      <c r="EE212" s="22">
        <v>45079</v>
      </c>
      <c r="EF212" s="22">
        <v>45079</v>
      </c>
      <c r="EG212" s="22">
        <v>45079</v>
      </c>
      <c r="EH212" s="22"/>
      <c r="EI212" s="22">
        <v>45079</v>
      </c>
      <c r="EJ212" s="22"/>
      <c r="EK212" s="22"/>
      <c r="EL212" s="21"/>
      <c r="EM212" s="21">
        <v>11</v>
      </c>
      <c r="EN212" s="22">
        <v>45121</v>
      </c>
      <c r="EO212" s="222">
        <f t="shared" si="857"/>
        <v>23.857142857142858</v>
      </c>
      <c r="EP212" s="214" t="str">
        <f t="shared" si="858"/>
        <v>NORMAL- SUMINISTRAR SULFATO FERROSO</v>
      </c>
      <c r="EQ212" s="216" t="str">
        <f t="shared" si="859"/>
        <v>II TRIM</v>
      </c>
      <c r="ER212" s="24"/>
      <c r="ES212" s="22"/>
      <c r="ET212" s="29" t="str">
        <f t="shared" ca="1" si="922"/>
        <v>TOMA DE HEMOGLOBINA TARDÍA</v>
      </c>
      <c r="EU212" s="25" t="str">
        <f t="shared" si="860"/>
        <v/>
      </c>
      <c r="EV212" s="24" t="s">
        <v>1510</v>
      </c>
      <c r="EW212" s="22">
        <v>45121</v>
      </c>
      <c r="EX212" s="22"/>
      <c r="EY212" s="29">
        <f t="shared" si="693"/>
        <v>23.857142857142858</v>
      </c>
      <c r="EZ212" s="25" t="str">
        <f t="shared" si="694"/>
        <v>SIN RIESGO DE ISOINMUNIZACIÓN</v>
      </c>
      <c r="FA212" s="21">
        <v>90</v>
      </c>
      <c r="FB212" s="22">
        <v>45121</v>
      </c>
      <c r="FC212" s="29">
        <f t="shared" si="861"/>
        <v>23.857142857142858</v>
      </c>
      <c r="FD212" s="29"/>
      <c r="FE212" s="29"/>
      <c r="FF212" s="29"/>
      <c r="FG212" s="21" t="str">
        <f t="shared" ca="1" si="862"/>
        <v>TOMAR PTOG</v>
      </c>
      <c r="FH212" s="31"/>
      <c r="FI212" s="29" t="str">
        <f t="shared" si="863"/>
        <v>TOMAR EXAMEN</v>
      </c>
      <c r="FJ212" s="22"/>
      <c r="FK212" s="22"/>
      <c r="FL212" s="29" t="str">
        <f t="shared" ca="1" si="864"/>
        <v>NO APLICA-INGRESO TARDIO</v>
      </c>
      <c r="FM212" s="22" t="s">
        <v>867</v>
      </c>
      <c r="FN212" s="22">
        <v>45121</v>
      </c>
      <c r="FO212" s="29">
        <f t="shared" ca="1" si="923"/>
        <v>23.857142857142858</v>
      </c>
      <c r="FP212" s="22"/>
      <c r="FQ212" s="32"/>
      <c r="FR212" s="29" t="str">
        <f t="shared" ca="1" si="924"/>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5"/>
        <v>TOMAR EXAMEN</v>
      </c>
      <c r="FY212" s="22"/>
      <c r="FZ212" s="22"/>
      <c r="GA212" s="29" t="str">
        <f t="shared" ca="1" si="939"/>
        <v>NO APLICA-INGRESO TARDIO</v>
      </c>
      <c r="GB212" s="22" t="s">
        <v>868</v>
      </c>
      <c r="GC212" s="22">
        <v>45125</v>
      </c>
      <c r="GD212" s="29">
        <f t="shared" ca="1" si="940"/>
        <v>24.428571428571427</v>
      </c>
      <c r="GE212" s="22"/>
      <c r="GF212" s="22"/>
      <c r="GG212" s="29" t="str">
        <f t="shared" ca="1" si="926"/>
        <v>TOMA INMEDIATA DE TAMIZAJE</v>
      </c>
      <c r="GH212" s="22"/>
      <c r="GI212" s="29"/>
      <c r="GJ212" s="22"/>
      <c r="GK212" s="22"/>
      <c r="GL212" s="22"/>
      <c r="GM212" s="22"/>
      <c r="GN212" s="28" t="s">
        <v>869</v>
      </c>
      <c r="GO212" s="22">
        <v>45125</v>
      </c>
      <c r="GP212" s="29">
        <f t="shared" si="866"/>
        <v>24.428571428571427</v>
      </c>
      <c r="GQ212" s="28" t="s">
        <v>846</v>
      </c>
      <c r="GR212" s="28" t="s">
        <v>869</v>
      </c>
      <c r="GS212" s="22" t="str">
        <f t="shared" si="728"/>
        <v/>
      </c>
      <c r="GT212" s="22">
        <v>45125</v>
      </c>
      <c r="GU212" s="29">
        <f t="shared" si="867"/>
        <v>24.428571428571427</v>
      </c>
      <c r="GV212" s="21" t="str">
        <f t="shared" si="868"/>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9"/>
        <v>#REF!</v>
      </c>
      <c r="HI212" s="22" t="e">
        <f t="shared" ca="1" si="870"/>
        <v>#REF!</v>
      </c>
      <c r="HJ212" s="21" t="str">
        <f t="shared" ca="1" si="871"/>
        <v>***************************************</v>
      </c>
      <c r="HK212" s="21" t="str">
        <f t="shared" si="872"/>
        <v>SIN ANTECEDENTES DE RIESGO</v>
      </c>
      <c r="HL212" s="24" t="str">
        <f t="shared" si="873"/>
        <v>APARENTEMENTE NORMAL</v>
      </c>
      <c r="HM212" s="21" t="e">
        <f t="shared" ca="1" si="874"/>
        <v>#REF!</v>
      </c>
      <c r="HN212" s="30" t="str">
        <f t="shared" si="927"/>
        <v>ACTIVA INGRESO A CPN</v>
      </c>
      <c r="HO212" s="21"/>
      <c r="HP212" s="21"/>
      <c r="HQ212" s="349"/>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5"/>
        <v>PENDIENTE CONSULTA</v>
      </c>
      <c r="IA212" s="26"/>
      <c r="IB212" s="26"/>
      <c r="IC212" s="22">
        <v>45121</v>
      </c>
      <c r="ID212" s="22">
        <v>45121</v>
      </c>
      <c r="IE212" s="22" t="str">
        <f t="shared" ca="1" si="876"/>
        <v>VACUNA APLICADA ENTRE SEMANA 20 Y SEMANA 26</v>
      </c>
      <c r="IF212" s="22"/>
      <c r="IG212" s="22">
        <f t="shared" si="877"/>
        <v>45234</v>
      </c>
      <c r="IH212" s="29">
        <f t="shared" ca="1" si="878"/>
        <v>2</v>
      </c>
      <c r="II212" s="22" t="str">
        <f t="shared" ca="1" si="879"/>
        <v>SEMANA DE PARTO</v>
      </c>
      <c r="IJ212" s="22"/>
      <c r="IK212" s="21"/>
      <c r="IL212" s="21"/>
      <c r="IM212" s="34"/>
      <c r="IN212" s="22"/>
      <c r="IO212" s="21"/>
      <c r="IP212" s="29" t="str">
        <f t="shared" si="880"/>
        <v/>
      </c>
      <c r="IQ212" s="35"/>
      <c r="IR212" s="21"/>
      <c r="IS212" s="21"/>
      <c r="IT212" s="21"/>
      <c r="IU212" s="21"/>
      <c r="IV212" s="21"/>
      <c r="IW212" s="21"/>
      <c r="IX212" s="21"/>
      <c r="IY212" s="21"/>
      <c r="IZ212" s="21"/>
      <c r="JA212" s="21"/>
      <c r="JB212" s="30"/>
      <c r="JC212" s="21"/>
      <c r="JD212" s="36"/>
      <c r="JE212" s="21" t="str">
        <f t="shared" si="881"/>
        <v/>
      </c>
      <c r="JF212" s="30"/>
      <c r="JG212" s="21"/>
      <c r="JH212" s="21"/>
      <c r="JI212" s="21"/>
      <c r="JJ212" s="30"/>
      <c r="JK212" s="22"/>
      <c r="JL212" s="22"/>
      <c r="JM212" s="21"/>
      <c r="JN212" s="36"/>
      <c r="JO212" s="21" t="str">
        <f t="shared" si="882"/>
        <v/>
      </c>
      <c r="JP212" s="22"/>
      <c r="JQ212" s="21"/>
      <c r="JR212" s="21"/>
      <c r="JS212" s="21"/>
      <c r="JT212" s="30"/>
      <c r="JU212" s="22"/>
      <c r="JV212" s="22"/>
      <c r="JW212" s="33"/>
      <c r="JX212" s="28" t="str">
        <f t="shared" si="883"/>
        <v/>
      </c>
      <c r="JY212" s="33"/>
      <c r="JZ212" s="28" t="str">
        <f t="shared" si="884"/>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5"/>
        <v>0</v>
      </c>
      <c r="MI212" s="43" t="str">
        <f t="shared" si="929"/>
        <v/>
      </c>
      <c r="MJ212" s="43" t="str">
        <f t="shared" si="887"/>
        <v/>
      </c>
      <c r="MK212" s="43">
        <f t="shared" si="888"/>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30"/>
        <v>17.857142857142858</v>
      </c>
      <c r="MN212" s="43">
        <f t="shared" si="931"/>
        <v>6</v>
      </c>
      <c r="MO212" s="43">
        <f t="shared" si="932"/>
        <v>2023</v>
      </c>
      <c r="MP212" s="43" t="str">
        <f t="shared" si="892"/>
        <v>II TRIMESTRE AÑO</v>
      </c>
      <c r="MQ212" s="43">
        <f t="shared" si="933"/>
        <v>22.484121769601401</v>
      </c>
      <c r="MR212" s="43">
        <f t="shared" si="894"/>
        <v>0</v>
      </c>
      <c r="MS212" s="43" t="str">
        <f t="shared" si="895"/>
        <v xml:space="preserve"> DE 20 A 24 AÑOS</v>
      </c>
      <c r="MT212" s="43">
        <f t="shared" si="896"/>
        <v>0</v>
      </c>
      <c r="MU212" s="43">
        <f t="shared" si="897"/>
        <v>0</v>
      </c>
      <c r="MV212" s="43">
        <f t="shared" si="898"/>
        <v>0</v>
      </c>
      <c r="MW212" s="43">
        <f t="shared" si="899"/>
        <v>0</v>
      </c>
      <c r="MX212" s="43" t="str">
        <f t="shared" si="900"/>
        <v/>
      </c>
      <c r="MY212" s="43" t="str">
        <f t="shared" ca="1" si="901"/>
        <v/>
      </c>
      <c r="MZ212" s="43" t="str">
        <f t="shared" si="902"/>
        <v/>
      </c>
      <c r="NA212" s="43" t="str">
        <f t="shared" si="903"/>
        <v/>
      </c>
      <c r="NB212" s="43" t="str">
        <f t="shared" si="904"/>
        <v/>
      </c>
      <c r="NC212" s="43" t="str">
        <f t="shared" si="905"/>
        <v/>
      </c>
      <c r="ND212" s="43">
        <f t="shared" ca="1" si="934"/>
        <v>0</v>
      </c>
      <c r="NE212" s="43">
        <f>IF(OR(O212&gt;0,R212&gt;0),SUM(COUNTIF(Tabla1[[#This Row],[AÑOS AL INICIO5 CPN]],"&gt;=40"),COUNTIF(AS212,"0"),COUNTIF(AR212,"SI"),COUNTIF(CC212,"SI"),COUNTIF(BQ212,"&gt;119"),COUNTIF(CI212,"&gt;=35")),"")</f>
        <v>1</v>
      </c>
      <c r="NF212" s="43">
        <f t="shared" si="935"/>
        <v>23.857142857142858</v>
      </c>
      <c r="NG212" s="43">
        <f t="shared" si="908"/>
        <v>0</v>
      </c>
      <c r="NH212" s="43">
        <f t="shared" si="909"/>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6"/>
        <v>X</v>
      </c>
      <c r="NM212" s="43" t="str">
        <f t="shared" si="941"/>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12"/>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7"/>
        <v>2</v>
      </c>
      <c r="NS212" s="205">
        <f t="shared" ca="1" si="914"/>
        <v>1</v>
      </c>
      <c r="NT212" s="21">
        <f t="shared" ca="1" si="915"/>
        <v>1</v>
      </c>
      <c r="NU212" s="21" t="str">
        <f t="shared" ca="1" si="916"/>
        <v>INCOMPLETO</v>
      </c>
      <c r="NV212" s="21" t="str">
        <f t="shared" ca="1" si="917"/>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8"/>
        <v>VACUNADA</v>
      </c>
      <c r="NY212" s="43">
        <f>ROW(Tabla1[[#This Row],['# DE TAMIZAJES SIFILIS TOMADOS ]])</f>
        <v>212</v>
      </c>
      <c r="NZ212" s="43">
        <f t="shared" si="740"/>
        <v>17</v>
      </c>
      <c r="OA212" s="43" t="str">
        <f t="shared" si="741"/>
        <v/>
      </c>
      <c r="OB212" s="43" t="str">
        <f t="shared" si="742"/>
        <v/>
      </c>
      <c r="OC212" s="43" t="str">
        <f t="shared" si="743"/>
        <v/>
      </c>
      <c r="OD212" s="43" t="str">
        <f t="shared" si="744"/>
        <v/>
      </c>
      <c r="OE212" s="43" t="str">
        <f t="shared" si="745"/>
        <v/>
      </c>
      <c r="OF212" s="43" t="str">
        <f t="shared" si="746"/>
        <v/>
      </c>
      <c r="OG212" s="43" t="str">
        <f t="shared" si="747"/>
        <v/>
      </c>
      <c r="OH212" s="43" t="str">
        <f t="shared" si="748"/>
        <v/>
      </c>
      <c r="OI212" s="43" t="str">
        <f t="shared" si="749"/>
        <v>SOBREPESO</v>
      </c>
      <c r="OJ212" s="43" t="str">
        <f t="shared" si="750"/>
        <v/>
      </c>
      <c r="OK212" s="43" t="str">
        <f t="shared" si="751"/>
        <v/>
      </c>
      <c r="OL212" s="43" t="str">
        <f t="shared" si="752"/>
        <v/>
      </c>
      <c r="OM212" s="43" t="str">
        <f t="shared" si="753"/>
        <v/>
      </c>
      <c r="ON212" s="43" t="str">
        <f t="shared" si="754"/>
        <v/>
      </c>
      <c r="OO212" s="43" t="str">
        <f t="shared" si="755"/>
        <v/>
      </c>
      <c r="OP212" s="43" t="str">
        <f t="shared" si="756"/>
        <v/>
      </c>
      <c r="OQ212" s="43" t="str">
        <f t="shared" si="757"/>
        <v/>
      </c>
      <c r="OR212" s="43" t="str">
        <f t="shared" si="758"/>
        <v/>
      </c>
      <c r="OS212" s="43" t="str">
        <f t="shared" si="759"/>
        <v/>
      </c>
      <c r="OT212" s="43" t="str">
        <f t="shared" si="760"/>
        <v/>
      </c>
      <c r="OU212" s="43" t="str">
        <f t="shared" si="761"/>
        <v/>
      </c>
      <c r="OV212" s="110" t="str">
        <f t="shared" si="762"/>
        <v/>
      </c>
      <c r="OW212" s="43" t="str">
        <f t="shared" si="763"/>
        <v/>
      </c>
      <c r="OX212" s="43" t="str">
        <f t="shared" si="764"/>
        <v/>
      </c>
      <c r="OY212" s="43" t="str">
        <f t="shared" si="765"/>
        <v/>
      </c>
      <c r="OZ212" s="43" t="str">
        <f t="shared" si="766"/>
        <v/>
      </c>
      <c r="PA212" s="43" t="str">
        <f t="shared" si="767"/>
        <v/>
      </c>
      <c r="PB212" s="43" t="str">
        <f t="shared" si="768"/>
        <v/>
      </c>
      <c r="PC212" s="43" t="str">
        <f t="shared" si="769"/>
        <v/>
      </c>
      <c r="PD212" s="43" t="str">
        <f t="shared" si="770"/>
        <v/>
      </c>
      <c r="PE212" s="43" t="str">
        <f t="shared" si="771"/>
        <v/>
      </c>
      <c r="PF212" s="43" t="str">
        <f t="shared" si="772"/>
        <v/>
      </c>
      <c r="PG212" s="43" t="str">
        <f t="shared" si="773"/>
        <v/>
      </c>
      <c r="PH212" s="43" t="str">
        <f t="shared" si="774"/>
        <v/>
      </c>
      <c r="PI212" s="43">
        <f t="shared" si="775"/>
        <v>23</v>
      </c>
      <c r="PJ212" s="43" t="str">
        <f t="shared" si="776"/>
        <v/>
      </c>
      <c r="PK212" s="43" t="str">
        <f t="shared" si="777"/>
        <v/>
      </c>
      <c r="PL212" s="43" t="str">
        <f t="shared" si="778"/>
        <v/>
      </c>
      <c r="PM212" s="43" t="str">
        <f t="shared" si="779"/>
        <v/>
      </c>
      <c r="PN212" s="43" t="str">
        <f t="shared" si="780"/>
        <v/>
      </c>
      <c r="PO212" s="43" t="str">
        <f t="shared" si="781"/>
        <v/>
      </c>
      <c r="PP212" s="43" t="str">
        <f t="shared" si="782"/>
        <v/>
      </c>
      <c r="PQ212" s="43" t="str">
        <f t="shared" si="783"/>
        <v/>
      </c>
      <c r="PR212" s="43" t="str">
        <f t="shared" si="784"/>
        <v/>
      </c>
      <c r="PS212" s="43" t="str">
        <f t="shared" si="785"/>
        <v/>
      </c>
      <c r="PT212" s="43" t="str">
        <f t="shared" si="786"/>
        <v/>
      </c>
      <c r="PU212" s="43" t="str">
        <f t="shared" si="787"/>
        <v/>
      </c>
      <c r="PV212" s="43" t="str">
        <f t="shared" si="788"/>
        <v/>
      </c>
      <c r="PW212" s="43" t="str">
        <f t="shared" si="789"/>
        <v/>
      </c>
      <c r="PX212" s="43" t="str">
        <f t="shared" si="790"/>
        <v>SOBREPESO</v>
      </c>
      <c r="PY212" s="43" t="str">
        <f t="shared" si="791"/>
        <v/>
      </c>
      <c r="PZ212" s="43" t="str">
        <f t="shared" si="792"/>
        <v/>
      </c>
      <c r="QA212" s="43" t="str">
        <f t="shared" si="793"/>
        <v/>
      </c>
      <c r="QB212" s="43" t="str">
        <f t="shared" si="794"/>
        <v/>
      </c>
      <c r="QC212" s="43" t="str">
        <f t="shared" si="795"/>
        <v/>
      </c>
      <c r="QD212" s="43" t="str">
        <f t="shared" si="796"/>
        <v/>
      </c>
      <c r="QE212" s="43" t="str">
        <f t="shared" si="797"/>
        <v/>
      </c>
      <c r="QF212" s="43" t="str">
        <f t="shared" si="798"/>
        <v/>
      </c>
      <c r="QG212" s="43" t="str">
        <f t="shared" si="799"/>
        <v/>
      </c>
      <c r="QH212" s="43" t="str">
        <f t="shared" si="800"/>
        <v/>
      </c>
      <c r="QI212" s="43" t="str">
        <f t="shared" si="801"/>
        <v/>
      </c>
      <c r="QJ212" s="43" t="str">
        <f t="shared" si="802"/>
        <v/>
      </c>
      <c r="QK212" s="43" t="str">
        <f t="shared" si="803"/>
        <v/>
      </c>
      <c r="QL212" s="43" t="str">
        <f t="shared" si="804"/>
        <v/>
      </c>
      <c r="QM212" s="43" t="str">
        <f t="shared" si="805"/>
        <v/>
      </c>
      <c r="QN212" s="43" t="str">
        <f t="shared" si="806"/>
        <v/>
      </c>
      <c r="QO212" s="43" t="str">
        <f t="shared" si="807"/>
        <v/>
      </c>
      <c r="QP212" s="43" t="str">
        <f t="shared" si="808"/>
        <v/>
      </c>
      <c r="QQ212" s="43" t="str">
        <f t="shared" si="809"/>
        <v/>
      </c>
      <c r="QR212" s="43">
        <f t="shared" si="839"/>
        <v>23</v>
      </c>
      <c r="QS212" s="43"/>
      <c r="QT212" s="21" t="str">
        <f t="shared" si="810"/>
        <v/>
      </c>
      <c r="QU212" s="21" t="str">
        <f t="shared" si="811"/>
        <v/>
      </c>
      <c r="QV212" s="21" t="str">
        <f t="shared" si="812"/>
        <v/>
      </c>
      <c r="QW212" s="21" t="str">
        <f t="shared" si="813"/>
        <v/>
      </c>
      <c r="QX212" s="21" t="str">
        <f t="shared" si="814"/>
        <v/>
      </c>
      <c r="QY212" s="21" t="str">
        <f t="shared" si="815"/>
        <v/>
      </c>
      <c r="QZ212" s="21" t="str">
        <f t="shared" si="816"/>
        <v/>
      </c>
      <c r="RA212" s="21" t="str">
        <f t="shared" si="817"/>
        <v/>
      </c>
      <c r="RB212" s="21" t="str">
        <f t="shared" si="818"/>
        <v/>
      </c>
      <c r="RC212" s="21" t="str">
        <f t="shared" si="819"/>
        <v/>
      </c>
      <c r="RD212" s="21" t="str">
        <f t="shared" si="820"/>
        <v>ADECUADO PARA EDAD GESTACIONAL</v>
      </c>
      <c r="RE212" s="21" t="str">
        <f t="shared" si="821"/>
        <v/>
      </c>
      <c r="RF212" s="21" t="str">
        <f t="shared" si="822"/>
        <v/>
      </c>
      <c r="RG212" s="21" t="str">
        <f t="shared" si="823"/>
        <v/>
      </c>
      <c r="RH212" s="21" t="str">
        <f t="shared" si="824"/>
        <v/>
      </c>
      <c r="RI212" s="21" t="str">
        <f t="shared" si="825"/>
        <v/>
      </c>
      <c r="RJ212" s="21" t="str">
        <f t="shared" si="826"/>
        <v/>
      </c>
      <c r="RK212" s="21" t="str">
        <f t="shared" si="827"/>
        <v/>
      </c>
      <c r="RL212" s="21" t="str">
        <f t="shared" si="828"/>
        <v/>
      </c>
      <c r="RM212" s="21" t="str">
        <f t="shared" si="829"/>
        <v/>
      </c>
      <c r="RN212" s="21" t="str">
        <f t="shared" si="830"/>
        <v/>
      </c>
      <c r="RO212" s="21" t="str">
        <f t="shared" si="831"/>
        <v/>
      </c>
      <c r="RP212" s="21" t="str">
        <f t="shared" si="832"/>
        <v/>
      </c>
      <c r="RQ212" s="21" t="str">
        <f t="shared" si="833"/>
        <v/>
      </c>
      <c r="RR212" s="21" t="str">
        <f t="shared" si="834"/>
        <v/>
      </c>
      <c r="RS212" s="21" t="str">
        <f t="shared" si="835"/>
        <v/>
      </c>
      <c r="RT212" s="21" t="str">
        <f t="shared" si="836"/>
        <v/>
      </c>
      <c r="RU212" s="21" t="str">
        <f t="shared" si="837"/>
        <v/>
      </c>
      <c r="RV212" s="21">
        <f t="shared" si="838"/>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40"/>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41"/>
        <v>21.715068493150685</v>
      </c>
      <c r="O213" s="22">
        <v>45055</v>
      </c>
      <c r="P213" s="214" t="str">
        <f t="shared" si="919"/>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2"/>
        <v>0</v>
      </c>
      <c r="BR213" s="223">
        <f t="shared" si="843"/>
        <v>45013.3</v>
      </c>
      <c r="BS213" s="224">
        <f t="shared" si="844"/>
        <v>5.9571428571424416</v>
      </c>
      <c r="BT213" s="216" t="str">
        <f t="shared" si="845"/>
        <v>I TRIM</v>
      </c>
      <c r="BU213" s="214">
        <f t="shared" ca="1" si="928"/>
        <v>31.242857142856728</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7"/>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8"/>
        <v>45143</v>
      </c>
      <c r="CL213" s="21">
        <v>57.2</v>
      </c>
      <c r="CM213" s="214">
        <f t="shared" si="849"/>
        <v>23.205809566311007</v>
      </c>
      <c r="CN213" s="216">
        <f t="shared" si="850"/>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51"/>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20"/>
        <v>PLANEAR PLAN DE PARTO</v>
      </c>
      <c r="DV213" s="226" t="str">
        <f t="shared" si="921"/>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2"/>
        <v>#REF!</v>
      </c>
      <c r="DY213" s="212">
        <f>IF(R213="","",IF(R213&gt;0,MAX(Tabla1[[#This Row],[FECHA C2]:[FECHA C13]],Tabla1[[#This Row],[FECHA CONSULTA PRIMERA VEZ PROGRAMA CPN ]])))</f>
        <v>45143</v>
      </c>
      <c r="DZ213" s="216">
        <f t="shared" si="853"/>
        <v>18</v>
      </c>
      <c r="EA213" s="222">
        <f>IF(R213&gt;0,SUM(COUNTA(DF213:DQ213)+COUNTA(Tabla1[[#This Row],[FECHA CONSULTA PRIMERA VEZ PROGRAMA CPN ]])),"")</f>
        <v>4</v>
      </c>
      <c r="EB213" s="222" t="str">
        <f t="shared" si="854"/>
        <v>SI</v>
      </c>
      <c r="EC213" s="214">
        <f t="shared" si="855"/>
        <v>10</v>
      </c>
      <c r="ED213" s="227">
        <f t="shared" si="856"/>
        <v>0.4</v>
      </c>
      <c r="EE213" s="22">
        <v>45055</v>
      </c>
      <c r="EF213" s="22">
        <v>45055</v>
      </c>
      <c r="EG213" s="22">
        <v>45055</v>
      </c>
      <c r="EH213" s="22"/>
      <c r="EI213" s="22">
        <v>45055</v>
      </c>
      <c r="EJ213" s="22"/>
      <c r="EK213" s="22"/>
      <c r="EL213" s="21"/>
      <c r="EM213" s="21">
        <v>14.5</v>
      </c>
      <c r="EN213" s="22">
        <v>45055</v>
      </c>
      <c r="EO213" s="222">
        <f t="shared" si="857"/>
        <v>5.9571428571424416</v>
      </c>
      <c r="EP213" s="214" t="str">
        <f t="shared" si="858"/>
        <v>NO DAR SULFATO FERROSO</v>
      </c>
      <c r="EQ213" s="216" t="str">
        <f t="shared" si="859"/>
        <v>I TRIM</v>
      </c>
      <c r="ER213" s="24"/>
      <c r="ES213" s="22"/>
      <c r="ET213" s="29" t="str">
        <f t="shared" ca="1" si="922"/>
        <v>TOMA DE HEMOGLOBINA TARDÍA</v>
      </c>
      <c r="EU213" s="25" t="str">
        <f t="shared" si="860"/>
        <v/>
      </c>
      <c r="EV213" s="24" t="s">
        <v>1510</v>
      </c>
      <c r="EW213" s="32">
        <v>45055</v>
      </c>
      <c r="EX213" s="22"/>
      <c r="EY213" s="29">
        <f t="shared" si="693"/>
        <v>5.9571428571424416</v>
      </c>
      <c r="EZ213" s="25" t="str">
        <f t="shared" si="694"/>
        <v>SIN RIESGO DE ISOINMUNIZACIÓN</v>
      </c>
      <c r="FA213" s="21">
        <v>81</v>
      </c>
      <c r="FB213" s="22">
        <v>45055</v>
      </c>
      <c r="FC213" s="29">
        <f t="shared" si="861"/>
        <v>5.9571428571424416</v>
      </c>
      <c r="FD213" s="29"/>
      <c r="FE213" s="29"/>
      <c r="FF213" s="29"/>
      <c r="FG213" s="21" t="str">
        <f t="shared" ca="1" si="862"/>
        <v>TOMAR PTOG</v>
      </c>
      <c r="FH213" s="31"/>
      <c r="FI213" s="29" t="str">
        <f t="shared" si="863"/>
        <v>TOMAR EXAMEN</v>
      </c>
      <c r="FJ213" s="22" t="s">
        <v>867</v>
      </c>
      <c r="FK213" s="22">
        <v>45055</v>
      </c>
      <c r="FL213" s="29">
        <f t="shared" ca="1" si="864"/>
        <v>5.9571428571424416</v>
      </c>
      <c r="FM213" s="22"/>
      <c r="FN213" s="32"/>
      <c r="FO213" s="29" t="str">
        <f t="shared" ca="1" si="923"/>
        <v>PIERDE TOMA DE TAMIZAJE</v>
      </c>
      <c r="FP213" s="22"/>
      <c r="FQ213" s="32"/>
      <c r="FR213" s="29" t="str">
        <f t="shared" ca="1" si="924"/>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5"/>
        <v>TOMAR EXAMEN</v>
      </c>
      <c r="FY213" s="22">
        <v>45055</v>
      </c>
      <c r="FZ213" s="22">
        <v>45055</v>
      </c>
      <c r="GA213" s="29">
        <f t="shared" ca="1" si="939"/>
        <v>5.9571428571424416</v>
      </c>
      <c r="GB213" s="22"/>
      <c r="GC213" s="22"/>
      <c r="GD213" s="29" t="str">
        <f t="shared" ca="1" si="940"/>
        <v>PIERDE TOMA DE TAMIZAJE</v>
      </c>
      <c r="GE213" s="22"/>
      <c r="GF213" s="22"/>
      <c r="GG213" s="29" t="str">
        <f t="shared" ca="1" si="926"/>
        <v>EN RANGO PARA TOMAR EXAMEN</v>
      </c>
      <c r="GH213" s="22"/>
      <c r="GI213" s="29"/>
      <c r="GJ213" s="22"/>
      <c r="GK213" s="22"/>
      <c r="GL213" s="22"/>
      <c r="GM213" s="22"/>
      <c r="GN213" s="28"/>
      <c r="GO213" s="22"/>
      <c r="GP213" s="29" t="str">
        <f t="shared" si="866"/>
        <v>TOMAR EXAMEN</v>
      </c>
      <c r="GQ213" s="28" t="s">
        <v>869</v>
      </c>
      <c r="GR213" s="28" t="s">
        <v>869</v>
      </c>
      <c r="GS213" s="22" t="str">
        <f t="shared" si="728"/>
        <v>CONTROL Igm</v>
      </c>
      <c r="GT213" s="22">
        <v>45055</v>
      </c>
      <c r="GU213" s="29">
        <f t="shared" si="867"/>
        <v>7.4285714285714288</v>
      </c>
      <c r="GV213" s="21" t="str">
        <f t="shared" si="868"/>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9"/>
        <v>#REF!</v>
      </c>
      <c r="HI213" s="22" t="e">
        <f t="shared" ca="1" si="870"/>
        <v>#REF!</v>
      </c>
      <c r="HJ213" s="21" t="str">
        <f t="shared" ca="1" si="871"/>
        <v>**********************MULTIPARIDAD*****************</v>
      </c>
      <c r="HK213" s="21" t="str">
        <f t="shared" si="872"/>
        <v>SIN ANTECEDENTES DE RIESGO</v>
      </c>
      <c r="HL213" s="24" t="str">
        <f t="shared" si="873"/>
        <v>APARENTEMENTE NORMAL</v>
      </c>
      <c r="HM213" s="21" t="e">
        <f t="shared" ca="1" si="874"/>
        <v>#REF!</v>
      </c>
      <c r="HN213" s="30" t="str">
        <f t="shared" si="927"/>
        <v>ACTIVA INGRESO A CPN</v>
      </c>
      <c r="HO213" s="21"/>
      <c r="HP213" s="21"/>
      <c r="HQ213" s="349"/>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5"/>
        <v>5.9571428571424416</v>
      </c>
      <c r="IA213" s="26"/>
      <c r="IB213" s="26"/>
      <c r="IC213" s="22">
        <v>45115</v>
      </c>
      <c r="ID213" s="22"/>
      <c r="IE213" s="22" t="str">
        <f t="shared" ca="1" si="876"/>
        <v>INASISTENTE</v>
      </c>
      <c r="IF213" s="22">
        <v>45115</v>
      </c>
      <c r="IG213" s="22">
        <f t="shared" si="877"/>
        <v>45293.3</v>
      </c>
      <c r="IH213" s="29">
        <f t="shared" ca="1" si="878"/>
        <v>61.30000000000291</v>
      </c>
      <c r="II213" s="22" t="str">
        <f t="shared" ca="1" si="879"/>
        <v>PENDIENTE</v>
      </c>
      <c r="IJ213" s="22"/>
      <c r="IK213" s="21"/>
      <c r="IL213" s="21"/>
      <c r="IM213" s="34"/>
      <c r="IN213" s="22"/>
      <c r="IO213" s="21"/>
      <c r="IP213" s="29" t="str">
        <f t="shared" si="880"/>
        <v/>
      </c>
      <c r="IQ213" s="35"/>
      <c r="IR213" s="21"/>
      <c r="IS213" s="21"/>
      <c r="IT213" s="21"/>
      <c r="IU213" s="21"/>
      <c r="IV213" s="21"/>
      <c r="IW213" s="21"/>
      <c r="IX213" s="21"/>
      <c r="IY213" s="21"/>
      <c r="IZ213" s="21"/>
      <c r="JA213" s="21"/>
      <c r="JB213" s="30"/>
      <c r="JC213" s="21"/>
      <c r="JD213" s="36"/>
      <c r="JE213" s="21" t="str">
        <f t="shared" si="881"/>
        <v/>
      </c>
      <c r="JF213" s="30"/>
      <c r="JG213" s="21"/>
      <c r="JH213" s="21"/>
      <c r="JI213" s="21"/>
      <c r="JJ213" s="30"/>
      <c r="JK213" s="22"/>
      <c r="JL213" s="22"/>
      <c r="JM213" s="21"/>
      <c r="JN213" s="36"/>
      <c r="JO213" s="21" t="str">
        <f t="shared" si="882"/>
        <v/>
      </c>
      <c r="JP213" s="22"/>
      <c r="JQ213" s="21"/>
      <c r="JR213" s="21"/>
      <c r="JS213" s="21"/>
      <c r="JT213" s="30"/>
      <c r="JU213" s="22"/>
      <c r="JV213" s="22"/>
      <c r="JW213" s="33"/>
      <c r="JX213" s="28" t="str">
        <f t="shared" si="883"/>
        <v/>
      </c>
      <c r="JY213" s="33"/>
      <c r="JZ213" s="28" t="str">
        <f t="shared" si="884"/>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5"/>
        <v>0</v>
      </c>
      <c r="MI213" s="43" t="str">
        <f t="shared" si="929"/>
        <v/>
      </c>
      <c r="MJ213" s="43" t="str">
        <f t="shared" si="887"/>
        <v/>
      </c>
      <c r="MK213" s="43">
        <f t="shared" si="888"/>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30"/>
        <v>5.9571428571424416</v>
      </c>
      <c r="MN213" s="43">
        <f t="shared" si="931"/>
        <v>5</v>
      </c>
      <c r="MO213" s="43">
        <f t="shared" si="932"/>
        <v>2023</v>
      </c>
      <c r="MP213" s="43" t="str">
        <f t="shared" si="892"/>
        <v>II TRIMESTRE AÑO</v>
      </c>
      <c r="MQ213" s="43">
        <f t="shared" si="933"/>
        <v>20.915462111257117</v>
      </c>
      <c r="MR213" s="43">
        <f t="shared" si="894"/>
        <v>0</v>
      </c>
      <c r="MS213" s="43" t="str">
        <f t="shared" si="895"/>
        <v xml:space="preserve"> DE 20 A 24 AÑOS</v>
      </c>
      <c r="MT213" s="43">
        <f t="shared" si="896"/>
        <v>0</v>
      </c>
      <c r="MU213" s="43">
        <f t="shared" si="897"/>
        <v>1</v>
      </c>
      <c r="MV213" s="43">
        <f t="shared" si="898"/>
        <v>0</v>
      </c>
      <c r="MW213" s="43">
        <f t="shared" si="899"/>
        <v>0</v>
      </c>
      <c r="MX213" s="43" t="str">
        <f t="shared" si="900"/>
        <v/>
      </c>
      <c r="MY213" s="43" t="str">
        <f t="shared" ca="1" si="901"/>
        <v/>
      </c>
      <c r="MZ213" s="43" t="str">
        <f t="shared" si="902"/>
        <v/>
      </c>
      <c r="NA213" s="43" t="str">
        <f t="shared" si="903"/>
        <v/>
      </c>
      <c r="NB213" s="43" t="str">
        <f t="shared" si="904"/>
        <v/>
      </c>
      <c r="NC213" s="43" t="str">
        <f t="shared" si="905"/>
        <v/>
      </c>
      <c r="ND213" s="43">
        <f t="shared" ca="1" si="934"/>
        <v>1</v>
      </c>
      <c r="NE213" s="43">
        <f>IF(OR(O213&gt;0,R213&gt;0),SUM(COUNTIF(Tabla1[[#This Row],[AÑOS AL INICIO5 CPN]],"&gt;=40"),COUNTIF(AS213,"0"),COUNTIF(AR213,"SI"),COUNTIF(CC213,"SI"),COUNTIF(BQ213,"&gt;119"),COUNTIF(CI213,"&gt;=35")),"")</f>
        <v>1</v>
      </c>
      <c r="NF213" s="43" t="str">
        <f t="shared" si="935"/>
        <v/>
      </c>
      <c r="NG213" s="43">
        <f t="shared" si="908"/>
        <v>0</v>
      </c>
      <c r="NH213" s="43">
        <f t="shared" si="909"/>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6"/>
        <v>X</v>
      </c>
      <c r="NM213" s="43" t="str">
        <f t="shared" si="941"/>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12"/>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7"/>
        <v>3</v>
      </c>
      <c r="NS213" s="205">
        <f t="shared" ca="1" si="914"/>
        <v>1</v>
      </c>
      <c r="NT213" s="21">
        <f t="shared" ca="1" si="915"/>
        <v>1</v>
      </c>
      <c r="NU213" s="21" t="str">
        <f t="shared" ca="1" si="916"/>
        <v>INCOMPLETO</v>
      </c>
      <c r="NV213" s="21" t="str">
        <f t="shared" ca="1" si="917"/>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8"/>
        <v>SIN VACUNAR</v>
      </c>
      <c r="NY213" s="43">
        <f>ROW(Tabla1[[#This Row],['# DE TAMIZAJES SIFILIS TOMADOS ]])</f>
        <v>213</v>
      </c>
      <c r="NZ213" s="43" t="str">
        <f t="shared" si="740"/>
        <v>Menor</v>
      </c>
      <c r="OA213" s="43" t="str">
        <f t="shared" si="741"/>
        <v>NORMAL</v>
      </c>
      <c r="OB213" s="43" t="str">
        <f t="shared" si="742"/>
        <v/>
      </c>
      <c r="OC213" s="43" t="str">
        <f t="shared" si="743"/>
        <v/>
      </c>
      <c r="OD213" s="43" t="str">
        <f t="shared" si="744"/>
        <v/>
      </c>
      <c r="OE213" s="43" t="str">
        <f t="shared" si="745"/>
        <v/>
      </c>
      <c r="OF213" s="43" t="str">
        <f t="shared" si="746"/>
        <v/>
      </c>
      <c r="OG213" s="43" t="str">
        <f t="shared" si="747"/>
        <v/>
      </c>
      <c r="OH213" s="43" t="str">
        <f t="shared" si="748"/>
        <v/>
      </c>
      <c r="OI213" s="43" t="str">
        <f t="shared" si="749"/>
        <v/>
      </c>
      <c r="OJ213" s="43" t="str">
        <f t="shared" si="750"/>
        <v/>
      </c>
      <c r="OK213" s="43" t="str">
        <f t="shared" si="751"/>
        <v/>
      </c>
      <c r="OL213" s="43" t="str">
        <f t="shared" si="752"/>
        <v/>
      </c>
      <c r="OM213" s="43" t="str">
        <f t="shared" si="753"/>
        <v/>
      </c>
      <c r="ON213" s="43" t="str">
        <f t="shared" si="754"/>
        <v/>
      </c>
      <c r="OO213" s="43" t="str">
        <f t="shared" si="755"/>
        <v/>
      </c>
      <c r="OP213" s="43" t="str">
        <f t="shared" si="756"/>
        <v/>
      </c>
      <c r="OQ213" s="43" t="str">
        <f t="shared" si="757"/>
        <v/>
      </c>
      <c r="OR213" s="43" t="str">
        <f t="shared" si="758"/>
        <v/>
      </c>
      <c r="OS213" s="43" t="str">
        <f t="shared" si="759"/>
        <v/>
      </c>
      <c r="OT213" s="43" t="str">
        <f t="shared" si="760"/>
        <v/>
      </c>
      <c r="OU213" s="43" t="str">
        <f t="shared" si="761"/>
        <v/>
      </c>
      <c r="OV213" s="110" t="str">
        <f t="shared" si="762"/>
        <v/>
      </c>
      <c r="OW213" s="43" t="str">
        <f t="shared" si="763"/>
        <v/>
      </c>
      <c r="OX213" s="43" t="str">
        <f t="shared" si="764"/>
        <v/>
      </c>
      <c r="OY213" s="43" t="str">
        <f t="shared" si="765"/>
        <v/>
      </c>
      <c r="OZ213" s="43" t="str">
        <f t="shared" si="766"/>
        <v/>
      </c>
      <c r="PA213" s="43" t="str">
        <f t="shared" si="767"/>
        <v/>
      </c>
      <c r="PB213" s="43" t="str">
        <f t="shared" si="768"/>
        <v/>
      </c>
      <c r="PC213" s="43" t="str">
        <f t="shared" si="769"/>
        <v/>
      </c>
      <c r="PD213" s="43" t="str">
        <f t="shared" si="770"/>
        <v/>
      </c>
      <c r="PE213" s="43" t="str">
        <f t="shared" si="771"/>
        <v/>
      </c>
      <c r="PF213" s="43" t="str">
        <f t="shared" si="772"/>
        <v/>
      </c>
      <c r="PG213" s="43" t="str">
        <f t="shared" si="773"/>
        <v/>
      </c>
      <c r="PH213" s="43" t="str">
        <f t="shared" si="774"/>
        <v/>
      </c>
      <c r="PI213" s="43">
        <f t="shared" si="775"/>
        <v>18</v>
      </c>
      <c r="PJ213" s="43" t="str">
        <f t="shared" si="776"/>
        <v/>
      </c>
      <c r="PK213" s="43" t="str">
        <f t="shared" si="777"/>
        <v/>
      </c>
      <c r="PL213" s="43" t="str">
        <f t="shared" si="778"/>
        <v/>
      </c>
      <c r="PM213" s="43" t="str">
        <f t="shared" si="779"/>
        <v/>
      </c>
      <c r="PN213" s="43" t="str">
        <f t="shared" si="780"/>
        <v/>
      </c>
      <c r="PO213" s="43" t="str">
        <f t="shared" si="781"/>
        <v/>
      </c>
      <c r="PP213" s="43" t="str">
        <f t="shared" si="782"/>
        <v/>
      </c>
      <c r="PQ213" s="43" t="str">
        <f t="shared" si="783"/>
        <v/>
      </c>
      <c r="PR213" s="43" t="str">
        <f t="shared" si="784"/>
        <v/>
      </c>
      <c r="PS213" s="43" t="str">
        <f t="shared" si="785"/>
        <v>NORMAL</v>
      </c>
      <c r="PT213" s="43" t="str">
        <f t="shared" si="786"/>
        <v/>
      </c>
      <c r="PU213" s="43" t="str">
        <f t="shared" si="787"/>
        <v/>
      </c>
      <c r="PV213" s="43" t="str">
        <f t="shared" si="788"/>
        <v/>
      </c>
      <c r="PW213" s="43" t="str">
        <f t="shared" si="789"/>
        <v/>
      </c>
      <c r="PX213" s="43" t="str">
        <f t="shared" si="790"/>
        <v/>
      </c>
      <c r="PY213" s="43" t="str">
        <f t="shared" si="791"/>
        <v/>
      </c>
      <c r="PZ213" s="43" t="str">
        <f t="shared" si="792"/>
        <v/>
      </c>
      <c r="QA213" s="43" t="str">
        <f t="shared" si="793"/>
        <v/>
      </c>
      <c r="QB213" s="43" t="str">
        <f t="shared" si="794"/>
        <v/>
      </c>
      <c r="QC213" s="43" t="str">
        <f t="shared" si="795"/>
        <v/>
      </c>
      <c r="QD213" s="43" t="str">
        <f t="shared" si="796"/>
        <v/>
      </c>
      <c r="QE213" s="43" t="str">
        <f t="shared" si="797"/>
        <v/>
      </c>
      <c r="QF213" s="43" t="str">
        <f t="shared" si="798"/>
        <v/>
      </c>
      <c r="QG213" s="43" t="str">
        <f t="shared" si="799"/>
        <v/>
      </c>
      <c r="QH213" s="43" t="str">
        <f t="shared" si="800"/>
        <v/>
      </c>
      <c r="QI213" s="43" t="str">
        <f t="shared" si="801"/>
        <v/>
      </c>
      <c r="QJ213" s="43" t="str">
        <f t="shared" si="802"/>
        <v/>
      </c>
      <c r="QK213" s="43" t="str">
        <f t="shared" si="803"/>
        <v/>
      </c>
      <c r="QL213" s="43" t="str">
        <f t="shared" si="804"/>
        <v/>
      </c>
      <c r="QM213" s="43" t="str">
        <f t="shared" si="805"/>
        <v/>
      </c>
      <c r="QN213" s="43" t="str">
        <f t="shared" si="806"/>
        <v/>
      </c>
      <c r="QO213" s="43" t="str">
        <f t="shared" si="807"/>
        <v/>
      </c>
      <c r="QP213" s="43" t="str">
        <f t="shared" si="808"/>
        <v/>
      </c>
      <c r="QQ213" s="43" t="str">
        <f t="shared" si="809"/>
        <v/>
      </c>
      <c r="QR213" s="43">
        <f t="shared" si="839"/>
        <v>18</v>
      </c>
      <c r="QS213" s="43"/>
      <c r="QT213" s="21" t="str">
        <f t="shared" si="810"/>
        <v/>
      </c>
      <c r="QU213" s="21" t="str">
        <f t="shared" si="811"/>
        <v/>
      </c>
      <c r="QV213" s="21" t="str">
        <f t="shared" si="812"/>
        <v/>
      </c>
      <c r="QW213" s="21" t="str">
        <f t="shared" si="813"/>
        <v/>
      </c>
      <c r="QX213" s="21" t="str">
        <f t="shared" si="814"/>
        <v/>
      </c>
      <c r="QY213" s="21" t="str">
        <f t="shared" si="815"/>
        <v>ALTO PARA EDAD GESTACIONAL</v>
      </c>
      <c r="QZ213" s="21" t="str">
        <f t="shared" si="816"/>
        <v/>
      </c>
      <c r="RA213" s="21" t="str">
        <f t="shared" si="817"/>
        <v/>
      </c>
      <c r="RB213" s="21" t="str">
        <f t="shared" si="818"/>
        <v/>
      </c>
      <c r="RC213" s="21" t="str">
        <f t="shared" si="819"/>
        <v/>
      </c>
      <c r="RD213" s="21" t="str">
        <f t="shared" si="820"/>
        <v/>
      </c>
      <c r="RE213" s="21" t="str">
        <f t="shared" si="821"/>
        <v/>
      </c>
      <c r="RF213" s="21" t="str">
        <f t="shared" si="822"/>
        <v/>
      </c>
      <c r="RG213" s="21" t="str">
        <f t="shared" si="823"/>
        <v/>
      </c>
      <c r="RH213" s="21" t="str">
        <f t="shared" si="824"/>
        <v/>
      </c>
      <c r="RI213" s="21" t="str">
        <f t="shared" si="825"/>
        <v/>
      </c>
      <c r="RJ213" s="21" t="str">
        <f t="shared" si="826"/>
        <v/>
      </c>
      <c r="RK213" s="21" t="str">
        <f t="shared" si="827"/>
        <v/>
      </c>
      <c r="RL213" s="21" t="str">
        <f t="shared" si="828"/>
        <v/>
      </c>
      <c r="RM213" s="21" t="str">
        <f t="shared" si="829"/>
        <v/>
      </c>
      <c r="RN213" s="21" t="str">
        <f t="shared" si="830"/>
        <v/>
      </c>
      <c r="RO213" s="21" t="str">
        <f t="shared" si="831"/>
        <v/>
      </c>
      <c r="RP213" s="21" t="str">
        <f t="shared" si="832"/>
        <v/>
      </c>
      <c r="RQ213" s="21" t="str">
        <f t="shared" si="833"/>
        <v/>
      </c>
      <c r="RR213" s="21" t="str">
        <f t="shared" si="834"/>
        <v/>
      </c>
      <c r="RS213" s="21" t="str">
        <f t="shared" si="835"/>
        <v/>
      </c>
      <c r="RT213" s="21" t="str">
        <f t="shared" si="836"/>
        <v/>
      </c>
      <c r="RU213" s="21" t="str">
        <f t="shared" si="837"/>
        <v/>
      </c>
      <c r="RV213" s="21">
        <f t="shared" si="838"/>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40"/>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41"/>
        <v>28.356164383561644</v>
      </c>
      <c r="O214" s="22">
        <v>45118</v>
      </c>
      <c r="P214" s="214" t="str">
        <f t="shared" si="919"/>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2"/>
        <v>55.233333333333334</v>
      </c>
      <c r="BR214" s="223" t="str">
        <f t="shared" si="843"/>
        <v/>
      </c>
      <c r="BS214" s="224">
        <f t="shared" si="844"/>
        <v>34.714285714285715</v>
      </c>
      <c r="BT214" s="216" t="str">
        <f t="shared" si="845"/>
        <v>III TRIM</v>
      </c>
      <c r="BU214" s="214" t="str">
        <f t="shared" ca="1" si="928"/>
        <v/>
      </c>
      <c r="BV214" s="25"/>
      <c r="BW214" s="22"/>
      <c r="BX214" s="28"/>
      <c r="BY214" s="28"/>
      <c r="BZ214" s="22"/>
      <c r="CA214" s="21"/>
      <c r="CB214" s="26"/>
      <c r="CC214" s="26"/>
      <c r="CD214" s="26"/>
      <c r="CE214" s="26"/>
      <c r="CF214" s="22" t="s">
        <v>1517</v>
      </c>
      <c r="CG214" s="21">
        <v>1.53</v>
      </c>
      <c r="CH214" s="21">
        <v>67</v>
      </c>
      <c r="CI214" s="214">
        <f t="shared" si="847"/>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8"/>
        <v>45118</v>
      </c>
      <c r="CL214" s="21">
        <v>67</v>
      </c>
      <c r="CM214" s="214">
        <f t="shared" si="849"/>
        <v>28.621470374642232</v>
      </c>
      <c r="CN214" s="216">
        <f t="shared" si="850"/>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51"/>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20"/>
        <v>CONCERTAR PLAN DE PARTO INMEDIATO</v>
      </c>
      <c r="DV214" s="226" t="str">
        <f t="shared" si="921"/>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2"/>
        <v>#REF!</v>
      </c>
      <c r="DY214" s="212">
        <f>IF(R214="","",IF(R214&gt;0,MAX(Tabla1[[#This Row],[FECHA C2]:[FECHA C13]],Tabla1[[#This Row],[FECHA CONSULTA PRIMERA VEZ PROGRAMA CPN ]])))</f>
        <v>45118</v>
      </c>
      <c r="DZ214" s="216">
        <f t="shared" si="853"/>
        <v>34</v>
      </c>
      <c r="EA214" s="222">
        <f>IF(R214&gt;0,SUM(COUNTA(DF214:DQ214)+COUNTA(Tabla1[[#This Row],[FECHA CONSULTA PRIMERA VEZ PROGRAMA CPN ]])),"")</f>
        <v>1</v>
      </c>
      <c r="EB214" s="222" t="str">
        <f t="shared" si="854"/>
        <v>NO</v>
      </c>
      <c r="EC214" s="214">
        <f t="shared" si="855"/>
        <v>3</v>
      </c>
      <c r="ED214" s="227">
        <f t="shared" si="856"/>
        <v>0.33333333333333331</v>
      </c>
      <c r="EE214" s="22">
        <v>45118</v>
      </c>
      <c r="EF214" s="22"/>
      <c r="EG214" s="22">
        <v>45118</v>
      </c>
      <c r="EH214" s="22"/>
      <c r="EI214" s="22">
        <v>45118</v>
      </c>
      <c r="EJ214" s="22"/>
      <c r="EK214" s="22"/>
      <c r="EL214" s="21"/>
      <c r="EM214" s="21"/>
      <c r="EN214" s="22"/>
      <c r="EO214" s="222" t="str">
        <f t="shared" si="857"/>
        <v>TOMAR EXAMEN</v>
      </c>
      <c r="EP214" s="214" t="str">
        <f t="shared" si="858"/>
        <v/>
      </c>
      <c r="EQ214" s="216" t="str">
        <f t="shared" si="859"/>
        <v>POR DEFINIR</v>
      </c>
      <c r="ER214" s="24"/>
      <c r="ES214" s="22"/>
      <c r="ET214" s="29" t="str">
        <f t="shared" ca="1" si="922"/>
        <v>TOMA DE HEMOGLOBINA TARDÍA</v>
      </c>
      <c r="EU214" s="25" t="str">
        <f t="shared" si="860"/>
        <v/>
      </c>
      <c r="EV214" s="24"/>
      <c r="EW214" s="24"/>
      <c r="EX214" s="22"/>
      <c r="EY214" s="29" t="str">
        <f t="shared" si="693"/>
        <v>TOMAR EXAMEN</v>
      </c>
      <c r="EZ214" s="25" t="str">
        <f t="shared" ca="1" si="694"/>
        <v/>
      </c>
      <c r="FA214" s="21"/>
      <c r="FB214" s="22"/>
      <c r="FC214" s="29" t="str">
        <f t="shared" si="861"/>
        <v>PIERDE TOMA TAMIZAJE- INGRESO TARDIO</v>
      </c>
      <c r="FD214" s="29"/>
      <c r="FE214" s="29"/>
      <c r="FF214" s="29"/>
      <c r="FG214" s="21" t="str">
        <f t="shared" ca="1" si="862"/>
        <v/>
      </c>
      <c r="FH214" s="31"/>
      <c r="FI214" s="29" t="str">
        <f t="shared" si="863"/>
        <v>TOMAR EXAMEN</v>
      </c>
      <c r="FJ214" s="22"/>
      <c r="FK214" s="22"/>
      <c r="FL214" s="29" t="str">
        <f t="shared" ca="1" si="864"/>
        <v>NO APLICA-INGRESO TARDIO</v>
      </c>
      <c r="FM214" s="22"/>
      <c r="FN214" s="32"/>
      <c r="FO214" s="29" t="str">
        <f t="shared" ca="1" si="923"/>
        <v>NO APLICA-INGRESO TARDIO</v>
      </c>
      <c r="FP214" s="22"/>
      <c r="FQ214" s="32"/>
      <c r="FR214" s="29" t="str">
        <f t="shared" ca="1" si="924"/>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5"/>
        <v>TOMAR EXAMEN</v>
      </c>
      <c r="FY214" s="22"/>
      <c r="FZ214" s="22"/>
      <c r="GA214" s="29" t="str">
        <f t="shared" ca="1" si="939"/>
        <v>NO APLICA-INGRESO TARDIO</v>
      </c>
      <c r="GB214" s="22"/>
      <c r="GC214" s="22"/>
      <c r="GD214" s="29" t="str">
        <f t="shared" ca="1" si="940"/>
        <v>NO APLICA-INGRESO TARDIO</v>
      </c>
      <c r="GE214" s="22"/>
      <c r="GF214" s="22"/>
      <c r="GG214" s="29" t="str">
        <f t="shared" ca="1" si="926"/>
        <v>TOMA INMEDIATA DE TAMIZAJE</v>
      </c>
      <c r="GH214" s="22"/>
      <c r="GI214" s="29"/>
      <c r="GJ214" s="22"/>
      <c r="GK214" s="22"/>
      <c r="GL214" s="22"/>
      <c r="GM214" s="22"/>
      <c r="GN214" s="28"/>
      <c r="GO214" s="22"/>
      <c r="GP214" s="29" t="str">
        <f t="shared" si="866"/>
        <v>TOMAR EXAMEN</v>
      </c>
      <c r="GQ214" s="28"/>
      <c r="GR214" s="28"/>
      <c r="GS214" s="22" t="str">
        <f t="shared" si="728"/>
        <v/>
      </c>
      <c r="GT214" s="22"/>
      <c r="GU214" s="29" t="str">
        <f t="shared" si="867"/>
        <v>TOMAR EXAMEN</v>
      </c>
      <c r="GV214" s="21" t="str">
        <f t="shared" si="868"/>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9"/>
        <v>#REF!</v>
      </c>
      <c r="HI214" s="22" t="e">
        <f t="shared" ca="1" si="870"/>
        <v>#REF!</v>
      </c>
      <c r="HJ214" s="21" t="str">
        <f t="shared" ca="1" si="871"/>
        <v>***************************************</v>
      </c>
      <c r="HK214" s="21" t="str">
        <f t="shared" si="872"/>
        <v>SIN ANTECEDENTES DE RIESGO</v>
      </c>
      <c r="HL214" s="24" t="str">
        <f t="shared" si="873"/>
        <v>APARENTEMENTE NORMAL</v>
      </c>
      <c r="HM214" s="21" t="e">
        <f t="shared" ca="1" si="874"/>
        <v>#REF!</v>
      </c>
      <c r="HN214" s="30" t="str">
        <f t="shared" si="927"/>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5"/>
        <v>PENDIENTE CONSULTA</v>
      </c>
      <c r="IA214" s="26"/>
      <c r="IB214" s="26"/>
      <c r="IC214" s="111"/>
      <c r="ID214" s="22"/>
      <c r="IE214" s="22" t="str">
        <f t="shared" ca="1" si="876"/>
        <v/>
      </c>
      <c r="IF214" s="22"/>
      <c r="IG214" s="22">
        <f t="shared" si="877"/>
        <v>45155</v>
      </c>
      <c r="IH214" s="29">
        <f t="shared" ca="1" si="878"/>
        <v>-77</v>
      </c>
      <c r="II214" s="22" t="str">
        <f t="shared" ca="1" si="879"/>
        <v>POSIBLEMENTE NACIO</v>
      </c>
      <c r="IJ214" s="22"/>
      <c r="IK214" s="21"/>
      <c r="IL214" s="21"/>
      <c r="IM214" s="34"/>
      <c r="IN214" s="349"/>
      <c r="IO214" s="21"/>
      <c r="IP214" s="29" t="str">
        <f t="shared" si="880"/>
        <v/>
      </c>
      <c r="IQ214" s="35"/>
      <c r="IR214" s="21"/>
      <c r="IS214" s="21"/>
      <c r="IT214" s="21"/>
      <c r="IU214" s="21"/>
      <c r="IV214" s="21"/>
      <c r="IW214" s="21"/>
      <c r="IX214" s="21"/>
      <c r="IY214" s="21"/>
      <c r="IZ214" s="21"/>
      <c r="JA214" s="21"/>
      <c r="JB214" s="30"/>
      <c r="JC214" s="21"/>
      <c r="JD214" s="36"/>
      <c r="JE214" s="21" t="str">
        <f t="shared" si="881"/>
        <v/>
      </c>
      <c r="JF214" s="30"/>
      <c r="JG214" s="21"/>
      <c r="JH214" s="21"/>
      <c r="JI214" s="21"/>
      <c r="JJ214" s="30"/>
      <c r="JK214" s="22"/>
      <c r="JL214" s="22"/>
      <c r="JM214" s="21"/>
      <c r="JN214" s="36"/>
      <c r="JO214" s="21" t="str">
        <f t="shared" si="882"/>
        <v/>
      </c>
      <c r="JP214" s="22"/>
      <c r="JQ214" s="21"/>
      <c r="JR214" s="21"/>
      <c r="JS214" s="21"/>
      <c r="JT214" s="30"/>
      <c r="JU214" s="22"/>
      <c r="JV214" s="22"/>
      <c r="JW214" s="33"/>
      <c r="JX214" s="28" t="str">
        <f t="shared" si="883"/>
        <v/>
      </c>
      <c r="JY214" s="33"/>
      <c r="JZ214" s="28" t="str">
        <f t="shared" si="884"/>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5"/>
        <v>0</v>
      </c>
      <c r="MI214" s="43" t="str">
        <f t="shared" si="929"/>
        <v/>
      </c>
      <c r="MJ214" s="43" t="str">
        <f t="shared" si="887"/>
        <v/>
      </c>
      <c r="MK214" s="43">
        <f t="shared" si="888"/>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30"/>
        <v>34.714285714285715</v>
      </c>
      <c r="MN214" s="43">
        <f t="shared" si="931"/>
        <v>7</v>
      </c>
      <c r="MO214" s="43">
        <f t="shared" si="932"/>
        <v>2023</v>
      </c>
      <c r="MP214" s="43" t="str">
        <f t="shared" si="892"/>
        <v>III TRIMESTRE AÑO</v>
      </c>
      <c r="MQ214" s="43">
        <f t="shared" si="933"/>
        <v>27.619908015768726</v>
      </c>
      <c r="MR214" s="43">
        <f t="shared" si="894"/>
        <v>0</v>
      </c>
      <c r="MS214" s="43" t="str">
        <f t="shared" si="895"/>
        <v xml:space="preserve"> DE 25 A 29 AÑOS</v>
      </c>
      <c r="MT214" s="43">
        <f t="shared" si="896"/>
        <v>0</v>
      </c>
      <c r="MU214" s="43">
        <f t="shared" si="897"/>
        <v>0</v>
      </c>
      <c r="MV214" s="43">
        <f t="shared" si="898"/>
        <v>0</v>
      </c>
      <c r="MW214" s="43">
        <f t="shared" si="899"/>
        <v>0</v>
      </c>
      <c r="MX214" s="43" t="str">
        <f t="shared" si="900"/>
        <v/>
      </c>
      <c r="MY214" s="43" t="str">
        <f t="shared" ca="1" si="901"/>
        <v/>
      </c>
      <c r="MZ214" s="43" t="str">
        <f t="shared" si="902"/>
        <v/>
      </c>
      <c r="NA214" s="43" t="str">
        <f t="shared" si="903"/>
        <v/>
      </c>
      <c r="NB214" s="43" t="str">
        <f t="shared" si="904"/>
        <v/>
      </c>
      <c r="NC214" s="43" t="str">
        <f t="shared" si="905"/>
        <v/>
      </c>
      <c r="ND214" s="43">
        <f t="shared" ca="1" si="934"/>
        <v>0</v>
      </c>
      <c r="NE214" s="43">
        <f>IF(OR(O214&gt;0,R214&gt;0),SUM(COUNTIF(Tabla1[[#This Row],[AÑOS AL INICIO5 CPN]],"&gt;=40"),COUNTIF(AS214,"0"),COUNTIF(AR214,"SI"),COUNTIF(CC214,"SI"),COUNTIF(BQ214,"&gt;119"),COUNTIF(CI214,"&gt;=35")),"")</f>
        <v>0</v>
      </c>
      <c r="NF214" s="43" t="str">
        <f t="shared" si="935"/>
        <v/>
      </c>
      <c r="NG214" s="43">
        <f t="shared" si="908"/>
        <v>0</v>
      </c>
      <c r="NH214" s="43" t="str">
        <f t="shared" si="909"/>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6"/>
        <v>X</v>
      </c>
      <c r="NM214" s="43" t="str">
        <f t="shared" si="941"/>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12"/>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7"/>
        <v>1</v>
      </c>
      <c r="NS214" s="205">
        <f t="shared" ca="1" si="914"/>
        <v>0</v>
      </c>
      <c r="NT214" s="21">
        <f t="shared" ca="1" si="915"/>
        <v>0</v>
      </c>
      <c r="NU214" s="21" t="str">
        <f t="shared" ca="1" si="916"/>
        <v>INCOMPLETO</v>
      </c>
      <c r="NV214" s="21" t="str">
        <f t="shared" ca="1" si="917"/>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8"/>
        <v>SIN VACUNAR</v>
      </c>
      <c r="NY214" s="43">
        <f>ROW(Tabla1[[#This Row],['# DE TAMIZAJES SIFILIS TOMADOS ]])</f>
        <v>214</v>
      </c>
      <c r="NZ214" s="43">
        <f t="shared" si="740"/>
        <v>34</v>
      </c>
      <c r="OA214" s="43" t="str">
        <f t="shared" si="741"/>
        <v/>
      </c>
      <c r="OB214" s="43" t="str">
        <f t="shared" si="742"/>
        <v/>
      </c>
      <c r="OC214" s="43" t="str">
        <f t="shared" si="743"/>
        <v/>
      </c>
      <c r="OD214" s="43" t="str">
        <f t="shared" si="744"/>
        <v/>
      </c>
      <c r="OE214" s="43" t="str">
        <f t="shared" si="745"/>
        <v/>
      </c>
      <c r="OF214" s="43" t="str">
        <f t="shared" si="746"/>
        <v/>
      </c>
      <c r="OG214" s="43" t="str">
        <f t="shared" si="747"/>
        <v/>
      </c>
      <c r="OH214" s="43" t="str">
        <f t="shared" si="748"/>
        <v/>
      </c>
      <c r="OI214" s="43" t="str">
        <f t="shared" si="749"/>
        <v/>
      </c>
      <c r="OJ214" s="43" t="str">
        <f t="shared" si="750"/>
        <v/>
      </c>
      <c r="OK214" s="43" t="str">
        <f t="shared" si="751"/>
        <v/>
      </c>
      <c r="OL214" s="43" t="str">
        <f t="shared" si="752"/>
        <v/>
      </c>
      <c r="OM214" s="43" t="str">
        <f t="shared" si="753"/>
        <v/>
      </c>
      <c r="ON214" s="43" t="str">
        <f t="shared" si="754"/>
        <v/>
      </c>
      <c r="OO214" s="43" t="str">
        <f t="shared" si="755"/>
        <v/>
      </c>
      <c r="OP214" s="43" t="str">
        <f t="shared" si="756"/>
        <v/>
      </c>
      <c r="OQ214" s="43" t="str">
        <f t="shared" si="757"/>
        <v/>
      </c>
      <c r="OR214" s="43" t="str">
        <f t="shared" si="758"/>
        <v/>
      </c>
      <c r="OS214" s="43" t="str">
        <f t="shared" si="759"/>
        <v/>
      </c>
      <c r="OT214" s="43" t="str">
        <f t="shared" si="760"/>
        <v/>
      </c>
      <c r="OU214" s="43" t="str">
        <f t="shared" si="761"/>
        <v/>
      </c>
      <c r="OV214" s="110" t="str">
        <f t="shared" si="762"/>
        <v/>
      </c>
      <c r="OW214" s="43" t="str">
        <f t="shared" si="763"/>
        <v/>
      </c>
      <c r="OX214" s="43" t="str">
        <f t="shared" si="764"/>
        <v/>
      </c>
      <c r="OY214" s="43" t="str">
        <f t="shared" si="765"/>
        <v/>
      </c>
      <c r="OZ214" s="43" t="str">
        <f t="shared" si="766"/>
        <v>SOBREPESO</v>
      </c>
      <c r="PA214" s="43" t="str">
        <f t="shared" si="767"/>
        <v/>
      </c>
      <c r="PB214" s="43" t="str">
        <f t="shared" si="768"/>
        <v/>
      </c>
      <c r="PC214" s="43" t="str">
        <f t="shared" si="769"/>
        <v/>
      </c>
      <c r="PD214" s="43" t="str">
        <f t="shared" si="770"/>
        <v/>
      </c>
      <c r="PE214" s="43" t="str">
        <f t="shared" si="771"/>
        <v/>
      </c>
      <c r="PF214" s="43" t="str">
        <f t="shared" si="772"/>
        <v/>
      </c>
      <c r="PG214" s="43" t="str">
        <f t="shared" si="773"/>
        <v/>
      </c>
      <c r="PH214" s="43" t="str">
        <f t="shared" si="774"/>
        <v/>
      </c>
      <c r="PI214" s="43">
        <f t="shared" si="775"/>
        <v>34</v>
      </c>
      <c r="PJ214" s="43" t="str">
        <f t="shared" si="776"/>
        <v/>
      </c>
      <c r="PK214" s="43" t="str">
        <f t="shared" si="777"/>
        <v/>
      </c>
      <c r="PL214" s="43" t="str">
        <f t="shared" si="778"/>
        <v/>
      </c>
      <c r="PM214" s="43" t="str">
        <f t="shared" si="779"/>
        <v/>
      </c>
      <c r="PN214" s="43" t="str">
        <f t="shared" si="780"/>
        <v/>
      </c>
      <c r="PO214" s="43" t="str">
        <f t="shared" si="781"/>
        <v/>
      </c>
      <c r="PP214" s="43" t="str">
        <f t="shared" si="782"/>
        <v/>
      </c>
      <c r="PQ214" s="43" t="str">
        <f t="shared" si="783"/>
        <v/>
      </c>
      <c r="PR214" s="43" t="str">
        <f t="shared" si="784"/>
        <v/>
      </c>
      <c r="PS214" s="43" t="str">
        <f t="shared" si="785"/>
        <v/>
      </c>
      <c r="PT214" s="43" t="str">
        <f t="shared" si="786"/>
        <v/>
      </c>
      <c r="PU214" s="43" t="str">
        <f t="shared" si="787"/>
        <v/>
      </c>
      <c r="PV214" s="43" t="str">
        <f t="shared" si="788"/>
        <v/>
      </c>
      <c r="PW214" s="43" t="str">
        <f t="shared" si="789"/>
        <v/>
      </c>
      <c r="PX214" s="43" t="str">
        <f t="shared" si="790"/>
        <v/>
      </c>
      <c r="PY214" s="43" t="str">
        <f t="shared" si="791"/>
        <v/>
      </c>
      <c r="PZ214" s="43" t="str">
        <f t="shared" si="792"/>
        <v/>
      </c>
      <c r="QA214" s="43" t="str">
        <f t="shared" si="793"/>
        <v/>
      </c>
      <c r="QB214" s="43" t="str">
        <f t="shared" si="794"/>
        <v/>
      </c>
      <c r="QC214" s="43" t="str">
        <f t="shared" si="795"/>
        <v/>
      </c>
      <c r="QD214" s="43" t="str">
        <f t="shared" si="796"/>
        <v/>
      </c>
      <c r="QE214" s="43" t="str">
        <f t="shared" si="797"/>
        <v/>
      </c>
      <c r="QF214" s="43" t="str">
        <f t="shared" si="798"/>
        <v/>
      </c>
      <c r="QG214" s="43" t="str">
        <f t="shared" si="799"/>
        <v/>
      </c>
      <c r="QH214" s="43" t="str">
        <f t="shared" si="800"/>
        <v/>
      </c>
      <c r="QI214" s="43" t="str">
        <f t="shared" si="801"/>
        <v>SOBREPESO</v>
      </c>
      <c r="QJ214" s="43" t="str">
        <f t="shared" si="802"/>
        <v/>
      </c>
      <c r="QK214" s="43" t="str">
        <f t="shared" si="803"/>
        <v/>
      </c>
      <c r="QL214" s="43" t="str">
        <f t="shared" si="804"/>
        <v/>
      </c>
      <c r="QM214" s="43" t="str">
        <f t="shared" si="805"/>
        <v/>
      </c>
      <c r="QN214" s="43" t="str">
        <f t="shared" si="806"/>
        <v/>
      </c>
      <c r="QO214" s="43" t="str">
        <f t="shared" si="807"/>
        <v/>
      </c>
      <c r="QP214" s="43" t="str">
        <f t="shared" si="808"/>
        <v/>
      </c>
      <c r="QQ214" s="43" t="str">
        <f t="shared" si="809"/>
        <v/>
      </c>
      <c r="QR214" s="43">
        <f t="shared" si="839"/>
        <v>34</v>
      </c>
      <c r="QS214" s="43"/>
      <c r="QT214" s="21" t="str">
        <f t="shared" si="810"/>
        <v/>
      </c>
      <c r="QU214" s="21" t="str">
        <f t="shared" si="811"/>
        <v/>
      </c>
      <c r="QV214" s="21" t="str">
        <f t="shared" si="812"/>
        <v/>
      </c>
      <c r="QW214" s="21" t="str">
        <f t="shared" si="813"/>
        <v/>
      </c>
      <c r="QX214" s="21" t="str">
        <f t="shared" si="814"/>
        <v/>
      </c>
      <c r="QY214" s="21" t="str">
        <f t="shared" si="815"/>
        <v/>
      </c>
      <c r="QZ214" s="21" t="str">
        <f t="shared" si="816"/>
        <v/>
      </c>
      <c r="RA214" s="21" t="str">
        <f t="shared" si="817"/>
        <v/>
      </c>
      <c r="RB214" s="21" t="str">
        <f t="shared" si="818"/>
        <v/>
      </c>
      <c r="RC214" s="21" t="str">
        <f t="shared" si="819"/>
        <v/>
      </c>
      <c r="RD214" s="21" t="str">
        <f t="shared" si="820"/>
        <v/>
      </c>
      <c r="RE214" s="21" t="str">
        <f t="shared" si="821"/>
        <v/>
      </c>
      <c r="RF214" s="21" t="str">
        <f t="shared" si="822"/>
        <v/>
      </c>
      <c r="RG214" s="21" t="str">
        <f t="shared" si="823"/>
        <v/>
      </c>
      <c r="RH214" s="21" t="str">
        <f t="shared" si="824"/>
        <v/>
      </c>
      <c r="RI214" s="21" t="str">
        <f t="shared" si="825"/>
        <v/>
      </c>
      <c r="RJ214" s="21" t="str">
        <f t="shared" si="826"/>
        <v/>
      </c>
      <c r="RK214" s="21" t="str">
        <f t="shared" si="827"/>
        <v/>
      </c>
      <c r="RL214" s="21" t="str">
        <f t="shared" si="828"/>
        <v/>
      </c>
      <c r="RM214" s="21" t="str">
        <f t="shared" si="829"/>
        <v/>
      </c>
      <c r="RN214" s="21" t="str">
        <f t="shared" si="830"/>
        <v/>
      </c>
      <c r="RO214" s="21" t="str">
        <f t="shared" si="831"/>
        <v>ADECUADO PARA EDAD GESTACIONAL</v>
      </c>
      <c r="RP214" s="21" t="str">
        <f t="shared" si="832"/>
        <v/>
      </c>
      <c r="RQ214" s="21" t="str">
        <f t="shared" si="833"/>
        <v/>
      </c>
      <c r="RR214" s="21" t="str">
        <f t="shared" si="834"/>
        <v/>
      </c>
      <c r="RS214" s="21" t="str">
        <f t="shared" si="835"/>
        <v/>
      </c>
      <c r="RT214" s="21" t="str">
        <f t="shared" si="836"/>
        <v/>
      </c>
      <c r="RU214" s="21" t="str">
        <f t="shared" si="837"/>
        <v/>
      </c>
      <c r="RV214" s="21">
        <f t="shared" si="838"/>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40"/>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41"/>
        <v>25.87123287671233</v>
      </c>
      <c r="O215" s="22">
        <v>45121</v>
      </c>
      <c r="P215" s="214" t="str">
        <f t="shared" si="919"/>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2"/>
        <v>0</v>
      </c>
      <c r="BR215" s="223" t="str">
        <f t="shared" si="843"/>
        <v/>
      </c>
      <c r="BS215" s="224">
        <f t="shared" si="844"/>
        <v>39.142857142857146</v>
      </c>
      <c r="BT215" s="216" t="str">
        <f t="shared" si="845"/>
        <v>III TRIM</v>
      </c>
      <c r="BU215" s="214" t="str">
        <f t="shared" ca="1" si="928"/>
        <v/>
      </c>
      <c r="BV215" s="25"/>
      <c r="BW215" s="22"/>
      <c r="BX215" s="28"/>
      <c r="BY215" s="28"/>
      <c r="BZ215" s="22"/>
      <c r="CA215" s="21"/>
      <c r="CB215" s="26"/>
      <c r="CC215" s="26"/>
      <c r="CD215" s="26"/>
      <c r="CE215" s="26"/>
      <c r="CF215" s="22" t="s">
        <v>1517</v>
      </c>
      <c r="CG215" s="21">
        <v>1.52</v>
      </c>
      <c r="CH215" s="21">
        <v>45.6</v>
      </c>
      <c r="CI215" s="214">
        <f t="shared" si="847"/>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8"/>
        <v>45121</v>
      </c>
      <c r="CL215" s="21">
        <v>45.6</v>
      </c>
      <c r="CM215" s="214">
        <f t="shared" si="849"/>
        <v>19.736842105263158</v>
      </c>
      <c r="CN215" s="216">
        <f t="shared" si="850"/>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51"/>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20"/>
        <v>CONCERTAR PLAN DE PARTO INMEDIATO</v>
      </c>
      <c r="DV215" s="226" t="str">
        <f t="shared" si="921"/>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2"/>
        <v>#REF!</v>
      </c>
      <c r="DY215" s="212">
        <f>IF(R215="","",IF(R215&gt;0,MAX(Tabla1[[#This Row],[FECHA C2]:[FECHA C13]],Tabla1[[#This Row],[FECHA CONSULTA PRIMERA VEZ PROGRAMA CPN ]])))</f>
        <v>45121</v>
      </c>
      <c r="DZ215" s="216">
        <f t="shared" si="853"/>
        <v>39</v>
      </c>
      <c r="EA215" s="222">
        <f>IF(R215&gt;0,SUM(COUNTA(DF215:DQ215)+COUNTA(Tabla1[[#This Row],[FECHA CONSULTA PRIMERA VEZ PROGRAMA CPN ]])),"")</f>
        <v>1</v>
      </c>
      <c r="EB215" s="222" t="str">
        <f t="shared" si="854"/>
        <v>NO</v>
      </c>
      <c r="EC215" s="214">
        <f t="shared" si="855"/>
        <v>2</v>
      </c>
      <c r="ED215" s="227">
        <f t="shared" si="856"/>
        <v>0.5</v>
      </c>
      <c r="EE215" s="22">
        <v>45121</v>
      </c>
      <c r="EF215" s="22"/>
      <c r="EG215" s="22">
        <v>45121</v>
      </c>
      <c r="EH215" s="22"/>
      <c r="EI215" s="22">
        <v>45121</v>
      </c>
      <c r="EJ215" s="22"/>
      <c r="EK215" s="22"/>
      <c r="EL215" s="21"/>
      <c r="EM215" s="21">
        <v>14.7</v>
      </c>
      <c r="EN215" s="22">
        <v>45124</v>
      </c>
      <c r="EO215" s="222">
        <f t="shared" si="857"/>
        <v>39.571428571428569</v>
      </c>
      <c r="EP215" s="214" t="str">
        <f t="shared" si="858"/>
        <v>NO DAR SULFATO FERROSO</v>
      </c>
      <c r="EQ215" s="216" t="str">
        <f t="shared" si="859"/>
        <v>III TRIM</v>
      </c>
      <c r="ER215" s="24"/>
      <c r="ES215" s="22"/>
      <c r="ET215" s="29" t="str">
        <f t="shared" ca="1" si="922"/>
        <v>TOMA DE HEMOGLOBINA TARDÍA</v>
      </c>
      <c r="EU215" s="25" t="str">
        <f t="shared" si="860"/>
        <v/>
      </c>
      <c r="EV215" s="24" t="s">
        <v>1510</v>
      </c>
      <c r="EW215" s="32">
        <v>45121</v>
      </c>
      <c r="EX215" s="22"/>
      <c r="EY215" s="29">
        <f t="shared" si="693"/>
        <v>39.142857142857146</v>
      </c>
      <c r="EZ215" s="25" t="str">
        <f t="shared" si="694"/>
        <v>SIN RIESGO DE ISOINMUNIZACIÓN</v>
      </c>
      <c r="FA215" s="21">
        <v>83</v>
      </c>
      <c r="FB215" s="32">
        <v>45121</v>
      </c>
      <c r="FC215" s="29" t="str">
        <f t="shared" si="861"/>
        <v>NO APLICA &gt; 23 SEM -TOMAR PTOG</v>
      </c>
      <c r="FD215" s="29"/>
      <c r="FE215" s="29"/>
      <c r="FF215" s="29"/>
      <c r="FG215" s="21" t="str">
        <f t="shared" ca="1" si="862"/>
        <v/>
      </c>
      <c r="FH215" s="31"/>
      <c r="FI215" s="29" t="str">
        <f t="shared" si="863"/>
        <v>TOMAR EXAMEN</v>
      </c>
      <c r="FJ215" s="22" t="s">
        <v>867</v>
      </c>
      <c r="FK215" s="22">
        <v>45121</v>
      </c>
      <c r="FL215" s="29" t="str">
        <f t="shared" si="864"/>
        <v>REGISTRAR EN III TRIMESTRE</v>
      </c>
      <c r="FM215" s="22"/>
      <c r="FN215" s="32"/>
      <c r="FO215" s="29" t="str">
        <f t="shared" ca="1" si="923"/>
        <v>NO APLICA-INGRESO TARDIO</v>
      </c>
      <c r="FP215" s="22"/>
      <c r="FQ215" s="32"/>
      <c r="FR215" s="29" t="str">
        <f t="shared" ca="1" si="924"/>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5"/>
        <v>TOMAR EXAMEN</v>
      </c>
      <c r="FY215" s="22"/>
      <c r="FZ215" s="22"/>
      <c r="GA215" s="29" t="str">
        <f t="shared" ca="1" si="939"/>
        <v>NO APLICA-INGRESO TARDIO</v>
      </c>
      <c r="GB215" s="22"/>
      <c r="GC215" s="22"/>
      <c r="GD215" s="29" t="str">
        <f t="shared" ca="1" si="940"/>
        <v>NO APLICA-INGRESO TARDIO</v>
      </c>
      <c r="GE215" s="22"/>
      <c r="GF215" s="22"/>
      <c r="GG215" s="29" t="str">
        <f t="shared" ca="1" si="926"/>
        <v>TOMA INMEDIATA DE TAMIZAJE</v>
      </c>
      <c r="GH215" s="22"/>
      <c r="GI215" s="29"/>
      <c r="GJ215" s="22"/>
      <c r="GK215" s="22"/>
      <c r="GL215" s="22"/>
      <c r="GM215" s="22"/>
      <c r="GN215" s="28" t="s">
        <v>869</v>
      </c>
      <c r="GO215" s="22">
        <v>45121</v>
      </c>
      <c r="GP215" s="29">
        <f t="shared" si="866"/>
        <v>39.142857142857146</v>
      </c>
      <c r="GQ215" s="28" t="s">
        <v>880</v>
      </c>
      <c r="GR215" s="28" t="s">
        <v>869</v>
      </c>
      <c r="GS215" s="22" t="str">
        <f t="shared" si="728"/>
        <v>SE EXCLUYE INFECCION</v>
      </c>
      <c r="GT215" s="22">
        <v>45121</v>
      </c>
      <c r="GU215" s="29">
        <f t="shared" si="867"/>
        <v>39.142857142857146</v>
      </c>
      <c r="GV215" s="21" t="str">
        <f t="shared" si="868"/>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9"/>
        <v>#REF!</v>
      </c>
      <c r="HI215" s="22" t="e">
        <f t="shared" ca="1" si="870"/>
        <v>#REF!</v>
      </c>
      <c r="HJ215" s="21" t="str">
        <f t="shared" ca="1" si="871"/>
        <v>**********************MULTIPARIDAD*****************</v>
      </c>
      <c r="HK215" s="21" t="str">
        <f t="shared" si="872"/>
        <v>SIN ANTECEDENTES DE RIESGO</v>
      </c>
      <c r="HL215" s="24" t="str">
        <f t="shared" si="873"/>
        <v>APARENTEMENTE NORMAL</v>
      </c>
      <c r="HM215" s="21" t="e">
        <f t="shared" ca="1" si="874"/>
        <v>#REF!</v>
      </c>
      <c r="HN215" s="30" t="str">
        <f t="shared" si="927"/>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5"/>
        <v>39.142857142857146</v>
      </c>
      <c r="IA215" s="26"/>
      <c r="IB215" s="26"/>
      <c r="IC215" s="111"/>
      <c r="ID215" s="22"/>
      <c r="IE215" s="22" t="str">
        <f t="shared" ca="1" si="876"/>
        <v/>
      </c>
      <c r="IF215" s="22"/>
      <c r="IG215" s="22">
        <f t="shared" si="877"/>
        <v>45127</v>
      </c>
      <c r="IH215" s="29">
        <f t="shared" ca="1" si="878"/>
        <v>-105</v>
      </c>
      <c r="II215" s="22" t="str">
        <f t="shared" ca="1" si="879"/>
        <v>POSIBLEMENTE NACIO</v>
      </c>
      <c r="IJ215" s="22"/>
      <c r="IK215" s="21"/>
      <c r="IL215" s="21"/>
      <c r="IM215" s="34"/>
      <c r="IN215" s="349"/>
      <c r="IO215" s="21"/>
      <c r="IP215" s="29" t="str">
        <f t="shared" si="880"/>
        <v/>
      </c>
      <c r="IQ215" s="35"/>
      <c r="IR215" s="21"/>
      <c r="IS215" s="21"/>
      <c r="IT215" s="21"/>
      <c r="IU215" s="21"/>
      <c r="IV215" s="21"/>
      <c r="IW215" s="21"/>
      <c r="IX215" s="21"/>
      <c r="IY215" s="21"/>
      <c r="IZ215" s="21"/>
      <c r="JA215" s="21"/>
      <c r="JB215" s="30"/>
      <c r="JC215" s="21"/>
      <c r="JD215" s="36"/>
      <c r="JE215" s="21" t="str">
        <f t="shared" si="881"/>
        <v/>
      </c>
      <c r="JF215" s="30"/>
      <c r="JG215" s="21"/>
      <c r="JH215" s="21"/>
      <c r="JI215" s="21"/>
      <c r="JJ215" s="30"/>
      <c r="JK215" s="22"/>
      <c r="JL215" s="22"/>
      <c r="JM215" s="21"/>
      <c r="JN215" s="36"/>
      <c r="JO215" s="21" t="str">
        <f t="shared" si="882"/>
        <v/>
      </c>
      <c r="JP215" s="22"/>
      <c r="JQ215" s="21"/>
      <c r="JR215" s="21"/>
      <c r="JS215" s="21"/>
      <c r="JT215" s="30"/>
      <c r="JU215" s="22"/>
      <c r="JV215" s="22"/>
      <c r="JW215" s="33"/>
      <c r="JX215" s="28" t="str">
        <f t="shared" si="883"/>
        <v/>
      </c>
      <c r="JY215" s="33"/>
      <c r="JZ215" s="28" t="str">
        <f t="shared" si="884"/>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5"/>
        <v>0</v>
      </c>
      <c r="MI215" s="43" t="str">
        <f t="shared" si="929"/>
        <v/>
      </c>
      <c r="MJ215" s="43" t="str">
        <f t="shared" si="887"/>
        <v/>
      </c>
      <c r="MK215" s="43">
        <f t="shared" si="888"/>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30"/>
        <v>39.142857142857146</v>
      </c>
      <c r="MN215" s="43">
        <f t="shared" si="931"/>
        <v>7</v>
      </c>
      <c r="MO215" s="43">
        <f t="shared" si="932"/>
        <v>2023</v>
      </c>
      <c r="MP215" s="43" t="str">
        <f t="shared" si="892"/>
        <v>III TRIMESTRE AÑO</v>
      </c>
      <c r="MQ215" s="43">
        <f t="shared" si="933"/>
        <v>25.18342093736312</v>
      </c>
      <c r="MR215" s="43">
        <f t="shared" si="894"/>
        <v>0</v>
      </c>
      <c r="MS215" s="43" t="str">
        <f t="shared" si="895"/>
        <v xml:space="preserve"> DE 25 A 29 AÑOS</v>
      </c>
      <c r="MT215" s="43">
        <f t="shared" si="896"/>
        <v>0</v>
      </c>
      <c r="MU215" s="43">
        <f t="shared" si="897"/>
        <v>1</v>
      </c>
      <c r="MV215" s="43">
        <f t="shared" si="898"/>
        <v>0</v>
      </c>
      <c r="MW215" s="43">
        <f t="shared" si="899"/>
        <v>0</v>
      </c>
      <c r="MX215" s="43" t="str">
        <f t="shared" si="900"/>
        <v/>
      </c>
      <c r="MY215" s="43" t="str">
        <f t="shared" ca="1" si="901"/>
        <v/>
      </c>
      <c r="MZ215" s="43" t="str">
        <f t="shared" si="902"/>
        <v/>
      </c>
      <c r="NA215" s="43" t="str">
        <f t="shared" si="903"/>
        <v/>
      </c>
      <c r="NB215" s="43" t="str">
        <f t="shared" si="904"/>
        <v/>
      </c>
      <c r="NC215" s="43" t="str">
        <f t="shared" si="905"/>
        <v/>
      </c>
      <c r="ND215" s="43">
        <f t="shared" ca="1" si="934"/>
        <v>1</v>
      </c>
      <c r="NE215" s="43">
        <f>IF(OR(O215&gt;0,R215&gt;0),SUM(COUNTIF(Tabla1[[#This Row],[AÑOS AL INICIO5 CPN]],"&gt;=40"),COUNTIF(AS215,"0"),COUNTIF(AR215,"SI"),COUNTIF(CC215,"SI"),COUNTIF(BQ215,"&gt;119"),COUNTIF(CI215,"&gt;=35")),"")</f>
        <v>0</v>
      </c>
      <c r="NF215" s="43" t="str">
        <f t="shared" si="935"/>
        <v/>
      </c>
      <c r="NG215" s="43">
        <f t="shared" si="908"/>
        <v>0</v>
      </c>
      <c r="NH215" s="43" t="str">
        <f t="shared" si="909"/>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6"/>
        <v>X</v>
      </c>
      <c r="NM215" s="43" t="str">
        <f t="shared" si="941"/>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12"/>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7"/>
        <v>1</v>
      </c>
      <c r="NS215" s="205">
        <f t="shared" ca="1" si="914"/>
        <v>0</v>
      </c>
      <c r="NT215" s="21">
        <f t="shared" ca="1" si="915"/>
        <v>0</v>
      </c>
      <c r="NU215" s="21" t="str">
        <f t="shared" ca="1" si="916"/>
        <v>INCOMPLETO</v>
      </c>
      <c r="NV215" s="21" t="str">
        <f t="shared" ca="1" si="917"/>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8"/>
        <v>SIN VACUNAR</v>
      </c>
      <c r="NY215" s="43">
        <f>ROW(Tabla1[[#This Row],['# DE TAMIZAJES SIFILIS TOMADOS ]])</f>
        <v>215</v>
      </c>
      <c r="NZ215" s="43">
        <f t="shared" si="740"/>
        <v>39</v>
      </c>
      <c r="OA215" s="43" t="str">
        <f t="shared" si="741"/>
        <v/>
      </c>
      <c r="OB215" s="43" t="str">
        <f t="shared" si="742"/>
        <v/>
      </c>
      <c r="OC215" s="43" t="str">
        <f t="shared" si="743"/>
        <v/>
      </c>
      <c r="OD215" s="43" t="str">
        <f t="shared" si="744"/>
        <v/>
      </c>
      <c r="OE215" s="43" t="str">
        <f t="shared" si="745"/>
        <v/>
      </c>
      <c r="OF215" s="43" t="str">
        <f t="shared" si="746"/>
        <v/>
      </c>
      <c r="OG215" s="43" t="str">
        <f t="shared" si="747"/>
        <v/>
      </c>
      <c r="OH215" s="43" t="str">
        <f t="shared" si="748"/>
        <v/>
      </c>
      <c r="OI215" s="43" t="str">
        <f t="shared" si="749"/>
        <v/>
      </c>
      <c r="OJ215" s="43" t="str">
        <f t="shared" si="750"/>
        <v/>
      </c>
      <c r="OK215" s="43" t="str">
        <f t="shared" si="751"/>
        <v/>
      </c>
      <c r="OL215" s="43" t="str">
        <f t="shared" si="752"/>
        <v/>
      </c>
      <c r="OM215" s="43" t="str">
        <f t="shared" si="753"/>
        <v/>
      </c>
      <c r="ON215" s="43" t="str">
        <f t="shared" si="754"/>
        <v/>
      </c>
      <c r="OO215" s="43" t="str">
        <f t="shared" si="755"/>
        <v/>
      </c>
      <c r="OP215" s="43" t="str">
        <f t="shared" si="756"/>
        <v/>
      </c>
      <c r="OQ215" s="43" t="str">
        <f t="shared" si="757"/>
        <v/>
      </c>
      <c r="OR215" s="43" t="str">
        <f t="shared" si="758"/>
        <v/>
      </c>
      <c r="OS215" s="43" t="str">
        <f t="shared" si="759"/>
        <v/>
      </c>
      <c r="OT215" s="43" t="str">
        <f t="shared" si="760"/>
        <v/>
      </c>
      <c r="OU215" s="43" t="str">
        <f t="shared" si="761"/>
        <v/>
      </c>
      <c r="OV215" s="110" t="str">
        <f t="shared" si="762"/>
        <v/>
      </c>
      <c r="OW215" s="43" t="str">
        <f t="shared" si="763"/>
        <v/>
      </c>
      <c r="OX215" s="43" t="str">
        <f t="shared" si="764"/>
        <v/>
      </c>
      <c r="OY215" s="43" t="str">
        <f t="shared" si="765"/>
        <v/>
      </c>
      <c r="OZ215" s="43" t="str">
        <f t="shared" si="766"/>
        <v/>
      </c>
      <c r="PA215" s="43" t="str">
        <f t="shared" si="767"/>
        <v/>
      </c>
      <c r="PB215" s="43" t="str">
        <f t="shared" si="768"/>
        <v/>
      </c>
      <c r="PC215" s="43" t="str">
        <f t="shared" si="769"/>
        <v/>
      </c>
      <c r="PD215" s="43" t="str">
        <f t="shared" si="770"/>
        <v/>
      </c>
      <c r="PE215" s="43" t="str">
        <f t="shared" si="771"/>
        <v>BAJO PESO</v>
      </c>
      <c r="PF215" s="43" t="str">
        <f t="shared" si="772"/>
        <v/>
      </c>
      <c r="PG215" s="43" t="str">
        <f t="shared" si="773"/>
        <v/>
      </c>
      <c r="PH215" s="43" t="str">
        <f t="shared" si="774"/>
        <v/>
      </c>
      <c r="PI215" s="43">
        <f t="shared" si="775"/>
        <v>39</v>
      </c>
      <c r="PJ215" s="43" t="str">
        <f t="shared" si="776"/>
        <v/>
      </c>
      <c r="PK215" s="43" t="str">
        <f t="shared" si="777"/>
        <v/>
      </c>
      <c r="PL215" s="43" t="str">
        <f t="shared" si="778"/>
        <v/>
      </c>
      <c r="PM215" s="43" t="str">
        <f t="shared" si="779"/>
        <v/>
      </c>
      <c r="PN215" s="43" t="str">
        <f t="shared" si="780"/>
        <v/>
      </c>
      <c r="PO215" s="43" t="str">
        <f t="shared" si="781"/>
        <v/>
      </c>
      <c r="PP215" s="43" t="str">
        <f t="shared" si="782"/>
        <v/>
      </c>
      <c r="PQ215" s="43" t="str">
        <f t="shared" si="783"/>
        <v/>
      </c>
      <c r="PR215" s="43" t="str">
        <f t="shared" si="784"/>
        <v/>
      </c>
      <c r="PS215" s="43" t="str">
        <f t="shared" si="785"/>
        <v/>
      </c>
      <c r="PT215" s="43" t="str">
        <f t="shared" si="786"/>
        <v/>
      </c>
      <c r="PU215" s="43" t="str">
        <f t="shared" si="787"/>
        <v/>
      </c>
      <c r="PV215" s="43" t="str">
        <f t="shared" si="788"/>
        <v/>
      </c>
      <c r="PW215" s="43" t="str">
        <f t="shared" si="789"/>
        <v/>
      </c>
      <c r="PX215" s="43" t="str">
        <f t="shared" si="790"/>
        <v/>
      </c>
      <c r="PY215" s="43" t="str">
        <f t="shared" si="791"/>
        <v/>
      </c>
      <c r="PZ215" s="43" t="str">
        <f t="shared" si="792"/>
        <v/>
      </c>
      <c r="QA215" s="43" t="str">
        <f t="shared" si="793"/>
        <v/>
      </c>
      <c r="QB215" s="43" t="str">
        <f t="shared" si="794"/>
        <v/>
      </c>
      <c r="QC215" s="43" t="str">
        <f t="shared" si="795"/>
        <v/>
      </c>
      <c r="QD215" s="43" t="str">
        <f t="shared" si="796"/>
        <v/>
      </c>
      <c r="QE215" s="43" t="str">
        <f t="shared" si="797"/>
        <v/>
      </c>
      <c r="QF215" s="43" t="str">
        <f t="shared" si="798"/>
        <v/>
      </c>
      <c r="QG215" s="43" t="str">
        <f t="shared" si="799"/>
        <v/>
      </c>
      <c r="QH215" s="43" t="str">
        <f t="shared" si="800"/>
        <v/>
      </c>
      <c r="QI215" s="43" t="str">
        <f t="shared" si="801"/>
        <v/>
      </c>
      <c r="QJ215" s="43" t="str">
        <f t="shared" si="802"/>
        <v/>
      </c>
      <c r="QK215" s="43" t="str">
        <f t="shared" si="803"/>
        <v/>
      </c>
      <c r="QL215" s="43" t="str">
        <f t="shared" si="804"/>
        <v/>
      </c>
      <c r="QM215" s="43" t="str">
        <f t="shared" si="805"/>
        <v/>
      </c>
      <c r="QN215" s="43" t="str">
        <f t="shared" si="806"/>
        <v>BAJO PESO</v>
      </c>
      <c r="QO215" s="43" t="str">
        <f t="shared" si="807"/>
        <v/>
      </c>
      <c r="QP215" s="43" t="str">
        <f t="shared" si="808"/>
        <v/>
      </c>
      <c r="QQ215" s="43" t="str">
        <f t="shared" si="809"/>
        <v/>
      </c>
      <c r="QR215" s="43">
        <f t="shared" si="839"/>
        <v>39</v>
      </c>
      <c r="QS215" s="43"/>
      <c r="QT215" s="21" t="str">
        <f t="shared" si="810"/>
        <v/>
      </c>
      <c r="QU215" s="21" t="str">
        <f t="shared" si="811"/>
        <v/>
      </c>
      <c r="QV215" s="21" t="str">
        <f t="shared" si="812"/>
        <v/>
      </c>
      <c r="QW215" s="21" t="str">
        <f t="shared" si="813"/>
        <v/>
      </c>
      <c r="QX215" s="21" t="str">
        <f t="shared" si="814"/>
        <v/>
      </c>
      <c r="QY215" s="21" t="str">
        <f t="shared" si="815"/>
        <v/>
      </c>
      <c r="QZ215" s="21" t="str">
        <f t="shared" si="816"/>
        <v/>
      </c>
      <c r="RA215" s="21" t="str">
        <f t="shared" si="817"/>
        <v/>
      </c>
      <c r="RB215" s="21" t="str">
        <f t="shared" si="818"/>
        <v/>
      </c>
      <c r="RC215" s="21" t="str">
        <f t="shared" si="819"/>
        <v/>
      </c>
      <c r="RD215" s="21" t="str">
        <f t="shared" si="820"/>
        <v/>
      </c>
      <c r="RE215" s="21" t="str">
        <f t="shared" si="821"/>
        <v/>
      </c>
      <c r="RF215" s="21" t="str">
        <f t="shared" si="822"/>
        <v/>
      </c>
      <c r="RG215" s="21" t="str">
        <f t="shared" si="823"/>
        <v/>
      </c>
      <c r="RH215" s="21" t="str">
        <f t="shared" si="824"/>
        <v/>
      </c>
      <c r="RI215" s="21" t="str">
        <f t="shared" si="825"/>
        <v/>
      </c>
      <c r="RJ215" s="21" t="str">
        <f t="shared" si="826"/>
        <v/>
      </c>
      <c r="RK215" s="21" t="str">
        <f t="shared" si="827"/>
        <v/>
      </c>
      <c r="RL215" s="21" t="str">
        <f t="shared" si="828"/>
        <v/>
      </c>
      <c r="RM215" s="21" t="str">
        <f t="shared" si="829"/>
        <v/>
      </c>
      <c r="RN215" s="21" t="str">
        <f t="shared" si="830"/>
        <v/>
      </c>
      <c r="RO215" s="21" t="str">
        <f t="shared" si="831"/>
        <v/>
      </c>
      <c r="RP215" s="21" t="str">
        <f t="shared" si="832"/>
        <v/>
      </c>
      <c r="RQ215" s="21" t="str">
        <f t="shared" si="833"/>
        <v/>
      </c>
      <c r="RR215" s="21" t="str">
        <f t="shared" si="834"/>
        <v/>
      </c>
      <c r="RS215" s="21" t="str">
        <f t="shared" si="835"/>
        <v/>
      </c>
      <c r="RT215" s="21" t="str">
        <f t="shared" si="836"/>
        <v/>
      </c>
      <c r="RU215" s="21" t="str">
        <f t="shared" si="837"/>
        <v/>
      </c>
      <c r="RV215" s="21">
        <f t="shared" si="838"/>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40"/>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41"/>
        <v>20.243835616438357</v>
      </c>
      <c r="O216" s="22">
        <v>45121</v>
      </c>
      <c r="P216" s="214" t="str">
        <f t="shared" si="919"/>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2"/>
        <v>35.1</v>
      </c>
      <c r="BR216" s="223" t="str">
        <f t="shared" si="843"/>
        <v/>
      </c>
      <c r="BS216" s="224">
        <f t="shared" si="844"/>
        <v>23.857142857142858</v>
      </c>
      <c r="BT216" s="216" t="str">
        <f t="shared" si="845"/>
        <v>II TRIM</v>
      </c>
      <c r="BU216" s="214">
        <f t="shared" ca="1" si="928"/>
        <v>39.714285714285715</v>
      </c>
      <c r="BV216" s="25"/>
      <c r="BW216" s="22"/>
      <c r="BX216" s="28"/>
      <c r="BY216" s="28"/>
      <c r="BZ216" s="22"/>
      <c r="CA216" s="21"/>
      <c r="CB216" s="26"/>
      <c r="CC216" s="26"/>
      <c r="CD216" s="26"/>
      <c r="CE216" s="26"/>
      <c r="CF216" s="22" t="s">
        <v>1517</v>
      </c>
      <c r="CG216" s="21">
        <v>1.44</v>
      </c>
      <c r="CH216" s="21">
        <v>56</v>
      </c>
      <c r="CI216" s="214">
        <f t="shared" si="847"/>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8"/>
        <v>45121</v>
      </c>
      <c r="CL216" s="21">
        <v>56</v>
      </c>
      <c r="CM216" s="214">
        <f t="shared" si="849"/>
        <v>27.006172839506174</v>
      </c>
      <c r="CN216" s="216">
        <f t="shared" si="850"/>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51"/>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20"/>
        <v>CONCERTAR PLAN DE PARTO INMEDIATO</v>
      </c>
      <c r="DV216" s="226" t="str">
        <f t="shared" si="921"/>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2"/>
        <v>#REF!</v>
      </c>
      <c r="DY216" s="212">
        <f>IF(R216="","",IF(R216&gt;0,MAX(Tabla1[[#This Row],[FECHA C2]:[FECHA C13]],Tabla1[[#This Row],[FECHA CONSULTA PRIMERA VEZ PROGRAMA CPN ]])))</f>
        <v>45121</v>
      </c>
      <c r="DZ216" s="216">
        <f t="shared" si="853"/>
        <v>23</v>
      </c>
      <c r="EA216" s="222">
        <f>IF(R216&gt;0,SUM(COUNTA(DF216:DQ216)+COUNTA(Tabla1[[#This Row],[FECHA CONSULTA PRIMERA VEZ PROGRAMA CPN ]])),"")</f>
        <v>1</v>
      </c>
      <c r="EB216" s="222" t="str">
        <f t="shared" si="854"/>
        <v>NO</v>
      </c>
      <c r="EC216" s="214">
        <f t="shared" si="855"/>
        <v>6</v>
      </c>
      <c r="ED216" s="227">
        <f t="shared" si="856"/>
        <v>0.16666666666666666</v>
      </c>
      <c r="EE216" s="22">
        <v>45121</v>
      </c>
      <c r="EF216" s="22"/>
      <c r="EG216" s="22">
        <v>45121</v>
      </c>
      <c r="EH216" s="22"/>
      <c r="EI216" s="22">
        <v>45121</v>
      </c>
      <c r="EJ216" s="22"/>
      <c r="EK216" s="22"/>
      <c r="EL216" s="21"/>
      <c r="EM216" s="21">
        <v>12</v>
      </c>
      <c r="EN216" s="22">
        <v>45124</v>
      </c>
      <c r="EO216" s="222">
        <f t="shared" si="857"/>
        <v>24.285714285714285</v>
      </c>
      <c r="EP216" s="214" t="str">
        <f t="shared" si="858"/>
        <v>NORMAL- SUMINISTRAR SULFATO FERROSO</v>
      </c>
      <c r="EQ216" s="216" t="str">
        <f t="shared" si="859"/>
        <v>II TRIM</v>
      </c>
      <c r="ER216" s="24"/>
      <c r="ES216" s="22"/>
      <c r="ET216" s="29" t="str">
        <f t="shared" ca="1" si="922"/>
        <v>TOMA DE HEMOGLOBINA TARDÍA</v>
      </c>
      <c r="EU216" s="25" t="str">
        <f t="shared" si="860"/>
        <v/>
      </c>
      <c r="EV216" s="24" t="s">
        <v>1510</v>
      </c>
      <c r="EW216" s="22">
        <v>45124</v>
      </c>
      <c r="EX216" s="22"/>
      <c r="EY216" s="29">
        <f t="shared" si="693"/>
        <v>24.285714285714285</v>
      </c>
      <c r="EZ216" s="25" t="str">
        <f t="shared" si="694"/>
        <v>SIN RIESGO DE ISOINMUNIZACIÓN</v>
      </c>
      <c r="FA216" s="21">
        <v>74</v>
      </c>
      <c r="FB216" s="22">
        <v>45124</v>
      </c>
      <c r="FC216" s="29" t="str">
        <f t="shared" si="861"/>
        <v>NO APLICA &gt; 23 SEM -TOMAR PTOG</v>
      </c>
      <c r="FD216" s="29"/>
      <c r="FE216" s="29"/>
      <c r="FF216" s="29"/>
      <c r="FG216" s="21" t="str">
        <f t="shared" ca="1" si="862"/>
        <v>TOMAR PTOG</v>
      </c>
      <c r="FH216" s="31"/>
      <c r="FI216" s="29" t="str">
        <f t="shared" si="863"/>
        <v>TOMAR EXAMEN</v>
      </c>
      <c r="FJ216" s="22"/>
      <c r="FK216" s="22"/>
      <c r="FL216" s="29" t="str">
        <f t="shared" ca="1" si="864"/>
        <v>NO APLICA-INGRESO TARDIO</v>
      </c>
      <c r="FM216" s="22" t="s">
        <v>867</v>
      </c>
      <c r="FN216" s="22">
        <v>45124</v>
      </c>
      <c r="FO216" s="29">
        <f t="shared" ca="1" si="923"/>
        <v>24.285714285714285</v>
      </c>
      <c r="FP216" s="22"/>
      <c r="FQ216" s="32"/>
      <c r="FR216" s="29" t="str">
        <f t="shared" ca="1" si="924"/>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5"/>
        <v>TOMAR EXAMEN</v>
      </c>
      <c r="FY216" s="22"/>
      <c r="FZ216" s="22"/>
      <c r="GA216" s="29" t="str">
        <f t="shared" ca="1" si="939"/>
        <v>NO APLICA-INGRESO TARDIO</v>
      </c>
      <c r="GB216" s="22" t="s">
        <v>868</v>
      </c>
      <c r="GC216" s="22">
        <v>45124</v>
      </c>
      <c r="GD216" s="29">
        <f t="shared" ca="1" si="940"/>
        <v>24.285714285714285</v>
      </c>
      <c r="GE216" s="22"/>
      <c r="GF216" s="22"/>
      <c r="GG216" s="29" t="str">
        <f t="shared" ca="1" si="926"/>
        <v>TOMA INMEDIATA DE TAMIZAJE</v>
      </c>
      <c r="GH216" s="22"/>
      <c r="GI216" s="29"/>
      <c r="GJ216" s="22"/>
      <c r="GK216" s="22"/>
      <c r="GL216" s="22"/>
      <c r="GM216" s="22"/>
      <c r="GN216" s="28" t="s">
        <v>869</v>
      </c>
      <c r="GO216" s="22">
        <v>45124</v>
      </c>
      <c r="GP216" s="29">
        <f t="shared" si="866"/>
        <v>24.285714285714285</v>
      </c>
      <c r="GQ216" s="28" t="s">
        <v>846</v>
      </c>
      <c r="GR216" s="28" t="s">
        <v>869</v>
      </c>
      <c r="GS216" s="22" t="str">
        <f t="shared" si="728"/>
        <v/>
      </c>
      <c r="GT216" s="22">
        <v>45124</v>
      </c>
      <c r="GU216" s="29">
        <f t="shared" si="867"/>
        <v>24.285714285714285</v>
      </c>
      <c r="GV216" s="21" t="str">
        <f t="shared" si="868"/>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9"/>
        <v>#REF!</v>
      </c>
      <c r="HI216" s="22" t="e">
        <f t="shared" ca="1" si="870"/>
        <v>#REF!</v>
      </c>
      <c r="HJ216" s="21" t="str">
        <f t="shared" ca="1" si="871"/>
        <v>***************************************</v>
      </c>
      <c r="HK216" s="21" t="str">
        <f t="shared" si="872"/>
        <v>SIN ANTECEDENTES DE RIESGO</v>
      </c>
      <c r="HL216" s="24" t="str">
        <f t="shared" si="873"/>
        <v>APARENTEMENTE NORMAL</v>
      </c>
      <c r="HM216" s="21" t="e">
        <f t="shared" ca="1" si="874"/>
        <v>#REF!</v>
      </c>
      <c r="HN216" s="30" t="str">
        <f t="shared" si="927"/>
        <v>ACTIVA INGRESO A CPN</v>
      </c>
      <c r="HO216" s="21"/>
      <c r="HP216" s="21"/>
      <c r="HQ216" s="349"/>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5"/>
        <v>23.857142857142858</v>
      </c>
      <c r="IA216" s="26" t="s">
        <v>864</v>
      </c>
      <c r="IB216" s="26"/>
      <c r="IC216" s="111"/>
      <c r="ID216" s="22"/>
      <c r="IE216" s="22" t="str">
        <f t="shared" ca="1" si="876"/>
        <v>INASISTENTE</v>
      </c>
      <c r="IF216" s="22"/>
      <c r="IG216" s="22">
        <f t="shared" si="877"/>
        <v>45234</v>
      </c>
      <c r="IH216" s="29">
        <f t="shared" ca="1" si="878"/>
        <v>2</v>
      </c>
      <c r="II216" s="22" t="str">
        <f t="shared" ca="1" si="879"/>
        <v>SEMANA DE PARTO</v>
      </c>
      <c r="IJ216" s="22"/>
      <c r="IK216" s="21"/>
      <c r="IL216" s="21"/>
      <c r="IM216" s="34"/>
      <c r="IN216" s="22"/>
      <c r="IO216" s="21"/>
      <c r="IP216" s="29" t="str">
        <f t="shared" si="880"/>
        <v/>
      </c>
      <c r="IQ216" s="35"/>
      <c r="IR216" s="21"/>
      <c r="IS216" s="21"/>
      <c r="IT216" s="21"/>
      <c r="IU216" s="21"/>
      <c r="IV216" s="21"/>
      <c r="IW216" s="21"/>
      <c r="IX216" s="21"/>
      <c r="IY216" s="21"/>
      <c r="IZ216" s="21"/>
      <c r="JA216" s="21"/>
      <c r="JB216" s="30"/>
      <c r="JC216" s="21"/>
      <c r="JD216" s="36"/>
      <c r="JE216" s="21" t="str">
        <f t="shared" si="881"/>
        <v/>
      </c>
      <c r="JF216" s="30"/>
      <c r="JG216" s="21"/>
      <c r="JH216" s="21"/>
      <c r="JI216" s="21"/>
      <c r="JJ216" s="30"/>
      <c r="JK216" s="22"/>
      <c r="JL216" s="22"/>
      <c r="JM216" s="21"/>
      <c r="JN216" s="36"/>
      <c r="JO216" s="21" t="str">
        <f t="shared" si="882"/>
        <v/>
      </c>
      <c r="JP216" s="22"/>
      <c r="JQ216" s="21"/>
      <c r="JR216" s="21"/>
      <c r="JS216" s="21"/>
      <c r="JT216" s="30"/>
      <c r="JU216" s="22"/>
      <c r="JV216" s="22"/>
      <c r="JW216" s="33"/>
      <c r="JX216" s="28" t="str">
        <f t="shared" si="883"/>
        <v/>
      </c>
      <c r="JY216" s="33"/>
      <c r="JZ216" s="28" t="str">
        <f t="shared" si="884"/>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5"/>
        <v>0</v>
      </c>
      <c r="MI216" s="43" t="str">
        <f t="shared" si="929"/>
        <v/>
      </c>
      <c r="MJ216" s="43" t="str">
        <f t="shared" si="887"/>
        <v/>
      </c>
      <c r="MK216" s="43">
        <f t="shared" si="888"/>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30"/>
        <v>23.857142857142858</v>
      </c>
      <c r="MN216" s="43">
        <f t="shared" si="931"/>
        <v>7</v>
      </c>
      <c r="MO216" s="43">
        <f t="shared" si="932"/>
        <v>2023</v>
      </c>
      <c r="MP216" s="43" t="str">
        <f t="shared" si="892"/>
        <v>III TRIMESTRE AÑO</v>
      </c>
      <c r="MQ216" s="43">
        <f t="shared" si="933"/>
        <v>19.639728427507666</v>
      </c>
      <c r="MR216" s="43">
        <f t="shared" si="894"/>
        <v>0</v>
      </c>
      <c r="MS216" s="43" t="str">
        <f t="shared" si="895"/>
        <v>DE 14 A 19AÑOS</v>
      </c>
      <c r="MT216" s="43">
        <f t="shared" si="896"/>
        <v>0</v>
      </c>
      <c r="MU216" s="43">
        <f t="shared" si="897"/>
        <v>0</v>
      </c>
      <c r="MV216" s="43">
        <f t="shared" si="898"/>
        <v>0</v>
      </c>
      <c r="MW216" s="43">
        <f t="shared" si="899"/>
        <v>0</v>
      </c>
      <c r="MX216" s="43" t="str">
        <f t="shared" si="900"/>
        <v/>
      </c>
      <c r="MY216" s="43" t="str">
        <f t="shared" ca="1" si="901"/>
        <v/>
      </c>
      <c r="MZ216" s="43" t="str">
        <f t="shared" si="902"/>
        <v/>
      </c>
      <c r="NA216" s="43" t="str">
        <f t="shared" si="903"/>
        <v/>
      </c>
      <c r="NB216" s="43" t="str">
        <f t="shared" si="904"/>
        <v/>
      </c>
      <c r="NC216" s="43" t="str">
        <f t="shared" si="905"/>
        <v/>
      </c>
      <c r="ND216" s="43">
        <f t="shared" ca="1" si="934"/>
        <v>0</v>
      </c>
      <c r="NE216" s="43">
        <f>IF(OR(O216&gt;0,R216&gt;0),SUM(COUNTIF(Tabla1[[#This Row],[AÑOS AL INICIO5 CPN]],"&gt;=40"),COUNTIF(AS216,"0"),COUNTIF(AR216,"SI"),COUNTIF(CC216,"SI"),COUNTIF(BQ216,"&gt;119"),COUNTIF(CI216,"&gt;=35")),"")</f>
        <v>0</v>
      </c>
      <c r="NF216" s="43" t="str">
        <f t="shared" si="935"/>
        <v/>
      </c>
      <c r="NG216" s="43">
        <f t="shared" si="908"/>
        <v>0</v>
      </c>
      <c r="NH216" s="43" t="str">
        <f t="shared" si="909"/>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6"/>
        <v>X</v>
      </c>
      <c r="NM216" s="43" t="str">
        <f t="shared" si="941"/>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12"/>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7"/>
        <v>2</v>
      </c>
      <c r="NS216" s="205">
        <f t="shared" ca="1" si="914"/>
        <v>1</v>
      </c>
      <c r="NT216" s="21">
        <f t="shared" ca="1" si="915"/>
        <v>1</v>
      </c>
      <c r="NU216" s="21" t="str">
        <f t="shared" ca="1" si="916"/>
        <v>INCOMPLETO</v>
      </c>
      <c r="NV216" s="21" t="str">
        <f t="shared" ca="1" si="917"/>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8"/>
        <v>SIN VACUNAR</v>
      </c>
      <c r="NY216" s="43">
        <f>ROW(Tabla1[[#This Row],['# DE TAMIZAJES SIFILIS TOMADOS ]])</f>
        <v>216</v>
      </c>
      <c r="NZ216" s="43">
        <f t="shared" si="740"/>
        <v>23</v>
      </c>
      <c r="OA216" s="43" t="str">
        <f t="shared" si="741"/>
        <v/>
      </c>
      <c r="OB216" s="43" t="str">
        <f t="shared" si="742"/>
        <v/>
      </c>
      <c r="OC216" s="43" t="str">
        <f t="shared" si="743"/>
        <v/>
      </c>
      <c r="OD216" s="43" t="str">
        <f t="shared" si="744"/>
        <v/>
      </c>
      <c r="OE216" s="43" t="str">
        <f t="shared" si="745"/>
        <v/>
      </c>
      <c r="OF216" s="43" t="str">
        <f t="shared" si="746"/>
        <v/>
      </c>
      <c r="OG216" s="43" t="str">
        <f t="shared" si="747"/>
        <v/>
      </c>
      <c r="OH216" s="43" t="str">
        <f t="shared" si="748"/>
        <v/>
      </c>
      <c r="OI216" s="43" t="str">
        <f t="shared" si="749"/>
        <v/>
      </c>
      <c r="OJ216" s="43" t="str">
        <f t="shared" si="750"/>
        <v/>
      </c>
      <c r="OK216" s="43" t="str">
        <f t="shared" si="751"/>
        <v/>
      </c>
      <c r="OL216" s="43" t="str">
        <f t="shared" si="752"/>
        <v/>
      </c>
      <c r="OM216" s="43" t="str">
        <f t="shared" si="753"/>
        <v/>
      </c>
      <c r="ON216" s="43" t="str">
        <f t="shared" si="754"/>
        <v/>
      </c>
      <c r="OO216" s="43" t="str">
        <f t="shared" si="755"/>
        <v>SOBREPESO</v>
      </c>
      <c r="OP216" s="43" t="str">
        <f t="shared" si="756"/>
        <v/>
      </c>
      <c r="OQ216" s="43" t="str">
        <f t="shared" si="757"/>
        <v/>
      </c>
      <c r="OR216" s="43" t="str">
        <f t="shared" si="758"/>
        <v/>
      </c>
      <c r="OS216" s="43" t="str">
        <f t="shared" si="759"/>
        <v/>
      </c>
      <c r="OT216" s="43" t="str">
        <f t="shared" si="760"/>
        <v/>
      </c>
      <c r="OU216" s="43" t="str">
        <f t="shared" si="761"/>
        <v/>
      </c>
      <c r="OV216" s="110" t="str">
        <f t="shared" si="762"/>
        <v/>
      </c>
      <c r="OW216" s="43" t="str">
        <f t="shared" si="763"/>
        <v/>
      </c>
      <c r="OX216" s="43" t="str">
        <f t="shared" si="764"/>
        <v/>
      </c>
      <c r="OY216" s="43" t="str">
        <f t="shared" si="765"/>
        <v/>
      </c>
      <c r="OZ216" s="43" t="str">
        <f t="shared" si="766"/>
        <v/>
      </c>
      <c r="PA216" s="43" t="str">
        <f t="shared" si="767"/>
        <v/>
      </c>
      <c r="PB216" s="43" t="str">
        <f t="shared" si="768"/>
        <v/>
      </c>
      <c r="PC216" s="43" t="str">
        <f t="shared" si="769"/>
        <v/>
      </c>
      <c r="PD216" s="43" t="str">
        <f t="shared" si="770"/>
        <v/>
      </c>
      <c r="PE216" s="43" t="str">
        <f t="shared" si="771"/>
        <v/>
      </c>
      <c r="PF216" s="43" t="str">
        <f t="shared" si="772"/>
        <v/>
      </c>
      <c r="PG216" s="43" t="str">
        <f t="shared" si="773"/>
        <v/>
      </c>
      <c r="PH216" s="43" t="str">
        <f t="shared" si="774"/>
        <v/>
      </c>
      <c r="PI216" s="43">
        <f t="shared" si="775"/>
        <v>23</v>
      </c>
      <c r="PJ216" s="43" t="str">
        <f t="shared" si="776"/>
        <v/>
      </c>
      <c r="PK216" s="43" t="str">
        <f t="shared" si="777"/>
        <v/>
      </c>
      <c r="PL216" s="43" t="str">
        <f t="shared" si="778"/>
        <v/>
      </c>
      <c r="PM216" s="43" t="str">
        <f t="shared" si="779"/>
        <v/>
      </c>
      <c r="PN216" s="43" t="str">
        <f t="shared" si="780"/>
        <v/>
      </c>
      <c r="PO216" s="43" t="str">
        <f t="shared" si="781"/>
        <v/>
      </c>
      <c r="PP216" s="43" t="str">
        <f t="shared" si="782"/>
        <v/>
      </c>
      <c r="PQ216" s="43" t="str">
        <f t="shared" si="783"/>
        <v/>
      </c>
      <c r="PR216" s="43" t="str">
        <f t="shared" si="784"/>
        <v/>
      </c>
      <c r="PS216" s="43" t="str">
        <f t="shared" si="785"/>
        <v/>
      </c>
      <c r="PT216" s="43" t="str">
        <f t="shared" si="786"/>
        <v/>
      </c>
      <c r="PU216" s="43" t="str">
        <f t="shared" si="787"/>
        <v/>
      </c>
      <c r="PV216" s="43" t="str">
        <f t="shared" si="788"/>
        <v/>
      </c>
      <c r="PW216" s="43" t="str">
        <f t="shared" si="789"/>
        <v/>
      </c>
      <c r="PX216" s="43" t="str">
        <f t="shared" si="790"/>
        <v>SOBREPESO</v>
      </c>
      <c r="PY216" s="43" t="str">
        <f t="shared" si="791"/>
        <v/>
      </c>
      <c r="PZ216" s="43" t="str">
        <f t="shared" si="792"/>
        <v/>
      </c>
      <c r="QA216" s="43" t="str">
        <f t="shared" si="793"/>
        <v/>
      </c>
      <c r="QB216" s="43" t="str">
        <f t="shared" si="794"/>
        <v/>
      </c>
      <c r="QC216" s="43" t="str">
        <f t="shared" si="795"/>
        <v/>
      </c>
      <c r="QD216" s="43" t="str">
        <f t="shared" si="796"/>
        <v/>
      </c>
      <c r="QE216" s="43" t="str">
        <f t="shared" si="797"/>
        <v/>
      </c>
      <c r="QF216" s="43" t="str">
        <f t="shared" si="798"/>
        <v/>
      </c>
      <c r="QG216" s="43" t="str">
        <f t="shared" si="799"/>
        <v/>
      </c>
      <c r="QH216" s="43" t="str">
        <f t="shared" si="800"/>
        <v/>
      </c>
      <c r="QI216" s="43" t="str">
        <f t="shared" si="801"/>
        <v/>
      </c>
      <c r="QJ216" s="43" t="str">
        <f t="shared" si="802"/>
        <v/>
      </c>
      <c r="QK216" s="43" t="str">
        <f t="shared" si="803"/>
        <v/>
      </c>
      <c r="QL216" s="43" t="str">
        <f t="shared" si="804"/>
        <v/>
      </c>
      <c r="QM216" s="43" t="str">
        <f t="shared" si="805"/>
        <v/>
      </c>
      <c r="QN216" s="43" t="str">
        <f t="shared" si="806"/>
        <v/>
      </c>
      <c r="QO216" s="43" t="str">
        <f t="shared" si="807"/>
        <v/>
      </c>
      <c r="QP216" s="43" t="str">
        <f t="shared" si="808"/>
        <v/>
      </c>
      <c r="QQ216" s="43" t="str">
        <f t="shared" si="809"/>
        <v/>
      </c>
      <c r="QR216" s="43">
        <f t="shared" si="839"/>
        <v>23</v>
      </c>
      <c r="QS216" s="43"/>
      <c r="QT216" s="21" t="str">
        <f t="shared" si="810"/>
        <v/>
      </c>
      <c r="QU216" s="21" t="str">
        <f t="shared" si="811"/>
        <v/>
      </c>
      <c r="QV216" s="21" t="str">
        <f t="shared" si="812"/>
        <v/>
      </c>
      <c r="QW216" s="21" t="str">
        <f t="shared" si="813"/>
        <v/>
      </c>
      <c r="QX216" s="21" t="str">
        <f t="shared" si="814"/>
        <v/>
      </c>
      <c r="QY216" s="21" t="str">
        <f t="shared" si="815"/>
        <v/>
      </c>
      <c r="QZ216" s="21" t="str">
        <f t="shared" si="816"/>
        <v/>
      </c>
      <c r="RA216" s="21" t="str">
        <f t="shared" si="817"/>
        <v/>
      </c>
      <c r="RB216" s="21" t="str">
        <f t="shared" si="818"/>
        <v/>
      </c>
      <c r="RC216" s="21" t="str">
        <f t="shared" si="819"/>
        <v/>
      </c>
      <c r="RD216" s="21" t="str">
        <f t="shared" si="820"/>
        <v>ADECUADO PARA EDAD GESTACIONAL</v>
      </c>
      <c r="RE216" s="21" t="str">
        <f t="shared" si="821"/>
        <v/>
      </c>
      <c r="RF216" s="21" t="str">
        <f t="shared" si="822"/>
        <v/>
      </c>
      <c r="RG216" s="21" t="str">
        <f t="shared" si="823"/>
        <v/>
      </c>
      <c r="RH216" s="21" t="str">
        <f t="shared" si="824"/>
        <v/>
      </c>
      <c r="RI216" s="21" t="str">
        <f t="shared" si="825"/>
        <v/>
      </c>
      <c r="RJ216" s="21" t="str">
        <f t="shared" si="826"/>
        <v/>
      </c>
      <c r="RK216" s="21" t="str">
        <f t="shared" si="827"/>
        <v/>
      </c>
      <c r="RL216" s="21" t="str">
        <f t="shared" si="828"/>
        <v/>
      </c>
      <c r="RM216" s="21" t="str">
        <f t="shared" si="829"/>
        <v/>
      </c>
      <c r="RN216" s="21" t="str">
        <f t="shared" si="830"/>
        <v/>
      </c>
      <c r="RO216" s="21" t="str">
        <f t="shared" si="831"/>
        <v/>
      </c>
      <c r="RP216" s="21" t="str">
        <f t="shared" si="832"/>
        <v/>
      </c>
      <c r="RQ216" s="21" t="str">
        <f t="shared" si="833"/>
        <v/>
      </c>
      <c r="RR216" s="21" t="str">
        <f t="shared" si="834"/>
        <v/>
      </c>
      <c r="RS216" s="21" t="str">
        <f t="shared" si="835"/>
        <v/>
      </c>
      <c r="RT216" s="21" t="str">
        <f t="shared" si="836"/>
        <v/>
      </c>
      <c r="RU216" s="21" t="str">
        <f t="shared" si="837"/>
        <v/>
      </c>
      <c r="RV216" s="21">
        <f t="shared" si="838"/>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40"/>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41"/>
        <v>31.021917808219179</v>
      </c>
      <c r="O217" s="22">
        <v>45121</v>
      </c>
      <c r="P217" s="214" t="str">
        <f t="shared" si="919"/>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2"/>
        <v>103.36666666666666</v>
      </c>
      <c r="BR217" s="223" t="str">
        <f t="shared" si="843"/>
        <v/>
      </c>
      <c r="BS217" s="224">
        <f t="shared" si="844"/>
        <v>17.714285714285715</v>
      </c>
      <c r="BT217" s="216" t="str">
        <f t="shared" si="845"/>
        <v>II TRIM</v>
      </c>
      <c r="BU217" s="214">
        <f t="shared" ca="1" si="928"/>
        <v>33.571428571428569</v>
      </c>
      <c r="BV217" s="25"/>
      <c r="BW217" s="22"/>
      <c r="BX217" s="28"/>
      <c r="BY217" s="28"/>
      <c r="BZ217" s="22"/>
      <c r="CA217" s="21"/>
      <c r="CB217" s="26"/>
      <c r="CC217" s="26"/>
      <c r="CD217" s="26"/>
      <c r="CE217" s="26"/>
      <c r="CF217" s="22" t="s">
        <v>1517</v>
      </c>
      <c r="CG217" s="21">
        <v>1.38</v>
      </c>
      <c r="CH217" s="21">
        <v>56</v>
      </c>
      <c r="CI217" s="214">
        <f t="shared" si="847"/>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8"/>
        <v>45121</v>
      </c>
      <c r="CL217" s="21">
        <v>56</v>
      </c>
      <c r="CM217" s="214">
        <f t="shared" si="849"/>
        <v>29.405587061541699</v>
      </c>
      <c r="CN217" s="216">
        <f t="shared" si="850"/>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51"/>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20"/>
        <v>PLANEAR PLAN DE PARTO</v>
      </c>
      <c r="DV217" s="226" t="str">
        <f t="shared" si="921"/>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2"/>
        <v>#REF!</v>
      </c>
      <c r="DY217" s="212">
        <f>IF(R217="","",IF(R217&gt;0,MAX(Tabla1[[#This Row],[FECHA C2]:[FECHA C13]],Tabla1[[#This Row],[FECHA CONSULTA PRIMERA VEZ PROGRAMA CPN ]])))</f>
        <v>45121</v>
      </c>
      <c r="DZ217" s="216">
        <f t="shared" si="853"/>
        <v>17</v>
      </c>
      <c r="EA217" s="222">
        <f>IF(R217&gt;0,SUM(COUNTA(DF217:DQ217)+COUNTA(Tabla1[[#This Row],[FECHA CONSULTA PRIMERA VEZ PROGRAMA CPN ]])),"")</f>
        <v>1</v>
      </c>
      <c r="EB217" s="222" t="str">
        <f t="shared" si="854"/>
        <v>NO</v>
      </c>
      <c r="EC217" s="214">
        <f t="shared" si="855"/>
        <v>7</v>
      </c>
      <c r="ED217" s="227">
        <f t="shared" si="856"/>
        <v>0.14285714285714285</v>
      </c>
      <c r="EE217" s="22">
        <v>45121</v>
      </c>
      <c r="EF217" s="22">
        <v>45121</v>
      </c>
      <c r="EG217" s="22">
        <v>45121</v>
      </c>
      <c r="EH217" s="22"/>
      <c r="EI217" s="22">
        <v>45121</v>
      </c>
      <c r="EJ217" s="22"/>
      <c r="EK217" s="22"/>
      <c r="EL217" s="21"/>
      <c r="EM217" s="21"/>
      <c r="EN217" s="22"/>
      <c r="EO217" s="222" t="str">
        <f t="shared" si="857"/>
        <v>TOMAR EXAMEN</v>
      </c>
      <c r="EP217" s="214" t="str">
        <f t="shared" si="858"/>
        <v/>
      </c>
      <c r="EQ217" s="216" t="str">
        <f t="shared" si="859"/>
        <v>POR DEFINIR</v>
      </c>
      <c r="ER217" s="24"/>
      <c r="ES217" s="22"/>
      <c r="ET217" s="29" t="str">
        <f t="shared" ca="1" si="922"/>
        <v>TOMA DE HEMOGLOBINA TARDÍA</v>
      </c>
      <c r="EU217" s="25" t="str">
        <f t="shared" si="860"/>
        <v/>
      </c>
      <c r="EV217" s="24"/>
      <c r="EW217" s="24"/>
      <c r="EX217" s="22"/>
      <c r="EY217" s="29" t="str">
        <f t="shared" si="693"/>
        <v>TOMAR EXAMEN</v>
      </c>
      <c r="EZ217" s="25" t="str">
        <f t="shared" ca="1" si="694"/>
        <v/>
      </c>
      <c r="FA217" s="21"/>
      <c r="FB217" s="22"/>
      <c r="FC217" s="29" t="str">
        <f t="shared" si="861"/>
        <v>TOMAR EXAMEN</v>
      </c>
      <c r="FD217" s="29"/>
      <c r="FE217" s="29"/>
      <c r="FF217" s="29"/>
      <c r="FG217" s="21" t="str">
        <f t="shared" ca="1" si="862"/>
        <v>TOMAR PTOG</v>
      </c>
      <c r="FH217" s="31"/>
      <c r="FI217" s="29" t="str">
        <f t="shared" si="863"/>
        <v>TOMAR EXAMEN</v>
      </c>
      <c r="FJ217" s="22"/>
      <c r="FK217" s="22"/>
      <c r="FL217" s="29" t="str">
        <f t="shared" ca="1" si="864"/>
        <v>NO APLICA-INGRESO TARDIO</v>
      </c>
      <c r="FM217" s="22"/>
      <c r="FN217" s="32"/>
      <c r="FO217" s="29" t="str">
        <f t="shared" ca="1" si="923"/>
        <v>PIERDE TOMA DE TAMIZAJE</v>
      </c>
      <c r="FP217" s="22"/>
      <c r="FQ217" s="32"/>
      <c r="FR217" s="29" t="str">
        <f t="shared" ca="1" si="924"/>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5"/>
        <v>TOMAR EXAMEN</v>
      </c>
      <c r="FY217" s="22"/>
      <c r="FZ217" s="22"/>
      <c r="GA217" s="29" t="str">
        <f t="shared" ca="1" si="939"/>
        <v>NO APLICA-INGRESO TARDIO</v>
      </c>
      <c r="GB217" s="22"/>
      <c r="GC217" s="22"/>
      <c r="GD217" s="29" t="str">
        <f t="shared" ca="1" si="940"/>
        <v>PIERDE TOMA DE TAMIZAJE</v>
      </c>
      <c r="GE217" s="22"/>
      <c r="GF217" s="22"/>
      <c r="GG217" s="29" t="str">
        <f t="shared" ca="1" si="926"/>
        <v>EN RANGO PARA TOMAR EXAMEN</v>
      </c>
      <c r="GH217" s="22"/>
      <c r="GI217" s="29"/>
      <c r="GJ217" s="22"/>
      <c r="GK217" s="22"/>
      <c r="GL217" s="22"/>
      <c r="GM217" s="22"/>
      <c r="GN217" s="28"/>
      <c r="GO217" s="22"/>
      <c r="GP217" s="29" t="str">
        <f t="shared" si="866"/>
        <v>TOMAR EXAMEN</v>
      </c>
      <c r="GQ217" s="28"/>
      <c r="GR217" s="28"/>
      <c r="GS217" s="22" t="str">
        <f t="shared" si="728"/>
        <v/>
      </c>
      <c r="GT217" s="22"/>
      <c r="GU217" s="29" t="str">
        <f t="shared" si="867"/>
        <v>TOMAR EXAMEN</v>
      </c>
      <c r="GV217" s="21" t="str">
        <f t="shared" si="868"/>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9"/>
        <v>#REF!</v>
      </c>
      <c r="HI217" s="22" t="e">
        <f t="shared" ca="1" si="870"/>
        <v>#REF!</v>
      </c>
      <c r="HJ217" s="21" t="str">
        <f t="shared" ca="1" si="871"/>
        <v>***************************************</v>
      </c>
      <c r="HK217" s="21" t="str">
        <f t="shared" si="872"/>
        <v>SIN ANTECEDENTES DE RIESGO</v>
      </c>
      <c r="HL217" s="24" t="str">
        <f t="shared" si="873"/>
        <v>APARENTEMENTE NORMAL</v>
      </c>
      <c r="HM217" s="21" t="e">
        <f t="shared" ca="1" si="874"/>
        <v>#REF!</v>
      </c>
      <c r="HN217" s="30" t="str">
        <f t="shared" si="927"/>
        <v>ACTIVA INGRESO A CPN</v>
      </c>
      <c r="HO217" s="21"/>
      <c r="HP217" s="21"/>
      <c r="HQ217" s="349"/>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5"/>
        <v>PENDIENTE CONSULTA</v>
      </c>
      <c r="IA217" s="26"/>
      <c r="IB217" s="26"/>
      <c r="IC217" s="111"/>
      <c r="ID217" s="22"/>
      <c r="IE217" s="22" t="str">
        <f t="shared" ca="1" si="876"/>
        <v>INASISTENTE</v>
      </c>
      <c r="IF217" s="22"/>
      <c r="IG217" s="22">
        <f t="shared" si="877"/>
        <v>45277</v>
      </c>
      <c r="IH217" s="29">
        <f t="shared" ca="1" si="878"/>
        <v>45</v>
      </c>
      <c r="II217" s="22" t="str">
        <f t="shared" ca="1" si="879"/>
        <v>PENDIENTE</v>
      </c>
      <c r="IJ217" s="22"/>
      <c r="IK217" s="21"/>
      <c r="IL217" s="21"/>
      <c r="IM217" s="34"/>
      <c r="IN217" s="22"/>
      <c r="IO217" s="21"/>
      <c r="IP217" s="29" t="str">
        <f t="shared" si="880"/>
        <v/>
      </c>
      <c r="IQ217" s="35"/>
      <c r="IR217" s="21"/>
      <c r="IS217" s="21"/>
      <c r="IT217" s="21"/>
      <c r="IU217" s="21"/>
      <c r="IV217" s="21"/>
      <c r="IW217" s="21"/>
      <c r="IX217" s="21"/>
      <c r="IY217" s="21"/>
      <c r="IZ217" s="21"/>
      <c r="JA217" s="21"/>
      <c r="JB217" s="30"/>
      <c r="JC217" s="21"/>
      <c r="JD217" s="36"/>
      <c r="JE217" s="21" t="str">
        <f t="shared" si="881"/>
        <v/>
      </c>
      <c r="JF217" s="30"/>
      <c r="JG217" s="21"/>
      <c r="JH217" s="21"/>
      <c r="JI217" s="21"/>
      <c r="JJ217" s="30"/>
      <c r="JK217" s="22"/>
      <c r="JL217" s="22"/>
      <c r="JM217" s="21"/>
      <c r="JN217" s="36"/>
      <c r="JO217" s="21" t="str">
        <f t="shared" si="882"/>
        <v/>
      </c>
      <c r="JP217" s="22"/>
      <c r="JQ217" s="21"/>
      <c r="JR217" s="21"/>
      <c r="JS217" s="21"/>
      <c r="JT217" s="30"/>
      <c r="JU217" s="22"/>
      <c r="JV217" s="22"/>
      <c r="JW217" s="33"/>
      <c r="JX217" s="28" t="str">
        <f t="shared" si="883"/>
        <v/>
      </c>
      <c r="JY217" s="33"/>
      <c r="JZ217" s="28" t="str">
        <f t="shared" si="884"/>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5"/>
        <v>0</v>
      </c>
      <c r="MI217" s="43" t="str">
        <f t="shared" si="929"/>
        <v/>
      </c>
      <c r="MJ217" s="43" t="str">
        <f t="shared" si="887"/>
        <v/>
      </c>
      <c r="MK217" s="43">
        <f t="shared" si="888"/>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30"/>
        <v>17.714285714285715</v>
      </c>
      <c r="MN217" s="43">
        <f t="shared" si="931"/>
        <v>7</v>
      </c>
      <c r="MO217" s="43">
        <f t="shared" si="932"/>
        <v>2023</v>
      </c>
      <c r="MP217" s="43" t="str">
        <f t="shared" si="892"/>
        <v>III TRIMESTRE AÑO</v>
      </c>
      <c r="MQ217" s="43">
        <f t="shared" si="933"/>
        <v>30.258979413052998</v>
      </c>
      <c r="MR217" s="43">
        <f t="shared" si="894"/>
        <v>0</v>
      </c>
      <c r="MS217" s="43" t="str">
        <f t="shared" si="895"/>
        <v xml:space="preserve"> DE 30 A 34 AÑOS</v>
      </c>
      <c r="MT217" s="43">
        <f t="shared" si="896"/>
        <v>0</v>
      </c>
      <c r="MU217" s="43">
        <f t="shared" si="897"/>
        <v>0</v>
      </c>
      <c r="MV217" s="43">
        <f t="shared" si="898"/>
        <v>0</v>
      </c>
      <c r="MW217" s="43">
        <f t="shared" si="899"/>
        <v>0</v>
      </c>
      <c r="MX217" s="43" t="str">
        <f t="shared" si="900"/>
        <v/>
      </c>
      <c r="MY217" s="43" t="str">
        <f t="shared" ca="1" si="901"/>
        <v/>
      </c>
      <c r="MZ217" s="43" t="str">
        <f t="shared" si="902"/>
        <v/>
      </c>
      <c r="NA217" s="43" t="str">
        <f t="shared" si="903"/>
        <v/>
      </c>
      <c r="NB217" s="43" t="str">
        <f t="shared" si="904"/>
        <v/>
      </c>
      <c r="NC217" s="43" t="str">
        <f t="shared" si="905"/>
        <v/>
      </c>
      <c r="ND217" s="43">
        <f t="shared" ca="1" si="934"/>
        <v>0</v>
      </c>
      <c r="NE217" s="43">
        <f>IF(OR(O217&gt;0,R217&gt;0),SUM(COUNTIF(Tabla1[[#This Row],[AÑOS AL INICIO5 CPN]],"&gt;=40"),COUNTIF(AS217,"0"),COUNTIF(AR217,"SI"),COUNTIF(CC217,"SI"),COUNTIF(BQ217,"&gt;119"),COUNTIF(CI217,"&gt;=35")),"")</f>
        <v>0</v>
      </c>
      <c r="NF217" s="43" t="str">
        <f t="shared" si="935"/>
        <v/>
      </c>
      <c r="NG217" s="43">
        <f t="shared" si="908"/>
        <v>0</v>
      </c>
      <c r="NH217" s="43" t="str">
        <f t="shared" si="909"/>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6"/>
        <v>X</v>
      </c>
      <c r="NM217" s="43" t="str">
        <f t="shared" si="941"/>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12"/>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7"/>
        <v>2</v>
      </c>
      <c r="NS217" s="205">
        <f t="shared" ca="1" si="914"/>
        <v>0</v>
      </c>
      <c r="NT217" s="21">
        <f t="shared" ca="1" si="915"/>
        <v>0</v>
      </c>
      <c r="NU217" s="21" t="str">
        <f t="shared" ca="1" si="916"/>
        <v>INCOMPLETO</v>
      </c>
      <c r="NV217" s="21" t="str">
        <f t="shared" ca="1" si="917"/>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8"/>
        <v>SIN VACUNAR</v>
      </c>
      <c r="NY217" s="43">
        <f>ROW(Tabla1[[#This Row],['# DE TAMIZAJES SIFILIS TOMADOS ]])</f>
        <v>217</v>
      </c>
      <c r="NZ217" s="43">
        <f t="shared" si="740"/>
        <v>17</v>
      </c>
      <c r="OA217" s="43" t="str">
        <f t="shared" si="741"/>
        <v/>
      </c>
      <c r="OB217" s="43" t="str">
        <f t="shared" si="742"/>
        <v/>
      </c>
      <c r="OC217" s="43" t="str">
        <f t="shared" si="743"/>
        <v/>
      </c>
      <c r="OD217" s="43" t="str">
        <f t="shared" si="744"/>
        <v/>
      </c>
      <c r="OE217" s="43" t="str">
        <f t="shared" si="745"/>
        <v/>
      </c>
      <c r="OF217" s="43" t="str">
        <f t="shared" si="746"/>
        <v/>
      </c>
      <c r="OG217" s="43" t="str">
        <f t="shared" si="747"/>
        <v/>
      </c>
      <c r="OH217" s="43" t="str">
        <f t="shared" si="748"/>
        <v/>
      </c>
      <c r="OI217" s="43" t="str">
        <f t="shared" si="749"/>
        <v>SOBREPESO</v>
      </c>
      <c r="OJ217" s="43" t="str">
        <f t="shared" si="750"/>
        <v/>
      </c>
      <c r="OK217" s="43" t="str">
        <f t="shared" si="751"/>
        <v/>
      </c>
      <c r="OL217" s="43" t="str">
        <f t="shared" si="752"/>
        <v/>
      </c>
      <c r="OM217" s="43" t="str">
        <f t="shared" si="753"/>
        <v/>
      </c>
      <c r="ON217" s="43" t="str">
        <f t="shared" si="754"/>
        <v/>
      </c>
      <c r="OO217" s="43" t="str">
        <f t="shared" si="755"/>
        <v/>
      </c>
      <c r="OP217" s="43" t="str">
        <f t="shared" si="756"/>
        <v/>
      </c>
      <c r="OQ217" s="43" t="str">
        <f t="shared" si="757"/>
        <v/>
      </c>
      <c r="OR217" s="43" t="str">
        <f t="shared" si="758"/>
        <v/>
      </c>
      <c r="OS217" s="43" t="str">
        <f t="shared" si="759"/>
        <v/>
      </c>
      <c r="OT217" s="43" t="str">
        <f t="shared" si="760"/>
        <v/>
      </c>
      <c r="OU217" s="43" t="str">
        <f t="shared" si="761"/>
        <v/>
      </c>
      <c r="OV217" s="110" t="str">
        <f t="shared" si="762"/>
        <v/>
      </c>
      <c r="OW217" s="43" t="str">
        <f t="shared" si="763"/>
        <v/>
      </c>
      <c r="OX217" s="43" t="str">
        <f t="shared" si="764"/>
        <v/>
      </c>
      <c r="OY217" s="43" t="str">
        <f t="shared" si="765"/>
        <v/>
      </c>
      <c r="OZ217" s="43" t="str">
        <f t="shared" si="766"/>
        <v/>
      </c>
      <c r="PA217" s="43" t="str">
        <f t="shared" si="767"/>
        <v/>
      </c>
      <c r="PB217" s="43" t="str">
        <f t="shared" si="768"/>
        <v/>
      </c>
      <c r="PC217" s="43" t="str">
        <f t="shared" si="769"/>
        <v/>
      </c>
      <c r="PD217" s="43" t="str">
        <f t="shared" si="770"/>
        <v/>
      </c>
      <c r="PE217" s="43" t="str">
        <f t="shared" si="771"/>
        <v/>
      </c>
      <c r="PF217" s="43" t="str">
        <f t="shared" si="772"/>
        <v/>
      </c>
      <c r="PG217" s="43" t="str">
        <f t="shared" si="773"/>
        <v/>
      </c>
      <c r="PH217" s="43" t="str">
        <f t="shared" si="774"/>
        <v/>
      </c>
      <c r="PI217" s="43">
        <f t="shared" si="775"/>
        <v>17</v>
      </c>
      <c r="PJ217" s="43" t="str">
        <f t="shared" si="776"/>
        <v/>
      </c>
      <c r="PK217" s="43" t="str">
        <f t="shared" si="777"/>
        <v/>
      </c>
      <c r="PL217" s="43" t="str">
        <f t="shared" si="778"/>
        <v/>
      </c>
      <c r="PM217" s="43" t="str">
        <f t="shared" si="779"/>
        <v/>
      </c>
      <c r="PN217" s="43" t="str">
        <f t="shared" si="780"/>
        <v/>
      </c>
      <c r="PO217" s="43" t="str">
        <f t="shared" si="781"/>
        <v/>
      </c>
      <c r="PP217" s="43" t="str">
        <f t="shared" si="782"/>
        <v/>
      </c>
      <c r="PQ217" s="43" t="str">
        <f t="shared" si="783"/>
        <v/>
      </c>
      <c r="PR217" s="43" t="str">
        <f t="shared" si="784"/>
        <v>SOBREPESO</v>
      </c>
      <c r="PS217" s="43" t="str">
        <f t="shared" si="785"/>
        <v/>
      </c>
      <c r="PT217" s="43" t="str">
        <f t="shared" si="786"/>
        <v/>
      </c>
      <c r="PU217" s="43" t="str">
        <f t="shared" si="787"/>
        <v/>
      </c>
      <c r="PV217" s="43" t="str">
        <f t="shared" si="788"/>
        <v/>
      </c>
      <c r="PW217" s="43" t="str">
        <f t="shared" si="789"/>
        <v/>
      </c>
      <c r="PX217" s="43" t="str">
        <f t="shared" si="790"/>
        <v/>
      </c>
      <c r="PY217" s="43" t="str">
        <f t="shared" si="791"/>
        <v/>
      </c>
      <c r="PZ217" s="43" t="str">
        <f t="shared" si="792"/>
        <v/>
      </c>
      <c r="QA217" s="43" t="str">
        <f t="shared" si="793"/>
        <v/>
      </c>
      <c r="QB217" s="43" t="str">
        <f t="shared" si="794"/>
        <v/>
      </c>
      <c r="QC217" s="43" t="str">
        <f t="shared" si="795"/>
        <v/>
      </c>
      <c r="QD217" s="43" t="str">
        <f t="shared" si="796"/>
        <v/>
      </c>
      <c r="QE217" s="43" t="str">
        <f t="shared" si="797"/>
        <v/>
      </c>
      <c r="QF217" s="43" t="str">
        <f t="shared" si="798"/>
        <v/>
      </c>
      <c r="QG217" s="43" t="str">
        <f t="shared" si="799"/>
        <v/>
      </c>
      <c r="QH217" s="43" t="str">
        <f t="shared" si="800"/>
        <v/>
      </c>
      <c r="QI217" s="43" t="str">
        <f t="shared" si="801"/>
        <v/>
      </c>
      <c r="QJ217" s="43" t="str">
        <f t="shared" si="802"/>
        <v/>
      </c>
      <c r="QK217" s="43" t="str">
        <f t="shared" si="803"/>
        <v/>
      </c>
      <c r="QL217" s="43" t="str">
        <f t="shared" si="804"/>
        <v/>
      </c>
      <c r="QM217" s="43" t="str">
        <f t="shared" si="805"/>
        <v/>
      </c>
      <c r="QN217" s="43" t="str">
        <f t="shared" si="806"/>
        <v/>
      </c>
      <c r="QO217" s="43" t="str">
        <f t="shared" si="807"/>
        <v/>
      </c>
      <c r="QP217" s="43" t="str">
        <f t="shared" si="808"/>
        <v/>
      </c>
      <c r="QQ217" s="43" t="str">
        <f t="shared" si="809"/>
        <v/>
      </c>
      <c r="QR217" s="43">
        <f t="shared" si="839"/>
        <v>17</v>
      </c>
      <c r="QS217" s="43"/>
      <c r="QT217" s="21" t="str">
        <f t="shared" si="810"/>
        <v/>
      </c>
      <c r="QU217" s="21" t="str">
        <f t="shared" si="811"/>
        <v/>
      </c>
      <c r="QV217" s="21" t="str">
        <f t="shared" si="812"/>
        <v/>
      </c>
      <c r="QW217" s="21" t="str">
        <f t="shared" si="813"/>
        <v/>
      </c>
      <c r="QX217" s="21" t="str">
        <f t="shared" si="814"/>
        <v>ADECUADO PARA EDAD GESTACIONAL</v>
      </c>
      <c r="QY217" s="21" t="str">
        <f t="shared" si="815"/>
        <v/>
      </c>
      <c r="QZ217" s="21" t="str">
        <f t="shared" si="816"/>
        <v/>
      </c>
      <c r="RA217" s="21" t="str">
        <f t="shared" si="817"/>
        <v/>
      </c>
      <c r="RB217" s="21" t="str">
        <f t="shared" si="818"/>
        <v/>
      </c>
      <c r="RC217" s="21" t="str">
        <f t="shared" si="819"/>
        <v/>
      </c>
      <c r="RD217" s="21" t="str">
        <f t="shared" si="820"/>
        <v/>
      </c>
      <c r="RE217" s="21" t="str">
        <f t="shared" si="821"/>
        <v/>
      </c>
      <c r="RF217" s="21" t="str">
        <f t="shared" si="822"/>
        <v/>
      </c>
      <c r="RG217" s="21" t="str">
        <f t="shared" si="823"/>
        <v/>
      </c>
      <c r="RH217" s="21" t="str">
        <f t="shared" si="824"/>
        <v/>
      </c>
      <c r="RI217" s="21" t="str">
        <f t="shared" si="825"/>
        <v/>
      </c>
      <c r="RJ217" s="21" t="str">
        <f t="shared" si="826"/>
        <v/>
      </c>
      <c r="RK217" s="21" t="str">
        <f t="shared" si="827"/>
        <v/>
      </c>
      <c r="RL217" s="21" t="str">
        <f t="shared" si="828"/>
        <v/>
      </c>
      <c r="RM217" s="21" t="str">
        <f t="shared" si="829"/>
        <v/>
      </c>
      <c r="RN217" s="21" t="str">
        <f t="shared" si="830"/>
        <v/>
      </c>
      <c r="RO217" s="21" t="str">
        <f t="shared" si="831"/>
        <v/>
      </c>
      <c r="RP217" s="21" t="str">
        <f t="shared" si="832"/>
        <v/>
      </c>
      <c r="RQ217" s="21" t="str">
        <f t="shared" si="833"/>
        <v/>
      </c>
      <c r="RR217" s="21" t="str">
        <f t="shared" si="834"/>
        <v/>
      </c>
      <c r="RS217" s="21" t="str">
        <f t="shared" si="835"/>
        <v/>
      </c>
      <c r="RT217" s="21" t="str">
        <f t="shared" si="836"/>
        <v/>
      </c>
      <c r="RU217" s="21" t="str">
        <f t="shared" si="837"/>
        <v/>
      </c>
      <c r="RV217" s="21">
        <f t="shared" si="838"/>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40"/>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41"/>
        <v>22.846575342465755</v>
      </c>
      <c r="O218" s="22">
        <v>45122</v>
      </c>
      <c r="P218" s="214" t="str">
        <f t="shared" si="919"/>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2"/>
        <v>71.566666666666663</v>
      </c>
      <c r="BR218" s="223" t="str">
        <f t="shared" si="843"/>
        <v/>
      </c>
      <c r="BS218" s="224">
        <f t="shared" si="844"/>
        <v>12.714285714285714</v>
      </c>
      <c r="BT218" s="216" t="str">
        <f t="shared" si="845"/>
        <v>II TRIM</v>
      </c>
      <c r="BU218" s="214">
        <f t="shared" ca="1" si="928"/>
        <v>28.428571428571427</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7"/>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8"/>
        <v>45122</v>
      </c>
      <c r="CL218" s="21">
        <v>54</v>
      </c>
      <c r="CM218" s="214">
        <f t="shared" si="849"/>
        <v>24</v>
      </c>
      <c r="CN218" s="216">
        <f t="shared" si="850"/>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51"/>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20"/>
        <v>PLANEAR PLAN DE PARTO</v>
      </c>
      <c r="DV218" s="226" t="str">
        <f t="shared" si="921"/>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2"/>
        <v>#REF!</v>
      </c>
      <c r="DY218" s="212">
        <f>IF(R218="","",IF(R218&gt;0,MAX(Tabla1[[#This Row],[FECHA C2]:[FECHA C13]],Tabla1[[#This Row],[FECHA CONSULTA PRIMERA VEZ PROGRAMA CPN ]])))</f>
        <v>45122</v>
      </c>
      <c r="DZ218" s="216">
        <f t="shared" si="853"/>
        <v>12</v>
      </c>
      <c r="EA218" s="222">
        <f>IF(R218&gt;0,SUM(COUNTA(DF218:DQ218)+COUNTA(Tabla1[[#This Row],[FECHA CONSULTA PRIMERA VEZ PROGRAMA CPN ]])),"")</f>
        <v>1</v>
      </c>
      <c r="EB218" s="222" t="str">
        <f t="shared" si="854"/>
        <v>NO</v>
      </c>
      <c r="EC218" s="214">
        <f t="shared" si="855"/>
        <v>8</v>
      </c>
      <c r="ED218" s="227">
        <f t="shared" si="856"/>
        <v>0.125</v>
      </c>
      <c r="EE218" s="22">
        <v>45122</v>
      </c>
      <c r="EF218" s="22">
        <v>45122</v>
      </c>
      <c r="EG218" s="22">
        <v>45122</v>
      </c>
      <c r="EH218" s="22"/>
      <c r="EI218" s="22">
        <v>45122</v>
      </c>
      <c r="EJ218" s="22"/>
      <c r="EK218" s="22"/>
      <c r="EL218" s="21"/>
      <c r="EM218" s="21"/>
      <c r="EN218" s="22"/>
      <c r="EO218" s="222" t="str">
        <f t="shared" si="857"/>
        <v>TOMAR EXAMEN</v>
      </c>
      <c r="EP218" s="214" t="str">
        <f t="shared" si="858"/>
        <v/>
      </c>
      <c r="EQ218" s="216" t="str">
        <f t="shared" si="859"/>
        <v>POR DEFINIR</v>
      </c>
      <c r="ER218" s="24"/>
      <c r="ES218" s="22"/>
      <c r="ET218" s="29" t="str">
        <f t="shared" ca="1" si="922"/>
        <v>EN SEMANA 28 TOMA INMEDIATA DE EXAMEN</v>
      </c>
      <c r="EU218" s="25" t="str">
        <f t="shared" si="860"/>
        <v/>
      </c>
      <c r="EV218" s="24" t="s">
        <v>1510</v>
      </c>
      <c r="EW218" s="22">
        <v>45122</v>
      </c>
      <c r="EX218" s="22"/>
      <c r="EY218" s="29">
        <f t="shared" si="693"/>
        <v>12.714285714285714</v>
      </c>
      <c r="EZ218" s="25" t="str">
        <f t="shared" si="694"/>
        <v>SIN RIESGO DE ISOINMUNIZACIÓN</v>
      </c>
      <c r="FA218" s="21">
        <v>64</v>
      </c>
      <c r="FB218" s="22">
        <v>45122</v>
      </c>
      <c r="FC218" s="29">
        <f t="shared" si="861"/>
        <v>12.714285714285714</v>
      </c>
      <c r="FD218" s="29"/>
      <c r="FE218" s="29"/>
      <c r="FF218" s="29"/>
      <c r="FG218" s="21" t="str">
        <f t="shared" ca="1" si="862"/>
        <v>TOMAR PTOG</v>
      </c>
      <c r="FH218" s="31"/>
      <c r="FI218" s="29" t="str">
        <f t="shared" si="863"/>
        <v>TOMAR EXAMEN</v>
      </c>
      <c r="FJ218" s="22" t="s">
        <v>867</v>
      </c>
      <c r="FK218" s="22">
        <v>45122</v>
      </c>
      <c r="FL218" s="29">
        <f t="shared" ca="1" si="864"/>
        <v>12.714285714285714</v>
      </c>
      <c r="FM218" s="22"/>
      <c r="FN218" s="32"/>
      <c r="FO218" s="29" t="str">
        <f t="shared" ca="1" si="923"/>
        <v>PIERDE TOMA DE TAMIZAJE</v>
      </c>
      <c r="FP218" s="22"/>
      <c r="FQ218" s="32"/>
      <c r="FR218" s="29" t="str">
        <f t="shared" ca="1" si="924"/>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5"/>
        <v>TOMAR EXAMEN</v>
      </c>
      <c r="FY218" s="22" t="s">
        <v>868</v>
      </c>
      <c r="FZ218" s="22">
        <v>45122</v>
      </c>
      <c r="GA218" s="29">
        <f t="shared" ca="1" si="939"/>
        <v>12.714285714285714</v>
      </c>
      <c r="GB218" s="22"/>
      <c r="GC218" s="22"/>
      <c r="GD218" s="29" t="str">
        <f t="shared" ca="1" si="940"/>
        <v>PIERDE TOMA DE TAMIZAJE</v>
      </c>
      <c r="GE218" s="22"/>
      <c r="GF218" s="22"/>
      <c r="GG218" s="29" t="str">
        <f t="shared" ca="1" si="926"/>
        <v>EN RANGO PARA TOMAR EXAMEN</v>
      </c>
      <c r="GH218" s="22"/>
      <c r="GI218" s="29"/>
      <c r="GJ218" s="22"/>
      <c r="GK218" s="22"/>
      <c r="GL218" s="22"/>
      <c r="GM218" s="22"/>
      <c r="GN218" s="28" t="s">
        <v>869</v>
      </c>
      <c r="GO218" s="22">
        <v>45122</v>
      </c>
      <c r="GP218" s="29">
        <f t="shared" si="866"/>
        <v>12.714285714285714</v>
      </c>
      <c r="GQ218" s="28" t="s">
        <v>869</v>
      </c>
      <c r="GR218" s="28"/>
      <c r="GS218" s="22" t="str">
        <f t="shared" si="728"/>
        <v>CONTROL Igm</v>
      </c>
      <c r="GT218" s="22">
        <v>45122</v>
      </c>
      <c r="GU218" s="29">
        <f t="shared" si="867"/>
        <v>12.714285714285714</v>
      </c>
      <c r="GV218" s="21" t="str">
        <f t="shared" si="868"/>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9"/>
        <v>#REF!</v>
      </c>
      <c r="HI218" s="22" t="e">
        <f t="shared" ca="1" si="870"/>
        <v>#REF!</v>
      </c>
      <c r="HJ218" s="21" t="str">
        <f t="shared" ca="1" si="871"/>
        <v>**************EMBARAZO GEMELAR*************************</v>
      </c>
      <c r="HK218" s="21" t="str">
        <f t="shared" si="872"/>
        <v>SIN ANTECEDENTES DE RIESGO</v>
      </c>
      <c r="HL218" s="24" t="str">
        <f t="shared" si="873"/>
        <v>APARENTEMENTE NORMAL</v>
      </c>
      <c r="HM218" s="21" t="e">
        <f t="shared" ca="1" si="874"/>
        <v>#REF!</v>
      </c>
      <c r="HN218" s="30" t="str">
        <f t="shared" si="927"/>
        <v>ACTIVA INGRESO A CPN</v>
      </c>
      <c r="HO218" s="21"/>
      <c r="HP218" s="21"/>
      <c r="HQ218" s="349"/>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5"/>
        <v>PENDIENTE CONSULTA</v>
      </c>
      <c r="IA218" s="26"/>
      <c r="IB218" s="26"/>
      <c r="IC218" s="111"/>
      <c r="ID218" s="22"/>
      <c r="IE218" s="22" t="str">
        <f t="shared" ca="1" si="876"/>
        <v>INASISTENTE</v>
      </c>
      <c r="IF218" s="22"/>
      <c r="IG218" s="22">
        <f t="shared" si="877"/>
        <v>45313</v>
      </c>
      <c r="IH218" s="29">
        <f t="shared" ca="1" si="878"/>
        <v>81</v>
      </c>
      <c r="II218" s="22" t="str">
        <f t="shared" ca="1" si="879"/>
        <v>PENDIENTE</v>
      </c>
      <c r="IJ218" s="22"/>
      <c r="IK218" s="21"/>
      <c r="IL218" s="21"/>
      <c r="IM218" s="34"/>
      <c r="IN218" s="22"/>
      <c r="IO218" s="21"/>
      <c r="IP218" s="29" t="str">
        <f t="shared" si="880"/>
        <v/>
      </c>
      <c r="IQ218" s="35"/>
      <c r="IR218" s="21"/>
      <c r="IS218" s="21"/>
      <c r="IT218" s="21"/>
      <c r="IU218" s="21"/>
      <c r="IV218" s="21"/>
      <c r="IW218" s="21"/>
      <c r="IX218" s="21"/>
      <c r="IY218" s="21"/>
      <c r="IZ218" s="21"/>
      <c r="JA218" s="21"/>
      <c r="JB218" s="30"/>
      <c r="JC218" s="21"/>
      <c r="JD218" s="36"/>
      <c r="JE218" s="21" t="str">
        <f t="shared" si="881"/>
        <v/>
      </c>
      <c r="JF218" s="30"/>
      <c r="JG218" s="21"/>
      <c r="JH218" s="21"/>
      <c r="JI218" s="21"/>
      <c r="JJ218" s="30"/>
      <c r="JK218" s="22"/>
      <c r="JL218" s="22"/>
      <c r="JM218" s="21"/>
      <c r="JN218" s="36"/>
      <c r="JO218" s="21" t="str">
        <f t="shared" si="882"/>
        <v/>
      </c>
      <c r="JP218" s="22"/>
      <c r="JQ218" s="21"/>
      <c r="JR218" s="21"/>
      <c r="JS218" s="21"/>
      <c r="JT218" s="30"/>
      <c r="JU218" s="22"/>
      <c r="JV218" s="22"/>
      <c r="JW218" s="33"/>
      <c r="JX218" s="28" t="str">
        <f t="shared" si="883"/>
        <v/>
      </c>
      <c r="JY218" s="33"/>
      <c r="JZ218" s="28" t="str">
        <f t="shared" si="884"/>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5"/>
        <v>0</v>
      </c>
      <c r="MI218" s="43" t="str">
        <f t="shared" si="929"/>
        <v/>
      </c>
      <c r="MJ218" s="43" t="str">
        <f t="shared" si="887"/>
        <v/>
      </c>
      <c r="MK218" s="43">
        <f t="shared" si="888"/>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30"/>
        <v>12.714285714285714</v>
      </c>
      <c r="MN218" s="43">
        <f t="shared" si="931"/>
        <v>7</v>
      </c>
      <c r="MO218" s="43">
        <f t="shared" si="932"/>
        <v>2023</v>
      </c>
      <c r="MP218" s="43" t="str">
        <f t="shared" si="892"/>
        <v>III TRIMESTRE AÑO</v>
      </c>
      <c r="MQ218" s="43">
        <f t="shared" si="933"/>
        <v>22.210359176522118</v>
      </c>
      <c r="MR218" s="43">
        <f t="shared" si="894"/>
        <v>0</v>
      </c>
      <c r="MS218" s="43" t="str">
        <f t="shared" si="895"/>
        <v xml:space="preserve"> DE 20 A 24 AÑOS</v>
      </c>
      <c r="MT218" s="43">
        <f t="shared" si="896"/>
        <v>0</v>
      </c>
      <c r="MU218" s="43">
        <f t="shared" si="897"/>
        <v>0</v>
      </c>
      <c r="MV218" s="43">
        <f t="shared" si="898"/>
        <v>0</v>
      </c>
      <c r="MW218" s="43">
        <f t="shared" si="899"/>
        <v>0</v>
      </c>
      <c r="MX218" s="43" t="str">
        <f t="shared" si="900"/>
        <v/>
      </c>
      <c r="MY218" s="43" t="str">
        <f t="shared" ca="1" si="901"/>
        <v/>
      </c>
      <c r="MZ218" s="43" t="str">
        <f t="shared" si="902"/>
        <v/>
      </c>
      <c r="NA218" s="43">
        <f t="shared" si="903"/>
        <v>0</v>
      </c>
      <c r="NB218" s="43" t="str">
        <f t="shared" si="904"/>
        <v/>
      </c>
      <c r="NC218" s="43" t="str">
        <f t="shared" si="905"/>
        <v/>
      </c>
      <c r="ND218" s="43">
        <f t="shared" ca="1" si="934"/>
        <v>3</v>
      </c>
      <c r="NE218" s="43">
        <f>IF(OR(O218&gt;0,R218&gt;0),SUM(COUNTIF(Tabla1[[#This Row],[AÑOS AL INICIO5 CPN]],"&gt;=40"),COUNTIF(AS218,"0"),COUNTIF(AR218,"SI"),COUNTIF(CC218,"SI"),COUNTIF(BQ218,"&gt;119"),COUNTIF(CI218,"&gt;=35")),"")</f>
        <v>1</v>
      </c>
      <c r="NF218" s="43" t="str">
        <f t="shared" si="935"/>
        <v/>
      </c>
      <c r="NG218" s="43">
        <f t="shared" si="908"/>
        <v>0</v>
      </c>
      <c r="NH218" s="43" t="str">
        <f t="shared" si="909"/>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6"/>
        <v>X</v>
      </c>
      <c r="NM218" s="43" t="str">
        <f t="shared" si="941"/>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12"/>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7"/>
        <v>2</v>
      </c>
      <c r="NS218" s="205">
        <f t="shared" ca="1" si="914"/>
        <v>1</v>
      </c>
      <c r="NT218" s="21">
        <f t="shared" ca="1" si="915"/>
        <v>1</v>
      </c>
      <c r="NU218" s="21" t="str">
        <f t="shared" ca="1" si="916"/>
        <v>INCOMPLETO</v>
      </c>
      <c r="NV218" s="21" t="str">
        <f t="shared" ca="1" si="917"/>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8"/>
        <v>SIN VACUNAR</v>
      </c>
      <c r="NY218" s="43">
        <f>ROW(Tabla1[[#This Row],['# DE TAMIZAJES SIFILIS TOMADOS ]])</f>
        <v>218</v>
      </c>
      <c r="NZ218" s="43">
        <f t="shared" si="740"/>
        <v>12</v>
      </c>
      <c r="OA218" s="43" t="str">
        <f t="shared" si="741"/>
        <v/>
      </c>
      <c r="OB218" s="43" t="str">
        <f t="shared" si="742"/>
        <v/>
      </c>
      <c r="OC218" s="43" t="str">
        <f t="shared" si="743"/>
        <v/>
      </c>
      <c r="OD218" s="43" t="str">
        <f t="shared" si="744"/>
        <v>NORMAL</v>
      </c>
      <c r="OE218" s="43" t="str">
        <f t="shared" si="745"/>
        <v/>
      </c>
      <c r="OF218" s="43" t="str">
        <f t="shared" si="746"/>
        <v/>
      </c>
      <c r="OG218" s="43" t="str">
        <f t="shared" si="747"/>
        <v/>
      </c>
      <c r="OH218" s="43" t="str">
        <f t="shared" si="748"/>
        <v/>
      </c>
      <c r="OI218" s="43" t="str">
        <f t="shared" si="749"/>
        <v/>
      </c>
      <c r="OJ218" s="43" t="str">
        <f t="shared" si="750"/>
        <v/>
      </c>
      <c r="OK218" s="43" t="str">
        <f t="shared" si="751"/>
        <v/>
      </c>
      <c r="OL218" s="43" t="str">
        <f t="shared" si="752"/>
        <v/>
      </c>
      <c r="OM218" s="43" t="str">
        <f t="shared" si="753"/>
        <v/>
      </c>
      <c r="ON218" s="43" t="str">
        <f t="shared" si="754"/>
        <v/>
      </c>
      <c r="OO218" s="43" t="str">
        <f t="shared" si="755"/>
        <v/>
      </c>
      <c r="OP218" s="43" t="str">
        <f t="shared" si="756"/>
        <v/>
      </c>
      <c r="OQ218" s="43" t="str">
        <f t="shared" si="757"/>
        <v/>
      </c>
      <c r="OR218" s="43" t="str">
        <f t="shared" si="758"/>
        <v/>
      </c>
      <c r="OS218" s="43" t="str">
        <f t="shared" si="759"/>
        <v/>
      </c>
      <c r="OT218" s="43" t="str">
        <f t="shared" si="760"/>
        <v/>
      </c>
      <c r="OU218" s="43" t="str">
        <f t="shared" si="761"/>
        <v/>
      </c>
      <c r="OV218" s="110" t="str">
        <f t="shared" si="762"/>
        <v/>
      </c>
      <c r="OW218" s="43" t="str">
        <f t="shared" si="763"/>
        <v/>
      </c>
      <c r="OX218" s="43" t="str">
        <f t="shared" si="764"/>
        <v/>
      </c>
      <c r="OY218" s="43" t="str">
        <f t="shared" si="765"/>
        <v/>
      </c>
      <c r="OZ218" s="43" t="str">
        <f t="shared" si="766"/>
        <v/>
      </c>
      <c r="PA218" s="43" t="str">
        <f t="shared" si="767"/>
        <v/>
      </c>
      <c r="PB218" s="43" t="str">
        <f t="shared" si="768"/>
        <v/>
      </c>
      <c r="PC218" s="43" t="str">
        <f t="shared" si="769"/>
        <v/>
      </c>
      <c r="PD218" s="43" t="str">
        <f t="shared" si="770"/>
        <v/>
      </c>
      <c r="PE218" s="43" t="str">
        <f t="shared" si="771"/>
        <v/>
      </c>
      <c r="PF218" s="43" t="str">
        <f t="shared" si="772"/>
        <v/>
      </c>
      <c r="PG218" s="43" t="str">
        <f t="shared" si="773"/>
        <v/>
      </c>
      <c r="PH218" s="43" t="str">
        <f t="shared" si="774"/>
        <v/>
      </c>
      <c r="PI218" s="43">
        <f t="shared" si="775"/>
        <v>12</v>
      </c>
      <c r="PJ218" s="43" t="str">
        <f t="shared" si="776"/>
        <v/>
      </c>
      <c r="PK218" s="43" t="str">
        <f t="shared" si="777"/>
        <v/>
      </c>
      <c r="PL218" s="43" t="str">
        <f t="shared" si="778"/>
        <v/>
      </c>
      <c r="PM218" s="43" t="str">
        <f t="shared" si="779"/>
        <v>NORMAL</v>
      </c>
      <c r="PN218" s="43" t="str">
        <f t="shared" si="780"/>
        <v/>
      </c>
      <c r="PO218" s="43" t="str">
        <f t="shared" si="781"/>
        <v/>
      </c>
      <c r="PP218" s="43" t="str">
        <f t="shared" si="782"/>
        <v/>
      </c>
      <c r="PQ218" s="43" t="str">
        <f t="shared" si="783"/>
        <v/>
      </c>
      <c r="PR218" s="43" t="str">
        <f t="shared" si="784"/>
        <v/>
      </c>
      <c r="PS218" s="43" t="str">
        <f t="shared" si="785"/>
        <v/>
      </c>
      <c r="PT218" s="43" t="str">
        <f t="shared" si="786"/>
        <v/>
      </c>
      <c r="PU218" s="43" t="str">
        <f t="shared" si="787"/>
        <v/>
      </c>
      <c r="PV218" s="43" t="str">
        <f t="shared" si="788"/>
        <v/>
      </c>
      <c r="PW218" s="43" t="str">
        <f t="shared" si="789"/>
        <v/>
      </c>
      <c r="PX218" s="43" t="str">
        <f t="shared" si="790"/>
        <v/>
      </c>
      <c r="PY218" s="43" t="str">
        <f t="shared" si="791"/>
        <v/>
      </c>
      <c r="PZ218" s="43" t="str">
        <f t="shared" si="792"/>
        <v/>
      </c>
      <c r="QA218" s="43" t="str">
        <f t="shared" si="793"/>
        <v/>
      </c>
      <c r="QB218" s="43" t="str">
        <f t="shared" si="794"/>
        <v/>
      </c>
      <c r="QC218" s="43" t="str">
        <f t="shared" si="795"/>
        <v/>
      </c>
      <c r="QD218" s="43" t="str">
        <f t="shared" si="796"/>
        <v/>
      </c>
      <c r="QE218" s="43" t="str">
        <f t="shared" si="797"/>
        <v/>
      </c>
      <c r="QF218" s="43" t="str">
        <f t="shared" si="798"/>
        <v/>
      </c>
      <c r="QG218" s="43" t="str">
        <f t="shared" si="799"/>
        <v/>
      </c>
      <c r="QH218" s="43" t="str">
        <f t="shared" si="800"/>
        <v/>
      </c>
      <c r="QI218" s="43" t="str">
        <f t="shared" si="801"/>
        <v/>
      </c>
      <c r="QJ218" s="43" t="str">
        <f t="shared" si="802"/>
        <v/>
      </c>
      <c r="QK218" s="43" t="str">
        <f t="shared" si="803"/>
        <v/>
      </c>
      <c r="QL218" s="43" t="str">
        <f t="shared" si="804"/>
        <v/>
      </c>
      <c r="QM218" s="43" t="str">
        <f t="shared" si="805"/>
        <v/>
      </c>
      <c r="QN218" s="43" t="str">
        <f t="shared" si="806"/>
        <v/>
      </c>
      <c r="QO218" s="43" t="str">
        <f t="shared" si="807"/>
        <v/>
      </c>
      <c r="QP218" s="43" t="str">
        <f t="shared" si="808"/>
        <v/>
      </c>
      <c r="QQ218" s="43" t="str">
        <f t="shared" si="809"/>
        <v/>
      </c>
      <c r="QR218" s="43" t="str">
        <f t="shared" si="839"/>
        <v>Menor</v>
      </c>
      <c r="QS218" s="43"/>
      <c r="QT218" s="21" t="str">
        <f t="shared" si="810"/>
        <v/>
      </c>
      <c r="QU218" s="21" t="str">
        <f t="shared" si="811"/>
        <v/>
      </c>
      <c r="QV218" s="21" t="str">
        <f t="shared" si="812"/>
        <v/>
      </c>
      <c r="QW218" s="21" t="str">
        <f t="shared" si="813"/>
        <v/>
      </c>
      <c r="QX218" s="21" t="str">
        <f t="shared" si="814"/>
        <v/>
      </c>
      <c r="QY218" s="21" t="str">
        <f t="shared" si="815"/>
        <v/>
      </c>
      <c r="QZ218" s="21" t="str">
        <f t="shared" si="816"/>
        <v/>
      </c>
      <c r="RA218" s="21" t="str">
        <f t="shared" si="817"/>
        <v/>
      </c>
      <c r="RB218" s="21" t="str">
        <f t="shared" si="818"/>
        <v/>
      </c>
      <c r="RC218" s="21" t="str">
        <f t="shared" si="819"/>
        <v/>
      </c>
      <c r="RD218" s="21" t="str">
        <f t="shared" si="820"/>
        <v/>
      </c>
      <c r="RE218" s="21" t="str">
        <f t="shared" si="821"/>
        <v/>
      </c>
      <c r="RF218" s="21" t="str">
        <f t="shared" si="822"/>
        <v/>
      </c>
      <c r="RG218" s="21" t="str">
        <f t="shared" si="823"/>
        <v/>
      </c>
      <c r="RH218" s="21" t="str">
        <f t="shared" si="824"/>
        <v/>
      </c>
      <c r="RI218" s="21" t="str">
        <f t="shared" si="825"/>
        <v/>
      </c>
      <c r="RJ218" s="21" t="str">
        <f t="shared" si="826"/>
        <v/>
      </c>
      <c r="RK218" s="21" t="str">
        <f t="shared" si="827"/>
        <v/>
      </c>
      <c r="RL218" s="21" t="str">
        <f t="shared" si="828"/>
        <v/>
      </c>
      <c r="RM218" s="21" t="str">
        <f t="shared" si="829"/>
        <v/>
      </c>
      <c r="RN218" s="21" t="str">
        <f t="shared" si="830"/>
        <v/>
      </c>
      <c r="RO218" s="21" t="str">
        <f t="shared" si="831"/>
        <v/>
      </c>
      <c r="RP218" s="21" t="str">
        <f t="shared" si="832"/>
        <v/>
      </c>
      <c r="RQ218" s="21" t="str">
        <f t="shared" si="833"/>
        <v/>
      </c>
      <c r="RR218" s="21" t="str">
        <f t="shared" si="834"/>
        <v/>
      </c>
      <c r="RS218" s="21" t="str">
        <f t="shared" si="835"/>
        <v/>
      </c>
      <c r="RT218" s="21" t="str">
        <f t="shared" si="836"/>
        <v/>
      </c>
      <c r="RU218" s="21" t="str">
        <f t="shared" si="837"/>
        <v/>
      </c>
      <c r="RV218" s="21">
        <f t="shared" si="838"/>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40"/>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41"/>
        <v>35.167123287671231</v>
      </c>
      <c r="O219" s="22">
        <v>45132</v>
      </c>
      <c r="P219" s="214" t="str">
        <f t="shared" si="919"/>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2"/>
        <v>94.066666666666663</v>
      </c>
      <c r="BR219" s="223">
        <f t="shared" si="843"/>
        <v>45070.6</v>
      </c>
      <c r="BS219" s="224">
        <f t="shared" si="844"/>
        <v>9</v>
      </c>
      <c r="BT219" s="216" t="str">
        <f t="shared" si="845"/>
        <v>I TRIM</v>
      </c>
      <c r="BU219" s="214">
        <f t="shared" ca="1" si="928"/>
        <v>23.285714285714285</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7"/>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8"/>
        <v>45164</v>
      </c>
      <c r="CL219" s="21">
        <v>50</v>
      </c>
      <c r="CM219" s="214">
        <f t="shared" si="849"/>
        <v>21.0828132906055</v>
      </c>
      <c r="CN219" s="216">
        <f t="shared" si="850"/>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51"/>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20"/>
        <v>EN ESPERA</v>
      </c>
      <c r="DV219" s="226" t="str">
        <f t="shared" si="921"/>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2"/>
        <v>#REF!</v>
      </c>
      <c r="DY219" s="212">
        <f>IF(R219="","",IF(R219&gt;0,MAX(Tabla1[[#This Row],[FECHA C2]:[FECHA C13]],Tabla1[[#This Row],[FECHA CONSULTA PRIMERA VEZ PROGRAMA CPN ]])))</f>
        <v>45164</v>
      </c>
      <c r="DZ219" s="216">
        <f t="shared" si="853"/>
        <v>13</v>
      </c>
      <c r="EA219" s="222">
        <f>IF(R219&gt;0,SUM(COUNTA(DF219:DQ219)+COUNTA(Tabla1[[#This Row],[FECHA CONSULTA PRIMERA VEZ PROGRAMA CPN ]])),"")</f>
        <v>2</v>
      </c>
      <c r="EB219" s="222" t="str">
        <f t="shared" si="854"/>
        <v>NO</v>
      </c>
      <c r="EC219" s="214">
        <f t="shared" si="855"/>
        <v>9</v>
      </c>
      <c r="ED219" s="227">
        <f t="shared" si="856"/>
        <v>0.22222222222222221</v>
      </c>
      <c r="EE219" s="22">
        <v>45132</v>
      </c>
      <c r="EF219" s="22">
        <v>45164</v>
      </c>
      <c r="EG219" s="22">
        <v>45132</v>
      </c>
      <c r="EH219" s="22"/>
      <c r="EI219" s="22">
        <v>45132</v>
      </c>
      <c r="EJ219" s="22"/>
      <c r="EK219" s="22"/>
      <c r="EL219" s="21"/>
      <c r="EM219" s="21">
        <v>14.6</v>
      </c>
      <c r="EN219" s="22">
        <v>45146</v>
      </c>
      <c r="EO219" s="222">
        <f t="shared" si="857"/>
        <v>11</v>
      </c>
      <c r="EP219" s="214" t="str">
        <f t="shared" si="858"/>
        <v>NO DAR SULFATO FERROSO</v>
      </c>
      <c r="EQ219" s="216" t="str">
        <f t="shared" si="859"/>
        <v>I TRIM</v>
      </c>
      <c r="ER219" s="24"/>
      <c r="ES219" s="22"/>
      <c r="ET219" s="29" t="str">
        <f t="shared" ca="1" si="922"/>
        <v>PROGRAMAR TOMA HEMOGLOBINA A SEM 28</v>
      </c>
      <c r="EU219" s="25" t="str">
        <f t="shared" si="860"/>
        <v/>
      </c>
      <c r="EV219" s="24" t="s">
        <v>1510</v>
      </c>
      <c r="EW219" s="32">
        <v>45146</v>
      </c>
      <c r="EX219" s="22"/>
      <c r="EY219" s="29">
        <f t="shared" si="693"/>
        <v>11</v>
      </c>
      <c r="EZ219" s="25" t="str">
        <f t="shared" si="694"/>
        <v>SIN RIESGO DE ISOINMUNIZACIÓN</v>
      </c>
      <c r="FA219" s="21">
        <v>79</v>
      </c>
      <c r="FB219" s="32">
        <v>45146</v>
      </c>
      <c r="FC219" s="29">
        <f t="shared" si="861"/>
        <v>11</v>
      </c>
      <c r="FD219" s="29"/>
      <c r="FE219" s="29"/>
      <c r="FF219" s="29"/>
      <c r="FG219" s="21" t="str">
        <f t="shared" ca="1" si="862"/>
        <v>PROGRAMAR TOMA PTOG SIGUIENTE CONTROL</v>
      </c>
      <c r="FH219" s="31"/>
      <c r="FI219" s="29" t="str">
        <f t="shared" si="863"/>
        <v>TOMAR EXAMEN</v>
      </c>
      <c r="FJ219" s="22" t="s">
        <v>867</v>
      </c>
      <c r="FK219" s="22">
        <v>45146</v>
      </c>
      <c r="FL219" s="29">
        <f t="shared" ca="1" si="864"/>
        <v>11</v>
      </c>
      <c r="FM219" s="22"/>
      <c r="FN219" s="32"/>
      <c r="FO219" s="29" t="str">
        <f t="shared" ca="1" si="923"/>
        <v>EN RANGO PARA TOMAR EXAMEN</v>
      </c>
      <c r="FP219" s="22"/>
      <c r="FQ219" s="32"/>
      <c r="FR219" s="29" t="str">
        <f t="shared" ca="1" si="924"/>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5"/>
        <v>TOMAR EXAMEN</v>
      </c>
      <c r="FY219" s="22" t="s">
        <v>868</v>
      </c>
      <c r="FZ219" s="22">
        <v>45146</v>
      </c>
      <c r="GA219" s="29">
        <f t="shared" ca="1" si="939"/>
        <v>11</v>
      </c>
      <c r="GB219" s="22"/>
      <c r="GC219" s="22"/>
      <c r="GD219" s="29" t="str">
        <f t="shared" ca="1" si="940"/>
        <v>EN RANGO PARA TOMAR EXAMEN</v>
      </c>
      <c r="GE219" s="22"/>
      <c r="GF219" s="22"/>
      <c r="GG219" s="29" t="str">
        <f t="shared" ca="1" si="926"/>
        <v>EN ESPERA-ESTÁ I TRIM O II TRIM</v>
      </c>
      <c r="GH219" s="22"/>
      <c r="GI219" s="29"/>
      <c r="GJ219" s="22"/>
      <c r="GK219" s="22"/>
      <c r="GL219" s="22"/>
      <c r="GM219" s="22"/>
      <c r="GN219" s="28" t="s">
        <v>869</v>
      </c>
      <c r="GO219" s="22">
        <v>45146</v>
      </c>
      <c r="GP219" s="29">
        <f t="shared" si="866"/>
        <v>11</v>
      </c>
      <c r="GQ219" s="28" t="s">
        <v>869</v>
      </c>
      <c r="GR219" s="28"/>
      <c r="GS219" s="22" t="str">
        <f t="shared" si="728"/>
        <v>CONTROL Igm</v>
      </c>
      <c r="GT219" s="22">
        <v>45146</v>
      </c>
      <c r="GU219" s="29">
        <f t="shared" si="867"/>
        <v>11</v>
      </c>
      <c r="GV219" s="21" t="str">
        <f t="shared" si="868"/>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9"/>
        <v>#REF!</v>
      </c>
      <c r="HI219" s="22" t="e">
        <f t="shared" ca="1" si="870"/>
        <v>#REF!</v>
      </c>
      <c r="HJ219" s="21" t="str">
        <f t="shared" ca="1" si="871"/>
        <v>***************************************</v>
      </c>
      <c r="HK219" s="21" t="str">
        <f t="shared" si="872"/>
        <v>SIN ANTECEDENTES DE RIESGO</v>
      </c>
      <c r="HL219" s="24" t="str">
        <f t="shared" si="873"/>
        <v>APARENTEMENTE NORMAL</v>
      </c>
      <c r="HM219" s="21" t="e">
        <f t="shared" ca="1" si="874"/>
        <v>#REF!</v>
      </c>
      <c r="HN219" s="30" t="str">
        <f t="shared" si="927"/>
        <v>ACTIVA INGRESO A CPN</v>
      </c>
      <c r="HO219" s="21"/>
      <c r="HP219" s="21"/>
      <c r="HQ219" s="349"/>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5"/>
        <v>13.571428571428571</v>
      </c>
      <c r="IA219" s="26"/>
      <c r="IB219" s="26"/>
      <c r="IC219" s="111"/>
      <c r="ID219" s="22"/>
      <c r="IE219" s="22" t="str">
        <f t="shared" ca="1" si="876"/>
        <v>PROGRAMAR APLICACION DE VACUNA</v>
      </c>
      <c r="IF219" s="22"/>
      <c r="IG219" s="22">
        <f t="shared" si="877"/>
        <v>45349</v>
      </c>
      <c r="IH219" s="29">
        <f t="shared" ca="1" si="878"/>
        <v>117</v>
      </c>
      <c r="II219" s="22" t="str">
        <f t="shared" ca="1" si="879"/>
        <v>PENDIENTE</v>
      </c>
      <c r="IJ219" s="22"/>
      <c r="IK219" s="21"/>
      <c r="IL219" s="21"/>
      <c r="IM219" s="34"/>
      <c r="IN219" s="22"/>
      <c r="IO219" s="21"/>
      <c r="IP219" s="29" t="str">
        <f t="shared" si="880"/>
        <v/>
      </c>
      <c r="IQ219" s="35"/>
      <c r="IR219" s="21"/>
      <c r="IS219" s="21"/>
      <c r="IT219" s="21"/>
      <c r="IU219" s="21"/>
      <c r="IV219" s="21"/>
      <c r="IW219" s="21"/>
      <c r="IX219" s="21"/>
      <c r="IY219" s="21"/>
      <c r="IZ219" s="21"/>
      <c r="JA219" s="21"/>
      <c r="JB219" s="30"/>
      <c r="JC219" s="21"/>
      <c r="JD219" s="36"/>
      <c r="JE219" s="21" t="str">
        <f t="shared" si="881"/>
        <v/>
      </c>
      <c r="JF219" s="30"/>
      <c r="JG219" s="21"/>
      <c r="JH219" s="21"/>
      <c r="JI219" s="21"/>
      <c r="JJ219" s="30"/>
      <c r="JK219" s="22"/>
      <c r="JL219" s="22"/>
      <c r="JM219" s="21"/>
      <c r="JN219" s="36"/>
      <c r="JO219" s="21" t="str">
        <f t="shared" si="882"/>
        <v/>
      </c>
      <c r="JP219" s="22"/>
      <c r="JQ219" s="21"/>
      <c r="JR219" s="21"/>
      <c r="JS219" s="21"/>
      <c r="JT219" s="30"/>
      <c r="JU219" s="22"/>
      <c r="JV219" s="22"/>
      <c r="JW219" s="33"/>
      <c r="JX219" s="28" t="str">
        <f t="shared" si="883"/>
        <v/>
      </c>
      <c r="JY219" s="33"/>
      <c r="JZ219" s="28" t="str">
        <f t="shared" si="884"/>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5"/>
        <v>0</v>
      </c>
      <c r="MI219" s="43" t="str">
        <f t="shared" si="929"/>
        <v/>
      </c>
      <c r="MJ219" s="43" t="str">
        <f t="shared" si="887"/>
        <v/>
      </c>
      <c r="MK219" s="43">
        <f t="shared" si="888"/>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30"/>
        <v>9</v>
      </c>
      <c r="MN219" s="43">
        <f t="shared" si="931"/>
        <v>7</v>
      </c>
      <c r="MO219" s="43">
        <f t="shared" si="932"/>
        <v>2023</v>
      </c>
      <c r="MP219" s="43" t="str">
        <f t="shared" si="892"/>
        <v>III TRIMESTRE AÑO</v>
      </c>
      <c r="MQ219" s="43">
        <f t="shared" si="933"/>
        <v>34.370893561103806</v>
      </c>
      <c r="MR219" s="43">
        <f t="shared" si="894"/>
        <v>0</v>
      </c>
      <c r="MS219" s="43" t="str">
        <f t="shared" si="895"/>
        <v xml:space="preserve"> DE 30 A 34 AÑOS</v>
      </c>
      <c r="MT219" s="43">
        <f t="shared" si="896"/>
        <v>0</v>
      </c>
      <c r="MU219" s="43">
        <f t="shared" si="897"/>
        <v>0</v>
      </c>
      <c r="MV219" s="43">
        <f t="shared" si="898"/>
        <v>0</v>
      </c>
      <c r="MW219" s="43">
        <f t="shared" si="899"/>
        <v>0</v>
      </c>
      <c r="MX219" s="43" t="str">
        <f t="shared" si="900"/>
        <v/>
      </c>
      <c r="MY219" s="43" t="str">
        <f t="shared" ca="1" si="901"/>
        <v/>
      </c>
      <c r="MZ219" s="43" t="str">
        <f t="shared" si="902"/>
        <v/>
      </c>
      <c r="NA219" s="43">
        <f t="shared" si="903"/>
        <v>0</v>
      </c>
      <c r="NB219" s="43" t="str">
        <f t="shared" si="904"/>
        <v/>
      </c>
      <c r="NC219" s="43" t="str">
        <f t="shared" si="905"/>
        <v/>
      </c>
      <c r="ND219" s="43">
        <f t="shared" ca="1" si="934"/>
        <v>0</v>
      </c>
      <c r="NE219" s="43">
        <f>IF(OR(O219&gt;0,R219&gt;0),SUM(COUNTIF(Tabla1[[#This Row],[AÑOS AL INICIO5 CPN]],"&gt;=40"),COUNTIF(AS219,"0"),COUNTIF(AR219,"SI"),COUNTIF(CC219,"SI"),COUNTIF(BQ219,"&gt;119"),COUNTIF(CI219,"&gt;=35")),"")</f>
        <v>0</v>
      </c>
      <c r="NF219" s="43" t="str">
        <f t="shared" si="935"/>
        <v/>
      </c>
      <c r="NG219" s="43">
        <f t="shared" si="908"/>
        <v>0</v>
      </c>
      <c r="NH219" s="43">
        <f t="shared" si="909"/>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6"/>
        <v>X</v>
      </c>
      <c r="NM219" s="43" t="str">
        <f t="shared" si="941"/>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12"/>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7"/>
        <v>2</v>
      </c>
      <c r="NS219" s="205">
        <f t="shared" ca="1" si="914"/>
        <v>1</v>
      </c>
      <c r="NT219" s="21">
        <f t="shared" ca="1" si="915"/>
        <v>1</v>
      </c>
      <c r="NU219" s="21" t="str">
        <f t="shared" ca="1" si="916"/>
        <v>INCOMPLETO</v>
      </c>
      <c r="NV219" s="21" t="str">
        <f t="shared" ca="1" si="917"/>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8"/>
        <v>SIN VACUNAR</v>
      </c>
      <c r="NY219" s="43">
        <f>ROW(Tabla1[[#This Row],['# DE TAMIZAJES SIFILIS TOMADOS ]])</f>
        <v>219</v>
      </c>
      <c r="NZ219" s="43" t="str">
        <f t="shared" ref="NZ219:NZ248" si="942">IF(BS219="","",IF(BS219&lt;10,"Menor",INT(BS219)))</f>
        <v>Menor</v>
      </c>
      <c r="OA219" s="43" t="str">
        <f t="shared" ref="OA219:OA248" si="943">IF(AND(NZ219=$OA$2,CI219&gt;10,CI219&lt;18.5),"BAJO PESO",IF(AND(NZ219=$OA$2,CI219&gt;18.4,CI219&lt;25),"NORMAL",IF(AND(NZ219=$OA$2,CI219&gt;24,CI219&lt;30),"SOBREPESO",IF(AND(NZ219=$OA$2,CI219&gt;29,CI219&lt;50),"OBESIDAD",""))))</f>
        <v>NORMAL</v>
      </c>
      <c r="OB219" s="43" t="str">
        <f t="shared" ref="OB219:OB248" si="944">IF(AND(NZ219=$OB$2,CI219&gt;10,CI219&lt;20.3),"BAJO PESO",IF(AND(NZ219=$OB$2,CI219&gt;20.2,CI219&lt;25.3),"NORMAL",IF(AND(NZ219=$OB$2,CI219&gt;25.2,CI219&lt;30.3),"SOBREPESO",IF(AND(NZ219=$OB$2,CI219&gt;30.2,CI219&lt;50),"OBESIDAD",""))))</f>
        <v/>
      </c>
      <c r="OC219" s="43" t="str">
        <f t="shared" ref="OC219:OC248" si="945">IF(AND(NZ219=$OC$2,CI219&gt;10,CI219&lt;20.4),"BAJO PESO",IF(AND(NZ219=$OC$2,CI219&gt;20.3,CI219&lt;25.4),"NORMAL",IF(AND(NZ219=$OC$2,CI219&gt;25.3,CI219&lt;30.4),"SOBREPESO",IF(AND(NZ219=$OC$2,CI219&gt;30.3,CI219&lt;50),"OBESIDAD",""))))</f>
        <v/>
      </c>
      <c r="OD219" s="43" t="str">
        <f t="shared" ref="OD219:OD248" si="946">IF(AND(NZ219=$OD$2,CI219&gt;10,CI219&lt;20.5),"BAJO PESO",IF(AND(NZ219=$OD$2,CI219&gt;20.4,CI219&lt;25.5),"NORMAL",IF(AND(NZ219=$OD$2,CI219&gt;25.4,CI219&lt;30.4),"SOBREPESO",IF(AND(NZ219=$OD$2,CI219&gt;30.3,CI219&lt;50),"OBESIDAD",""))))</f>
        <v/>
      </c>
      <c r="OE219" s="43" t="str">
        <f t="shared" ref="OE219:OE248" si="947">IF(AND(NZ219=$OE$2,CI219&gt;10,CI219&lt;20.7),"BAJO PESO",IF(AND(NZ219=$OE$2,CI219&gt;20.6,CI219&lt;25.7),"NORMAL",IF(AND(NZ219=$OE$2,CI219&gt;25.7,CI219&lt;30.5),"SOBREPESO",IF(AND(NZ219=$OE$2,CI219&gt;30.4,CI219&lt;50),"OBESIDAD",""))))</f>
        <v/>
      </c>
      <c r="OF219" s="43" t="str">
        <f t="shared" ref="OF219:OF248" si="948">IF(AND(NZ219=$OF$2,CI219&gt;10,CI219&lt;20.8),"BAJO PESO",IF(AND(NZ219=$OF$2,CI219&gt;20.7,CI219&lt;25.8),"NORMAL",IF(AND(NZ219=$OF$2,CI219&gt;25.7,CI219&lt;30.6),"SOBREPESO",IF(AND(NZ219=$OF$2,CI219&gt;30.5,CI219&lt;50),"OBESIDAD",""))))</f>
        <v/>
      </c>
      <c r="OG219" s="43" t="str">
        <f t="shared" ref="OG219:OG248" si="949">IF(AND(NZ219=$OG$2,CI219&gt;10,CI219&lt;20.9),"BAJO PESO",IF(AND(NZ219=$OG$2,CI219&gt;20.8,CI219&lt;25.9),"NORMAL",IF(AND(NZ219=$OG$2,CI219&gt;25.8,CI219&lt;30.7),"SOBREPESO",IF(AND(NZ219=$OG$2,CI219&gt;30.6,CI219&lt;50),"OBESIDAD",""))))</f>
        <v/>
      </c>
      <c r="OH219" s="43" t="str">
        <f t="shared" ref="OH219:OH248" si="950">IF(AND(NZ219=$OH$2,CI219&gt;10,CI219&lt;21.1),"BAJO PESO",IF(AND(NZ219=$OH$2,CI219&gt;21,CI219&lt;26),"NORMAL",IF(AND(NZ219=$OH$2,CI219&gt;25.9,CI219&lt;30.8),"SOBREPESO",IF(AND(NZ219=$OH$2,CI219&gt;30.7,CI219&lt;50),"OBESIDAD",""))))</f>
        <v/>
      </c>
      <c r="OI219" s="43" t="str">
        <f t="shared" ref="OI219:OI248" si="951">IF(AND(NZ219=$OI$2,CI219&gt;10,CI219&lt;21.2),"BAJO PESO",IF(AND(NZ219=$OI$2,CI219&gt;21.1,CI219&lt;26.1),"NORMAL",IF(AND(NZ219=$OI$2,CI219&gt;26,CI219&lt;31.9),"SOBREPESO",IF(AND(NZ219=$OI$2,CI219&gt;30.8,CI219&lt;50),"OBESIDAD",""))))</f>
        <v/>
      </c>
      <c r="OJ219" s="43" t="str">
        <f t="shared" ref="OJ219:OJ248" si="952">IF(AND(NZ219=$OJ$2,CI219&gt;10,CI219&lt;21.3),"BAJO PESO",IF(AND(NZ219=$OJ$2,CI219&gt;21.2,CI219&lt;26.2),"NORMAL",IF(AND(NZ219=$OJ$2,CI219&gt;26.1,CI219&lt;31),"SOBREPESO",IF(AND(NZ219=$OJ$2,CI219&gt;30.9,CI219&lt;50),"OBESIDAD",""))))</f>
        <v/>
      </c>
      <c r="OK219" s="43" t="str">
        <f t="shared" ref="OK219:OK248" si="953">IF(AND(NZ219=$OK$2,CI219&gt;10,CI219&lt;21.5),"BAJO PESO",IF(AND(NZ219=$OK$2,CI219&gt;21.4,CI219&lt;26.3),"NORMAL",IF(AND(NZ219=$OK$2,CI219&gt;26.2,CI219&lt;31),"SOBREPESO",IF(AND(NZ219=$OK$2,CI219&gt;30.9,CI219&lt;50),"OBESIDAD",""))))</f>
        <v/>
      </c>
      <c r="OL219" s="43" t="str">
        <f t="shared" ref="OL219:OL248" si="954">IF(AND(NZ219=$OL$2,CI219&gt;10,CI219&lt;21.6),"BAJO PESO",IF(AND(NZ219=$OL$2,CI219&gt;21.5,CI219&lt;26.4),"NORMAL",IF(AND(NZ219=$OL$2,CI219&gt;26.3,CI219&lt;31.1),"SOBREPESO",IF(AND(NZ219=$OL$2,CI219&gt;31,CI219&lt;50),"OBESIDAD",""))))</f>
        <v/>
      </c>
      <c r="OM219" s="43" t="str">
        <f t="shared" ref="OM219:OM248" si="955">IF(AND(NZ219=$OM$2,CI219&gt;10,CI219&lt;21.8),"BAJO PESO",IF(AND(NZ219=$OM$2,CI219&gt;21.7,CI219&lt;26.5),"NORMAL",IF(AND(NZ219=$OM$2,CI219&gt;26.4,CI219&lt;31.2),"SOBREPESO",IF(AND(NZ219=$OM$2,CI219&gt;31.1,CI219&lt;50),"OBESIDAD",""))))</f>
        <v/>
      </c>
      <c r="ON219" s="43" t="str">
        <f t="shared" ref="ON219:ON248" si="956">IF(AND(NZ219=$ON$2,CI219&gt;10,CI219&lt;21.9),"BAJO PESO",IF(AND(NZ219=$ON$2,CI219&gt;21.8,CI219&lt;26.7),"NORMAL",IF(AND(NZ219=$ON$2,CI219&gt;26.6,CI219&lt;31.3),"SOBREPESO",IF(AND(NZ219=$ON$2,CI219&gt;31.2,CI219&lt;50),"OBESIDAD",""))))</f>
        <v/>
      </c>
      <c r="OO219" s="43" t="str">
        <f t="shared" ref="OO219:OO248" si="957">IF(AND(NZ219=$OO$2,CI219&gt;10,CI219&lt;22.1),"BAJO PESO",IF(AND(NZ219=$OO$2,CI219&gt;22,CI219&lt;26.8),"NORMAL",IF(AND(NZ219=$OO$2,CI219&gt;26.7,CI219&lt;31.4),"SOBREPESO",IF(AND(NZ219=$OO$2,CI219&gt;31.3,CI219&lt;50),"OBESIDAD",""))))</f>
        <v/>
      </c>
      <c r="OP219" s="43" t="str">
        <f t="shared" ref="OP219:OP248" si="958">IF(AND(NZ219=$OP$2,CI219&gt;10,CI219&lt;22.3),"BAJO PESO",IF(AND(NZ219=$OP$2,CI219&gt;22.2,CI219&lt;27),"NORMAL",IF(AND(NZ219=$OP$2,CI219&gt;26.9,CI219&lt;31.6),"SOBREPESO",IF(AND(NZ219=$OP$2,CI219&gt;31.5,CI219&lt;50),"OBESIDAD",""))))</f>
        <v/>
      </c>
      <c r="OQ219" s="43" t="str">
        <f t="shared" ref="OQ219:OQ248" si="959">IF(AND(NZ219=$OQ$2,$CI219&gt;10,CI219&lt;22.5),"BAJO PESO",IF(AND(NZ219=$OQ$2,CI219&gt;22.4,CI219&lt;27.1),"NORMAL",IF(AND(NZ219=$OQ$2,CI219&gt;27,CI219&lt;31.7),"SOBREPESO",IF(AND(NZ219=$OQ$2,CI219&gt;31.6,CI219&lt;50),"OBESIDAD",""))))</f>
        <v/>
      </c>
      <c r="OR219" s="43" t="str">
        <f t="shared" ref="OR219:OR248" si="960">IF(AND(NZ219=$OR$2,CI219&gt;10,CI219&lt;22.7),"BAJO PESO",IF(AND(NZ219=$OR$2,CI219&gt;22.6,CI219&lt;27.3),"NORMAL",IF(AND(NZ219=$OR$2,CI219&gt;27.1,CI219&lt;31.8),"SOBREPESO",IF(AND(NZ219=$OR$2,CI219&gt;31.7,CI219&lt;50),"OBESIDAD",""))))</f>
        <v/>
      </c>
      <c r="OS219" s="43" t="str">
        <f t="shared" ref="OS219:OS248" si="961">IF(AND(NZ219=$OS$2,CI219&gt;10,CI219&lt;22.8),"BAJO PESO",IF(AND(NZ219=$OS$2,CI219&gt;22.7,CI219&lt;27.4),"NORMAL",IF(AND(NZ219=$OS$2,CI219&gt;27.3,CI219&lt;31.9),"SOBREPESO",IF(AND(NZ219=$OS$2,CI219&gt;31.8,CI219&lt;50),"OBESIDAD",""))))</f>
        <v/>
      </c>
      <c r="OT219" s="43" t="str">
        <f t="shared" ref="OT219:OT248" si="962">IF(AND(NZ219=$OT$2,CI219&gt;10,CI219&lt;23),"BAJO PESO",IF(AND(NZ219=$OT$2,CI219&gt;22.9,CI219&lt;27.6),"NORMAL",IF(AND(NZ219=$OT$2,CI219&gt;27.5,CI219&lt;32),"SOBREPESO",IF(AND(NZ219=$OT$2,CI219&gt;31.9,CI219&lt;50),"OBESIDAD",""))))</f>
        <v/>
      </c>
      <c r="OU219" s="43" t="str">
        <f t="shared" ref="OU219:OU248" si="963">IF(AND(NZ219=$OU$2,CI219&gt;10,CI219&lt;23.2),"BAJO PESO",IF(AND(NZ219=$OU$2,CI219&gt;23.1,CI219&lt;27.7),"NORMAL",IF(AND(NZ219=$OU$2,CI219&gt;27.6,CI219&lt;32.1),"SOBREPESO",IF(AND(NZ219=$OU$2,CI219&gt;32,CI219&lt;50),"OBESIDAD",""))))</f>
        <v/>
      </c>
      <c r="OV219" s="110" t="str">
        <f t="shared" ref="OV219:OV248" si="964">IF(AND(NZ219=$OV$2,CI219&gt;10,CI219&lt;23.4),"BAJO PESO",IF(AND(NZ219=$OV$2,CI219&gt;23.3,CI219&lt;27.9),"NORMAL",IF(AND(NZ219=$OV$2,CI219&gt;27.8,CI219&lt;32.2),"SOBREPESO",IF(AND(NZ219=$OV$2,CI219&gt;32.1,CI219&lt;50),"OBESIDAD",""))))</f>
        <v/>
      </c>
      <c r="OW219" s="43" t="str">
        <f t="shared" ref="OW219:OW248" si="965">IF(AND(NZ219=$OW$2,CI219&gt;10,CI219&lt;23.5),"BAJO PESO",IF(AND(NZ219=$OW$2,CI219&gt;23.4,CI219&lt;28),"NORMAL",IF(AND(NZ219=$OW$2,CI219&gt;27.9,CI219&lt;32.1),"SOBREPESO",IF(AND(NZ219=$OW$2,CI219&gt;32.2,CI219&lt;50),"OBESIDAD",""))))</f>
        <v/>
      </c>
      <c r="OX219" s="43" t="str">
        <f t="shared" ref="OX219:OX248" si="966">IF(AND(NZ219=$OX$2,CI219&gt;10,CI219&lt;23.7),"BAJO PESO",IF(AND(NZ219=$OX$2,CI219&gt;23.6,CI219&lt;28.1),"NORMAL",IF(AND(NZ219=$OX$2,CI219&gt;28,CI219&lt;33.4),"SOBREPESO",IF(AND(NZ219=$OX$2,CI219&gt;33.3,CI219&lt;50),"OBESIDAD",""))))</f>
        <v/>
      </c>
      <c r="OY219" s="43" t="str">
        <f t="shared" ref="OY219:OY248" si="967">IF(AND(NZ219=$OY$2,CI219&gt;10,CI219&lt;23.9),"BAJO PESO",IF(AND(NZ219=$OY$2,CI219&gt;23.8,CI219&lt;28.2),"NORMAL",IF(AND(NZ219=$OY$2,CI219&gt;28.1,CI219&lt;33.5),"SOBREPESO",IF(AND(NZ219=$OY$2,CI219&gt;33.4,CI219&lt;50),"OBESIDAD",""))))</f>
        <v/>
      </c>
      <c r="OZ219" s="43" t="str">
        <f t="shared" ref="OZ219:OZ248" si="968">IF(AND(NZ219=$OZ$2,CI219&gt;10,CI219&lt;24),"BAJO PESO",IF(AND(NZ219=$OZ$2,CI219&gt;23.9,CI219&lt;28.4),"NORMAL",IF(AND(NZ219=$OZ$2,CI219&gt;28.3,CI219&lt;33.6),"SOBREPESO",IF(AND(NZ219=$OZ$2,CI219&gt;33.5,CI219&lt;50),"OBESIDAD",""))))</f>
        <v/>
      </c>
      <c r="PA219" s="43" t="str">
        <f t="shared" ref="PA219:PA248" si="969">IF(AND(NZ219=$PA$2,CI219&gt;10,CI219&lt;24.2),"BAJO PESO",IF(AND(NZ219=$PA$2,CI219&gt;24.1,CI219&lt;28.5),"NORMAL",IF(AND(NZ219=$PA$2,CI219&gt;28.4,CI219&lt;33.7),"SOBREPESO",IF(AND(NZ219=$PA$2,CI219&gt;33.6,CI219&lt;50),"OBESIDAD",""))))</f>
        <v/>
      </c>
      <c r="PB219" s="43" t="str">
        <f t="shared" ref="PB219:PB248" si="970">IF(AND(NZ219=$PB$2,CI219&gt;10,CI219&lt;24.3),"BAJO PESO",IF(AND(NZ219=$PB$2,CI219&gt;24.2,CI219&lt;28.6),"NORMAL",IF(AND(NZ219=$PB$2,CI219&gt;28.5,CI219&lt;33.8),"SOBREPESO",IF(AND(NZ219=$PB$2,CI219&gt;33.7,CI219&lt;50),"OBESIDAD",""))))</f>
        <v/>
      </c>
      <c r="PC219" s="43" t="str">
        <f t="shared" ref="PC219:PC248" si="971">IF(AND(NZ219=$PC$2,CI219&gt;10,CI219&lt;24.5),"BAJO PESO",IF(AND(NZ219=$PC$2,CI219&gt;24.4,CI219&lt;28.8),"NORMAL",IF(AND(NZ219=$PC$2,CI219&gt;28.7,CI219&lt;32.9),"SOBREPESO",IF(AND(NZ219=$PC$2,CI219&gt;32.8,CI219&lt;50),"OBESIDAD",""))))</f>
        <v/>
      </c>
      <c r="PD219" s="43" t="str">
        <f t="shared" ref="PD219:PD248" si="972">IF(AND(NZ219=$PD$2,CI219&gt;10,CI219&lt;24.6),"BAJO PESO",IF(AND(NZ219=$PD$2,CI219&gt;24.5,CI219&lt;28.9),"NORMAL",IF(AND(NZ219=$PD$2,CI219&gt;28.8,CI219&lt;33),"SOBREPESO",IF(AND(NZ219=$PD$2,CI219&gt;32.9,CI219&lt;50),"OBESIDAD",""))))</f>
        <v/>
      </c>
      <c r="PE219" s="43" t="str">
        <f t="shared" ref="PE219:PE248" si="973">IF(AND(NZ219=$PE$2,CI219&gt;10,CI219&lt;24.8),"BAJO PESO",IF(AND(NZ219=$PE$2,CI219&gt;24.7,CI219&lt;29),"NORMAL",IF(AND(NZ219=$PE$2,CI219&gt;28.9,CI219&lt;33.1),"SOBREPESO",IF(AND(NZ219=$PE$2,CI219&gt;33,CI219&lt;50),"OBESIDAD",""))))</f>
        <v/>
      </c>
      <c r="PF219" s="43" t="str">
        <f t="shared" ref="PF219:PF248" si="974">IF(AND(NZ219=$PF$2,CI219&gt;10,CI219&lt;25),"BAJO PESO",IF(AND(NZ219=$PF$2,CI219&gt;24.9,CI219&lt;29.2),"NORMAL",IF(AND(NZ219=$PF$2,CI219&gt;29.1,CI219&lt;33.2),"SOBREPESO",IF(AND(NZ219=$PF$2,CI219&gt;33.1,CI219&lt;50),"OBESIDAD",""))))</f>
        <v/>
      </c>
      <c r="PG219" s="43" t="str">
        <f t="shared" ref="PG219:PG248" si="975">IF(AND(NZ219=$PG$2,CI219&gt;10,CI219&lt;25.1),"BAJO PESO",IF(AND(NZ219=$PG$2,CI219&gt;25,CI219&lt;29.3),"NORMAL",IF(AND(NZ219=$PG$2,CI219&gt;29.2,CI219&lt;33.3),"SOBREPESO",IF(AND(NZ219=$PG$2,CI219&gt;33.2,CI219&lt;50),"OBESIDAD",""))))</f>
        <v/>
      </c>
      <c r="PH219" s="43" t="str">
        <f t="shared" ref="PH219:PH248" si="976">IF(AND(NZ219=$PH$2,CI219&gt;10,CI219&lt;25.1),"BAJO PESO",IF(AND(NZ219=$PH$2,CI219&gt;25,CI219&lt;29.4),"NORMAL",IF(AND(NZ219=$PH$2,CI219&gt;29.3,CI219&lt;33.3),"SOBREPESO",IF(AND(NZ219=$PH$2,CI219&gt;33.2,CI219&lt;50),"OBESIDAD",""))))</f>
        <v/>
      </c>
      <c r="PI219" s="43">
        <f t="shared" ref="PI219:PI248" si="977">IF(DZ219="","",IF(DZ219&lt;10,"Menor",DZ219))</f>
        <v>13</v>
      </c>
      <c r="PJ219" s="43" t="str">
        <f t="shared" ref="PJ219:PJ248" si="978">IF(AND(PI219=$PJ$2,CM219&gt;10,CM219&lt;18.5),"BAJO PESO",IF(AND(PI219=$PJ$2,CM219&gt;18.4,CM219&lt;25),"NORMAL",IF(AND(PI219=$PJ$2,CM219&gt;24,CM219&lt;30),"SOBREPESO",IF(AND(PI219=$PJ$2,CM219&gt;29,CM219&lt;50),"OBESIDAD",""))))</f>
        <v/>
      </c>
      <c r="PK219" s="43" t="str">
        <f t="shared" ref="PK219:PK248" si="979">IF(AND(PI219=$PK$2,CM219&gt;10,CM219&lt;20.3),"BAJO PESO",IF(AND(PI219=$PK$2,CM219&gt;20.2,CM219&lt;25.3),"NORMAL",IF(AND(PI219=$PK$2,CM219&gt;25.2,CM219&lt;30.3),"SOBREPESO",IF(AND(PI219=$PK$2,CM219&gt;30.2,CM219&lt;50),"OBESIDAD",""))))</f>
        <v/>
      </c>
      <c r="PL219" s="43" t="str">
        <f t="shared" ref="PL219:PL248" si="980">IF(AND(PI219=$PL$2,CM219&gt;10,CM219&lt;20.4),"BAJO PESO",IF(AND(PI219=$PL$2,CM219&gt;20.3,CM219&lt;25.4),"NORMAL",IF(AND(PI219=$PL$2,CM219&gt;25.3,CM219&lt;30.4),"SOBREPESO",IF(AND(PI219=$PL$2,CM219&gt;30.3,CM219&lt;50),"OBESIDAD",""))))</f>
        <v/>
      </c>
      <c r="PM219" s="43" t="str">
        <f t="shared" ref="PM219:PM248" si="981">IF(AND(PI219=$PM$2,CM219&gt;10,CM219&lt;20.5),"BAJO PESO",IF(AND(PI219=$PM$2,CM219&gt;20.4,CM219&lt;25.5),"NORMAL",IF(AND(PI219=$PM$2,CM219&gt;25.4,CM219&lt;30.4),"SOBREPESO",IF(AND(PI219=$PM$2,CM219&gt;30.3,CM219&lt;50),"OBESIDAD",""))))</f>
        <v/>
      </c>
      <c r="PN219" s="43" t="str">
        <f t="shared" ref="PN219:PN248" si="982">IF(AND(PI219=$PN$2,CM219&gt;10,CM219&lt;20.7),"BAJO PESO",IF(AND(PI219=$PN$2,CM219&gt;20.6,CM219&lt;25.7),"NORMAL",IF(AND(PI219=$PN$2,CM219&gt;25.7,CM219&lt;30.5),"SOBREPESO",IF(AND(PI219=$PN$2,CM219&gt;30.4,CM219&lt;50),"OBESIDAD",""))))</f>
        <v>NORMAL</v>
      </c>
      <c r="PO219" s="43" t="str">
        <f t="shared" ref="PO219:PO248" si="983">IF(AND(PI219=$PO$2,CM219&gt;10,CM219&lt;20.8),"BAJO PESO",IF(AND(PI219=$PO$2,CM219&gt;20.7,CM219&lt;25.8),"NORMAL",IF(AND(PI219=$PO$2,CM219&gt;25.7,CM219&lt;30.6),"SOBREPESO",IF(AND(PI219=$PO$2,CM219&gt;30.5,CM219&lt;50),"OBESIDAD",""))))</f>
        <v/>
      </c>
      <c r="PP219" s="43" t="str">
        <f t="shared" ref="PP219:PP248" si="984">IF(AND(PI219=$PP$2,CM219&gt;10,CM219&lt;20.9),"BAJO PESO",IF(AND(PI219=$PP$2,CM219&gt;20.8,CM219&lt;25.9),"NORMAL",IF(AND(PI219=$PP$2,CM219&gt;25.8,CM219&lt;30.7),"SOBREPESO",IF(AND(PI219=$PP$2,CM219&gt;30.6,CM219&lt;50),"OBESIDAD",""))))</f>
        <v/>
      </c>
      <c r="PQ219" s="43" t="str">
        <f t="shared" ref="PQ219:PQ248" si="985">IF(AND(PI219=$PQ$2,CM219&gt;10,CM219&lt;21.1),"BAJO PESO",IF(AND(PI219=$PQ$2,CM219&gt;21,CM219&lt;26),"NORMAL",IF(AND(PI219=$PQ$2,CM219&gt;25.9,CM219&lt;30.8),"SOBREPESO",IF(AND(PI219=$PQ$2,CM219&gt;30.7,CM219&lt;50),"OBESIDAD",""))))</f>
        <v/>
      </c>
      <c r="PR219" s="43" t="str">
        <f t="shared" ref="PR219:PR248" si="986">IF(AND(PI219=$PR$2,CM219&gt;10,CM219&lt;21.2),"BAJO PESO",IF(AND(PI219=$PR$2,CM219&gt;21.1,CM219&lt;26.1),"NORMAL",IF(AND(PI219=$PR$2,CM219&gt;26,CM219&lt;31.9),"SOBREPESO",IF(AND(PI219=$PR$2,CM219&gt;30.8,CM219&lt;50),"OBESIDAD",""))))</f>
        <v/>
      </c>
      <c r="PS219" s="43" t="str">
        <f t="shared" ref="PS219:PS248" si="987">IF(AND(PI219=$PS$2,CM219&gt;10,CM219&lt;21.3),"BAJO PESO",IF(AND(PI219=$PS$2,CM219&gt;21.2,CM219&lt;26.2),"NORMAL",IF(AND(PI219=$PS$2,CM219&gt;26.1,CM219&lt;31),"SOBREPESO",IF(AND(PI219=$PS$2,CM219&gt;30.9,CM219&lt;50),"OBESIDAD",""))))</f>
        <v/>
      </c>
      <c r="PT219" s="43" t="str">
        <f t="shared" ref="PT219:PT248" si="988">IF(AND(PI219=$PT$2,CM219&gt;10,CM219&lt;21.5),"BAJO PESO",IF(AND(PI219=$PT$2,CM219&gt;21.4,CM219&lt;26.3),"NORMAL",IF(AND(PI219=$PT$2,CM219&gt;26.2,CM219&lt;31),"SOBREPESO",IF(AND(PI219=$PT$2,CM219&gt;30.9,CM219&lt;50),"OBESIDAD",""))))</f>
        <v/>
      </c>
      <c r="PU219" s="43" t="str">
        <f t="shared" ref="PU219:PU248" si="989">IF(AND(PI219=$PU$2,CM219&gt;10,CM219&lt;21.6),"BAJO PESO",IF(AND(PI219=$PU$2,CM219&gt;21.5,CM219&lt;26.4),"NORMAL",IF(AND(PI219=$PU$2,CM219&gt;26.3,CM219&lt;31.1),"SOBREPESO",IF(AND(PI219=$PU$2,CM219&gt;31,CM219&lt;50),"OBESIDAD",""))))</f>
        <v/>
      </c>
      <c r="PV219" s="43" t="str">
        <f t="shared" ref="PV219:PV248" si="990">IF(AND(PI219=$PV$2,CM219&gt;10,CM219&lt;21.8),"BAJO PESO",IF(AND(PI219=$PV$2,CM219&gt;21.7,CM219&lt;26.5),"NORMAL",IF(AND(PI219=$PV$2,CM219&gt;26.4,CM219&lt;31.2),"SOBREPESO",IF(AND(PI219=$PV$2,CM219&gt;31.1,CM219&lt;50),"OBESIDAD",""))))</f>
        <v/>
      </c>
      <c r="PW219" s="43" t="str">
        <f t="shared" ref="PW219:PW248" si="991">IF(AND(PI219=$PW$2,CM219&gt;10,CM219&lt;21.9),"BAJO PESO",IF(AND(PI219=$PW$2,CM219&gt;21.8,CM219&lt;26.7),"NORMAL",IF(AND(PI219=$PW$2,CM219&gt;26.6,CM219&lt;31.3),"SOBREPESO",IF(AND(PI219=$PW$2,CM219&gt;31.2,CM219&lt;50),"OBESIDAD",""))))</f>
        <v/>
      </c>
      <c r="PX219" s="43" t="str">
        <f t="shared" ref="PX219:PX248" si="992">IF(AND(PI219=$PX$2,CM219&gt;10,CM219&lt;22.1),"BAJO PESO",IF(AND(PI219=$PX$2,CM219&gt;22,CM219&lt;26.8),"NORMAL",IF(AND(PI219=$PX$2,CM219&gt;26.7,CM219&lt;31.4),"SOBREPESO",IF(AND(PI219=$PX$2,CM219&gt;31.3,CM219&lt;50),"OBESIDAD",""))))</f>
        <v/>
      </c>
      <c r="PY219" s="43" t="str">
        <f t="shared" ref="PY219:PY248" si="993">IF(AND(PI219=$PY$2,CM219&gt;10,CM219&lt;22.3),"BAJO PESO",IF(AND(PI219=$PY$2,CM219&gt;22.2,CM219&lt;27),"NORMAL",IF(AND(PI219=$PY$2,CM219&gt;26.9,CM219&lt;31.6),"SOBREPESO",IF(AND(PI219=$PY$2,CM219&gt;31.5,CM219&lt;50),"OBESIDAD",""))))</f>
        <v/>
      </c>
      <c r="PZ219" s="43" t="str">
        <f t="shared" ref="PZ219:PZ248" si="994">IF(AND(PI219=$PZ$2,$CM219&gt;10,CM219&lt;22.5),"BAJO PESO",IF(AND(PI219=$PZ$2,CM219&gt;22.4,CM219&lt;27.1),"NORMAL",IF(AND(PI219=$PZ$2,CM219&gt;27,CM219&lt;31.7),"SOBREPESO",IF(AND(PI219=$PZ$2,CM219&gt;31.6,CM219&lt;50),"OBESIDAD",""))))</f>
        <v/>
      </c>
      <c r="QA219" s="43" t="str">
        <f t="shared" ref="QA219:QA248" si="995">IF(AND(PI219=$QA$2,CM219&gt;10,CM219&lt;22.7),"BAJO PESO",IF(AND(PI219=$QA$2,CM219&gt;22.6,CM219&lt;27.3),"NORMAL",IF(AND(PI219=$QA$2,CM219&gt;27.1,CM219&lt;31.8),"SOBREPESO",IF(AND(PI219=$QA$2,CM219&gt;31.7,CM219&lt;50),"OBESIDAD",""))))</f>
        <v/>
      </c>
      <c r="QB219" s="43" t="str">
        <f t="shared" ref="QB219:QB248" si="996">IF(AND(PI219=$QB$2,CM219&gt;10,CM219&lt;22.8),"BAJO PESO",IF(AND(PI219=$QB$2,CM219&gt;22.7,CM219&lt;27.4),"NORMAL",IF(AND(PI219=$QB$2,CM219&gt;27.3,CM219&lt;31.9),"SOBREPESO",IF(AND(PI219=$QB$2,CM219&gt;31.8,CM219&lt;50),"OBESIDAD",""))))</f>
        <v/>
      </c>
      <c r="QC219" s="43" t="str">
        <f t="shared" ref="QC219:QC248" si="997">IF(AND(PI219=$QC$2,CM219&gt;10,CM219&lt;23),"BAJO PESO",IF(AND(PI219=$QC$2,CM219&gt;22.9,CM219&lt;27.6),"NORMAL",IF(AND(PI219=$QC$2,CM219&gt;27.5,CM219&lt;32),"SOBREPESO",IF(AND(PI219=$QC$2,CM219&gt;31.9,CM219&lt;50),"OBESIDAD",""))))</f>
        <v/>
      </c>
      <c r="QD219" s="43" t="str">
        <f t="shared" ref="QD219:QD248" si="998">IF(AND(PI219=$QD$2,CM219&gt;10,CM219&lt;23.2),"BAJO PESO",IF(AND(PI219=$QD$2,CM219&gt;23.1,CM219&lt;27.7),"NORMAL",IF(AND(PI219=$QD$2,CM219&gt;27.6,CM219&lt;32.1),"SOBREPESO",IF(AND(PI219=$QD$2,CM219&gt;32,CM219&lt;50),"OBESIDAD",""))))</f>
        <v/>
      </c>
      <c r="QE219" s="43" t="str">
        <f t="shared" ref="QE219:QE248" si="999">IF(AND(PI219=$QE$2,CM219&gt;10,CM219&lt;23.4),"BAJO PESO",IF(AND(PI219=$QE$2,CM219&gt;23.3,CM219&lt;27.9),"NORMAL",IF(AND(PI219=$QE$2,CM219&gt;27.8,CM219&lt;32.2),"SOBREPESO",IF(AND(PI219=$QE$2,CM219&gt;32.1,CM219&lt;50),"OBESIDAD",""))))</f>
        <v/>
      </c>
      <c r="QF219" s="43" t="str">
        <f t="shared" ref="QF219:QF248" si="1000">IF(AND(PI219=$QF$2,CM219&gt;10,CM219&lt;23.5),"BAJO PESO",IF(AND(PI219=$QF$2,CM219&gt;23.4,CM219&lt;28),"NORMAL",IF(AND(PI219=$QF$2,CM219&gt;27.9,CM219&lt;32.1),"SOBREPESO",IF(AND(PI219=$QF$2,CM219&gt;32.2,CM219&lt;50),"OBESIDAD",""))))</f>
        <v/>
      </c>
      <c r="QG219" s="43" t="str">
        <f t="shared" ref="QG219:QG248" si="1001">IF(AND(PI219=$QG$2,CM219&gt;10,CM219&lt;23.7),"BAJO PESO",IF(AND(PI219=$QG$2,CM219&gt;23.6,CM219&lt;28.1),"NORMAL",IF(AND(PI219=$QG$2,CM219&gt;28,CM219&lt;33.4),"SOBREPESO",IF(AND(PI219=$QG$2,CM219&gt;33.3,CM219&lt;50),"OBESIDAD",""))))</f>
        <v/>
      </c>
      <c r="QH219" s="43" t="str">
        <f t="shared" ref="QH219:QH248" si="1002">IF(AND(PI219=$QH$2,CM219&gt;10,CM219&lt;23.9),"BAJO PESO",IF(AND(PI219=$QH$2,CM219&gt;23.8,CM219&lt;28.2),"NORMAL",IF(AND(PI219=$QH$2,CM219&gt;28.1,CM219&lt;33.5),"SOBREPESO",IF(AND(PI219=$QH$2,CM219&gt;33.4,CM219&lt;50),"OBESIDAD",""))))</f>
        <v/>
      </c>
      <c r="QI219" s="43" t="str">
        <f t="shared" ref="QI219:QI248" si="1003">IF(AND(PI219=$QI$2,CM219&gt;10,CM219&lt;24),"BAJO PESO",IF(AND(PI219=$QI$2,CM219&gt;23.9,CM219&lt;28.4),"NORMAL",IF(AND(PI219=$QI$2,CM219&gt;28.3,CM219&lt;33.6),"SOBREPESO",IF(AND(PI219=$QI$2,CM219&gt;33.5,CM219&lt;50),"OBESIDAD",""))))</f>
        <v/>
      </c>
      <c r="QJ219" s="43" t="str">
        <f t="shared" ref="QJ219:QJ248" si="1004">IF(AND(PI219=$QJ$2,CM219&gt;10,CM219&lt;24.2),"BAJO PESO",IF(AND(PI219=$QJ$2,CM219&gt;24.1,CM219&lt;28.5),"NORMAL",IF(AND(PI219=$QJ$2,CM219&gt;28.4,CM219&lt;33.7),"SOBREPESO",IF(AND(PI219=$QJ$2,CM219&gt;33.6,CM219&lt;50),"OBESIDAD",""))))</f>
        <v/>
      </c>
      <c r="QK219" s="43" t="str">
        <f t="shared" ref="QK219:QK248" si="1005">IF(AND(PI219=$QK$2,CM219&gt;10,CM219&lt;24.3),"BAJO PESO",IF(AND(PI219=$QK$2,CM219&gt;24.2,CM219&lt;28.6),"NORMAL",IF(AND(PI219=$QK$2,CM219&gt;28.5,CM219&lt;33.8),"SOBREPESO",IF(AND(PI219=$QK$2,CM219&gt;33.7,CM219&lt;50),"OBESIDAD",""))))</f>
        <v/>
      </c>
      <c r="QL219" s="43" t="str">
        <f t="shared" ref="QL219:QL248" si="1006">IF(AND(PI219=$QL$2,CM219&gt;10,CM219&lt;24.5),"BAJO PESO",IF(AND(PI219=$QL$2,CM219&gt;24.4,CM219&lt;28.8),"NORMAL",IF(AND(PI219=$QL$2,CM219&gt;28.7,CM219&lt;32.9),"SOBREPESO",IF(AND(PI219=$QL$2,CM219&gt;32.8,CM219&lt;50),"OBESIDAD",""))))</f>
        <v/>
      </c>
      <c r="QM219" s="43" t="str">
        <f t="shared" ref="QM219:QM248" si="1007">IF(AND(PI219=$QM$2,CM219&gt;10,CM219&lt;24.6),"BAJO PESO",IF(AND(PI219=$QM$2,CM219&gt;24.5,CM219&lt;28.9),"NORMAL",IF(AND(PI219=$QM$2,CM219&gt;28.8,CM219&lt;33),"SOBREPESO",IF(AND(PI219=$QM$2,CM219&gt;32.9,CM219&lt;50),"OBESIDAD",""))))</f>
        <v/>
      </c>
      <c r="QN219" s="43" t="str">
        <f t="shared" ref="QN219:QN248" si="1008">IF(AND(PI219=$QN$2,CM219&gt;10,CM219&lt;24.8),"BAJO PESO",IF(AND(PI219=$QN$2,CM219&gt;24.7,CM219&lt;29),"NORMAL",IF(AND(PI219=$QN$2,CM219&gt;28.9,CM219&lt;33.1),"SOBREPESO",IF(AND(PI219=$QN$2,CM219&gt;33,CM219&lt;50),"OBESIDAD",""))))</f>
        <v/>
      </c>
      <c r="QO219" s="43" t="str">
        <f t="shared" ref="QO219:QO248" si="1009">IF(AND(PI219=$QO$2,CM219&gt;10,CM219&lt;25),"BAJO PESO",IF(AND(PI219=$QO$2,CM219&gt;24.9,CM219&lt;29.2),"NORMAL",IF(AND(PI219=$QO$2,CM219&gt;29.1,CM219&lt;33.2),"SOBREPESO",IF(AND(PI219=$QO$2,CM219&gt;33.1,CM219&lt;50),"OBESIDAD",""))))</f>
        <v/>
      </c>
      <c r="QP219" s="43" t="str">
        <f t="shared" ref="QP219:QP248" si="1010">IF(AND(PI219=$QP$2,CM219&gt;10,CM219&lt;25.1),"BAJO PESO",IF(AND(PI219=$QP$2,CM219&gt;25,CM219&lt;29.3),"NORMAL",IF(AND(PI219=$QP$2,CM219&gt;29.2,CM219&lt;33.3),"SOBREPESO",IF(AND(PI219=$QP$2,CM219&gt;33.2,CM219&lt;50),"OBESIDAD",""))))</f>
        <v/>
      </c>
      <c r="QQ219" s="43" t="str">
        <f t="shared" ref="QQ219:QQ248" si="1011">IF(AND(PI219=$QQ$2,CM219&gt;10,CM219&lt;25.1),"BAJO PESO",IF(AND(PI219=$QQ$2,CM219&gt;25,CM219&lt;29.4),"NORMAL",IF(AND(PI219=$QQ$2,CM219&gt;29.3,CM219&lt;33.3),"SOBREPESO",IF(AND(PI219=$QQ$2,CM219&gt;33.2,CM219&lt;50),"OBESIDAD",""))))</f>
        <v/>
      </c>
      <c r="QR219" s="43">
        <f t="shared" ref="QR219:QR248" si="1012">IF(DZ219="","",IF(DZ219&lt;13,"Menor",IF(DZ219&gt;40,"Mayor",DZ219)))</f>
        <v>13</v>
      </c>
      <c r="QS219" s="43"/>
      <c r="QT219" s="21" t="str">
        <f t="shared" ref="QT219:QT248" si="1013">IF(AND(QR219=$QT$2,CP219&gt;1,CP219&lt;8),"BAJO PARA EDAD GESTACIONAL",IF(AND(QR219=$QT$2,CP219&gt;=8,CP219&lt;=12),"ADECUADO PARA EDAD GESTACIONAL",IF(AND(QR219=$QT$2,CP219&gt;12,CP219&lt;38),"ALTO PARA EDAD GESTACIONAL","")))</f>
        <v/>
      </c>
      <c r="QU219" s="21" t="str">
        <f t="shared" ref="QU219:QU248" si="1014">IF(AND(QR219=$QU$2,CP219&gt;1,CP219&lt;8.5),"BAJO PARA EDAD GESTACIONAL",IF(AND(QR219=$QU$2,CP219&gt;=8.5,CP219&lt;=14.5),"ADECUADO PARA EDAD GESTACIONAL",IF(AND(QR219=$QU$2,CP219&gt;14.5,CP219&lt;38),"ALTO PARA EDAD GESTACIONAL","")))</f>
        <v/>
      </c>
      <c r="QV219" s="21" t="str">
        <f t="shared" ref="QV219:QV248" si="1015">IF(AND(QR219=$QV$2,CP219&gt;1,CP219&lt;9.5),"BAJO PARA EDAD GESTACIONAL",IF(AND(QR219=$QV$2,CP219&gt;=9.5,CP219&lt;=15),"ADECUADO PARA EDAD GESTACIONAL",IF(AND(QR219=$QV$2,CP219&gt;15,CP219&lt;38),"ALTO PARA EDAD GESTACIONAL","")))</f>
        <v/>
      </c>
      <c r="QW219" s="21" t="str">
        <f t="shared" ref="QW219:QW248" si="1016">IF(AND(QR219=$QW$2,CP219&gt;1,CP219&lt;11.5),"BAJO PARA EDAD GESTACIONAL",IF(AND(QR219=$QW$2,CP219&gt;=11.5,CP219&lt;=18),"ADECUADO PARA EDAD GESTACIONAL",IF(AND(QR219=$QW$2,CP219&gt;18,CP219&lt;38),"ALTO PARA EDAD GESTACIONAL","")))</f>
        <v/>
      </c>
      <c r="QX219" s="21" t="str">
        <f t="shared" ref="QX219:QX248" si="1017">IF(AND(QR219=$QX$2,CP219&gt;1,CP219&lt;12.5),"BAJO PARA EDAD GESTACIONAL",IF(AND(QR219=$QX$2,CP219&gt;=12.5,CP219&lt;=18),"ADECUADO PARA EDAD GESTACIONAL",IF(AND(QR219=$QX$2,CP219&gt;18,CP219&lt;38),"ALTO PARA EDAD GESTACIONAL","")))</f>
        <v/>
      </c>
      <c r="QY219" s="21" t="str">
        <f t="shared" ref="QY219:QY248" si="1018">IF(AND(QR219=$QY$2,CP219&gt;1,CP219&lt;13.5),"BAJO PARA EDAD GESTACIONAL",IF(AND(QR219=$QY$2,CP219&gt;=13.5,CP219&lt;=19),"ADECUADO PARA EDAD GESTACIONAL",IF(AND(QR219=$QY$2,CP219&gt;19,CP219&lt;38),"ALTO PARA EDAD GESTACIONAL","")))</f>
        <v/>
      </c>
      <c r="QZ219" s="21" t="str">
        <f t="shared" ref="QZ219:QZ248" si="1019">IF(AND(QR219=$QZ$2,CP219&gt;1,CP219&lt;14),"BAJO PARA EDAD GESTACIONAL",IF(AND(QR219=$QZ$2,CP219&gt;=14,CP219&lt;=19.5),"ADECUADO PARA EDAD GESTACIONAL",IF(AND(QR219=$QZ$2,CP219&gt;19.5,CP219&lt;38),"ALTO PARA EDAD GESTACIONAL","")))</f>
        <v/>
      </c>
      <c r="RA219" s="21" t="str">
        <f t="shared" ref="RA219:RA248" si="1020">IF(AND(QR219=$RA$2,CP219&gt;1,CP219&lt;15),"BAJO PARA EDAD GESTACIONAL",IF(AND(QR219=$RA$2,CP219&gt;=15,CP219&lt;=21),"ADECUADO PARA EDAD GESTACIONAL",IF(AND(QR219=$RA$2,CP219&gt;21,CP219&lt;38),"ALTO PARA EDAD GESTACIONAL","")))</f>
        <v/>
      </c>
      <c r="RB219" s="21" t="str">
        <f t="shared" ref="RB219:RB248" si="1021">IF(AND(QR219=$RB$2,CP219&gt;1,CP219&lt;15.5),"BAJO PARA EDAD GESTACIONAL",IF(AND(QR219=$RB$2,CP219&gt;=15.5,CP219&lt;=21.5),"ADECUADO PARA EDAD GESTACIONAL",IF(AND(QR219=$RB$2,CP219&gt;21.5,CP219&lt;38),"ALTO PARA EDAD GESTACIONAL","")))</f>
        <v/>
      </c>
      <c r="RC219" s="21" t="str">
        <f t="shared" ref="RC219:RC248" si="1022">IF(AND(QR219=$RC$2,CP219&gt;1,CP219&lt;16.5),"BAJO PARA EDAD GESTACIONAL",IF(AND(QR219=$RC$2,CP219&gt;=16.5,CP219&lt;=22.5),"ADECUADO PARA EDAD GESTACIONAL",IF(AND(QR219=$RC$2,CP219&gt;22.5,CP219&lt;38),"ALTO PARA EDAD GESTACIONAL","")))</f>
        <v/>
      </c>
      <c r="RD219" s="21" t="str">
        <f t="shared" ref="RD219:RD248" si="1023">IF(AND(QR219=$RD$2,CP219&gt;1,CP219&lt;17.5),"BAJO PARA EDAD GESTACIONAL",IF(AND(QR219=$RD$2,CP219&gt;=17.5,CP219&lt;=23),"ADECUADO PARA EDAD GESTACIONAL",IF(AND(QR219=$RD$2,CP219&gt;23,CP219&lt;38),"ALTO PARA EDAD GESTACIONAL","")))</f>
        <v/>
      </c>
      <c r="RE219" s="21" t="str">
        <f t="shared" ref="RE219:RE248" si="1024">IF(AND(QR219=$RE$2,CP219&gt;1,CP219&lt;18.5),"BAJO PARA EDAD GESTACIONAL",IF(AND(QR219=$RE$2,CP219&gt;=18.5,CP219&lt;=24),"ADECUADO PARA EDAD GESTACIONAL",IF(AND(QR219=$RE$2,CP219&gt;24,CP219&lt;38),"ALTO PARA EDAD GESTACIONAL","")))</f>
        <v/>
      </c>
      <c r="RF219" s="21" t="str">
        <f t="shared" ref="RF219:RF248" si="1025">IF(AND(QR219=$RF$2,CP219&gt;1,CP219&lt;19.5),"BAJO PARA EDAD GESTACIONAL",IF(AND(QR219=$RF$2,CP219&gt;=19.5,CP219&lt;=25),"ADECUADO PARA EDAD GESTACIONAL",IF(AND(QR219=$RF$2,CP219&gt;25,CP219&lt;38),"ALTO PARA EDAD GESTACIONAL","")))</f>
        <v/>
      </c>
      <c r="RG219" s="21" t="str">
        <f t="shared" ref="RG219:RG248" si="1026">IF(AND(QR219=$RG$2,CP219&gt;1,CP219&lt;20),"BAJO PARA EDAD GESTACIONAL",IF(AND(QR219=$RG$2,CP219&gt;=20,CP219&lt;=25.5),"ADECUADO PARA EDAD GESTACIONAL",IF(AND(QR219=$RG$2,CP219&gt;25.5,CP219&lt;38),"ALTO PARA EDAD GESTACIONAL","")))</f>
        <v/>
      </c>
      <c r="RH219" s="21" t="str">
        <f t="shared" ref="RH219:RH248" si="1027">IF(AND(QR219=$RH$2,CP219&gt;1,CP219&lt;20.5),"BAJO PARA EDAD GESTACIONAL",IF(AND(QR219=$RH$2,CP219&gt;=20.5,CP219&lt;=26.5),"ADECUADO PARA EDAD GESTACIONAL",IF(AND(QR219=$RH$2,CP219&gt;26.5,CP219&lt;38),"ALTO PARA EDAD GESTACIONAL","")))</f>
        <v/>
      </c>
      <c r="RI219" s="21" t="str">
        <f t="shared" ref="RI219:RI248" si="1028">IF(AND(QR219=$RI$2,CP219&gt;1,CP219&lt;21),"BAJO PARA EDAD GESTACIONAL",IF(AND(QR219=$RI$2,CP219&gt;=21,CP219&lt;=27),"ADECUADO PARA EDAD GESTACIONAL",IF(AND(QR219=$RI$2,CP219&gt;27,CP219&lt;38),"ALTO PARA EDAD GESTACIONAL","")))</f>
        <v/>
      </c>
      <c r="RJ219" s="21" t="str">
        <f t="shared" ref="RJ219:RJ248" si="1029">IF(AND(QR219=$RJ$2,CP219&gt;1,CP219&lt;22.5),"BAJO PARA EDAD GESTACIONAL",IF(AND(QR219=$RJ$2,CP219&gt;=22.5,CP219&lt;=28),"ADECUADO PARA EDAD GESTACIONAL",IF(AND(QR219=$RJ$2,CP219&gt;28,CP219&lt;38),"ALTO PARA EDAD GESTACIONAL","")))</f>
        <v/>
      </c>
      <c r="RK219" s="21" t="str">
        <f t="shared" ref="RK219:RK248" si="1030">IF(AND(QR219=$RK$2,CP219&gt;1,CP219&lt;23.5),"BAJO PARA EDAD GESTACIONAL",IF(AND(QR219=$RK$2,CP219&gt;=23.5,CP219&lt;=29),"ADECUADO PARA EDAD GESTACIONAL",IF(AND(QR219=$RK$2,CP219&gt;29,CP219&lt;38),"ALTO PARA EDAD GESTACIONAL","")))</f>
        <v/>
      </c>
      <c r="RL219" s="21" t="str">
        <f t="shared" ref="RL219:RL248" si="1031">IF(AND(QR219=$RL$2,CP219&gt;1,CP219&lt;24),"BAJO PARA EDAD GESTACIONAL",IF(AND(QR219=$RL$2,CP219&gt;=24,CP219&lt;=29.5),"ADECUADO PARA EDAD GESTACIONAL",IF(AND(QR219=$RL$2,CP219&gt;29.5,CP219&lt;38),"ALTO PARA EDAD GESTACIONAL","")))</f>
        <v/>
      </c>
      <c r="RM219" s="21" t="str">
        <f t="shared" ref="RM219:RM248" si="1032">IF(AND(QR219=$RM$2,CP219&gt;1,CP219&lt;25),"BAJO PARA EDAD GESTACIONAL",IF(AND(QR219=$RM$2,CP219&gt;=25,CP219&lt;=30),"ADECUADO PARA EDAD GESTACIONAL",IF(AND(QR219=$RM$2,CP219&gt;30,CP219&lt;38),"ALTO PARA EDAD GESTACIONAL","")))</f>
        <v/>
      </c>
      <c r="RN219" s="21" t="str">
        <f t="shared" ref="RN219:RN248" si="1033">IF(AND(QR219=$RN$2,CP219&gt;1,CP219&lt;25.5),"BAJO PARA EDAD GESTACIONAL",IF(AND(QR219=$RN$2,CP219&gt;=25.5,CP219&lt;=31),"ADECUADO PARA EDAD GESTACIONAL",IF(AND(QR219=$RN$2,CP219&gt;31,CP219&lt;38),"ALTO PARA EDAD GESTACIONAL","")))</f>
        <v/>
      </c>
      <c r="RO219" s="21" t="str">
        <f t="shared" ref="RO219:RO248" si="1034">IF(AND(QR219=$RO$2,CP219&gt;1,CP219&lt;26),"BAJO PARA EDAD GESTACIONAL",IF(AND(QR219=$RO$2,CP219&gt;=26,CP219&lt;=32),"ADECUADO PARA EDAD GESTACIONAL",IF(AND(QR219=$RO$2,CP219&gt;32,CP219&lt;38),"ALTO PARA EDAD GESTACIONAL","")))</f>
        <v/>
      </c>
      <c r="RP219" s="21" t="str">
        <f t="shared" ref="RP219:RP248" si="1035">IF(AND(QR219=$RP$2,CP219&gt;1,CP219&lt;26.5),"BAJO PARA EDAD GESTACIONAL",IF(AND(QR219=$RP$2,CP219&gt;=26.5,CP219&lt;=33),"ADECUADO PARA EDAD GESTACIONAL",IF(AND(QR219=$RP$2,CP219&gt;33,CP219&lt;38),"ALTO PARA EDAD GESTACIONAL","")))</f>
        <v/>
      </c>
      <c r="RQ219" s="21" t="str">
        <f t="shared" ref="RQ219:RQ248" si="1036">IF(AND(QR219=$RQ$2,CP219&gt;1,CP219&lt;28),"BAJO PARA EDAD GESTACIONAL",IF(AND(QR219=$RQ$2,CP219&gt;=28,CP219&lt;=33),"ADECUADO PARA EDAD GESTACIONAL",IF(AND(QR219=$RQ$2,CP219&gt;33,CP219&lt;38),"ALTO PARA EDAD GESTACIONAL","")))</f>
        <v/>
      </c>
      <c r="RR219" s="21" t="str">
        <f t="shared" ref="RR219:RR248" si="1037">IF(AND(QR219=$RR$2,CP219&gt;1,CP219&lt;28.5),"BAJO PARA EDAD GESTACIONAL",IF(AND(QR219=$RR$2,CP219&gt;=28.5,CP219&lt;=34),"ADECUADO PARA EDAD GESTACIONAL",IF(AND(QR219=$RR$2,CP219&gt;34,CP219&lt;38),"ALTO PARA EDAD GESTACIONAL","")))</f>
        <v/>
      </c>
      <c r="RS219" s="21" t="str">
        <f t="shared" ref="RS219:RS248" si="1038">IF(AND(QR219=$RS$2,CP219&gt;1,CP219&lt;29.5),"BAJO PARA EDAD GESTACIONAL",IF(AND(QR219=$RS$2,CP219&gt;=29.5,CP219&lt;=34),"ADECUADO PARA EDAD GESTACIONAL",IF(AND(QR219=$RS$2,CP219&gt;34,CP219&lt;38),"ALTO PARA EDAD GESTACIONAL","")))</f>
        <v/>
      </c>
      <c r="RT219" s="21" t="str">
        <f t="shared" ref="RT219:RT248" si="1039">IF(AND(QR219=$RT$2,CP219&gt;1,CP219&lt;30.5),"BAJO PARA EDAD GESTACIONAL",IF(AND(QR219=$RT$2,CP219&gt;=30.5,CP219&lt;=34),"ADECUADO PARA EDAD GESTACIONAL",IF(AND(QR219=$RT$2,CP219&gt;34,CP219&lt;38),"ALTO PARA EDAD GESTACIONAL","")))</f>
        <v/>
      </c>
      <c r="RU219" s="21" t="str">
        <f t="shared" ref="RU219:RU248" si="1040">IF(AND(QR219=$RU$2,CP219&gt;1,CP219&lt;31),"BAJO PARA EDAD GESTACIONAL",IF(AND(QR219=$RU$2,CP219&gt;=31,CP219&lt;=34.5),"ADECUADO PARA EDAD GESTACIONAL",IF(AND(QR219=$RU$2,CP219&gt;34.5,CP219&lt;38),"ALTO PARA EDAD GESTACIONAL","")))</f>
        <v/>
      </c>
      <c r="RV219" s="21">
        <f t="shared" ref="RV219:RV248" si="1041">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42">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41"/>
        <v>37.449315068493149</v>
      </c>
      <c r="O220" s="22">
        <v>45132</v>
      </c>
      <c r="P220" s="214" t="str">
        <f t="shared" si="919"/>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2"/>
        <v>85.36666666666666</v>
      </c>
      <c r="BR220" s="223" t="str">
        <f t="shared" si="843"/>
        <v/>
      </c>
      <c r="BS220" s="224">
        <f t="shared" si="844"/>
        <v>6.4285714285714288</v>
      </c>
      <c r="BT220" s="216" t="str">
        <f t="shared" si="845"/>
        <v>I TRIM</v>
      </c>
      <c r="BU220" s="214">
        <f t="shared" ca="1" si="928"/>
        <v>20.714285714285715</v>
      </c>
      <c r="BV220" s="25"/>
      <c r="BW220" s="22"/>
      <c r="BX220" s="28"/>
      <c r="BY220" s="28"/>
      <c r="BZ220" s="22"/>
      <c r="CA220" s="21"/>
      <c r="CB220" s="26"/>
      <c r="CC220" s="26"/>
      <c r="CD220" s="26"/>
      <c r="CE220" s="26"/>
      <c r="CF220" s="22" t="s">
        <v>1517</v>
      </c>
      <c r="CG220" s="21">
        <v>1.51</v>
      </c>
      <c r="CH220" s="21">
        <v>65.900000000000006</v>
      </c>
      <c r="CI220" s="214">
        <f t="shared" si="847"/>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8"/>
        <v>45169</v>
      </c>
      <c r="CL220" s="21">
        <v>65.900000000000006</v>
      </c>
      <c r="CM220" s="214">
        <f t="shared" si="849"/>
        <v>28.902241129775014</v>
      </c>
      <c r="CN220" s="216">
        <f t="shared" si="850"/>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51"/>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20"/>
        <v>EN ESPERA</v>
      </c>
      <c r="DV220" s="226" t="str">
        <f t="shared" si="921"/>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2"/>
        <v>#REF!</v>
      </c>
      <c r="DY220" s="212">
        <f>IF(R220="","",IF(R220&gt;0,MAX(Tabla1[[#This Row],[FECHA C2]:[FECHA C13]],Tabla1[[#This Row],[FECHA CONSULTA PRIMERA VEZ PROGRAMA CPN ]])))</f>
        <v>45169</v>
      </c>
      <c r="DZ220" s="216">
        <f t="shared" si="853"/>
        <v>11</v>
      </c>
      <c r="EA220" s="222">
        <f>IF(R220&gt;0,SUM(COUNTA(DF220:DQ220)+COUNTA(Tabla1[[#This Row],[FECHA CONSULTA PRIMERA VEZ PROGRAMA CPN ]])),"")</f>
        <v>2</v>
      </c>
      <c r="EB220" s="222" t="str">
        <f t="shared" si="854"/>
        <v>NO</v>
      </c>
      <c r="EC220" s="214">
        <f t="shared" si="855"/>
        <v>10</v>
      </c>
      <c r="ED220" s="227">
        <f t="shared" si="856"/>
        <v>0.2</v>
      </c>
      <c r="EE220" s="22">
        <v>45132</v>
      </c>
      <c r="EF220" s="22"/>
      <c r="EG220" s="22">
        <v>45132</v>
      </c>
      <c r="EH220" s="22"/>
      <c r="EI220" s="22">
        <v>45132</v>
      </c>
      <c r="EJ220" s="22"/>
      <c r="EK220" s="22"/>
      <c r="EL220" s="21"/>
      <c r="EM220" s="21">
        <v>13.5</v>
      </c>
      <c r="EN220" s="22">
        <v>45092</v>
      </c>
      <c r="EO220" s="222">
        <f t="shared" si="857"/>
        <v>0.7142857142857143</v>
      </c>
      <c r="EP220" s="214" t="str">
        <f t="shared" si="858"/>
        <v>NORMAL- SUMINISTRAR SULFATO FERROSO</v>
      </c>
      <c r="EQ220" s="216" t="str">
        <f t="shared" si="859"/>
        <v>I TRIM</v>
      </c>
      <c r="ER220" s="24"/>
      <c r="ES220" s="22"/>
      <c r="ET220" s="29" t="str">
        <f t="shared" ca="1" si="922"/>
        <v>EN ESPERA PARA TOMA EXAMEN</v>
      </c>
      <c r="EU220" s="25" t="str">
        <f t="shared" si="860"/>
        <v/>
      </c>
      <c r="EV220" s="24"/>
      <c r="EW220" s="24"/>
      <c r="EX220" s="22"/>
      <c r="EY220" s="29" t="str">
        <f t="shared" ref="EY220:EY248" si="1043">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4">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61"/>
        <v>TOMAR EXAMEN</v>
      </c>
      <c r="FD220" s="29"/>
      <c r="FE220" s="29"/>
      <c r="FF220" s="29"/>
      <c r="FG220" s="21" t="str">
        <f t="shared" ca="1" si="862"/>
        <v>PROGRAMAR TOMA PTOG SIGUIENTE CONTROL</v>
      </c>
      <c r="FH220" s="31"/>
      <c r="FI220" s="29" t="str">
        <f t="shared" si="863"/>
        <v>TOMAR EXAMEN</v>
      </c>
      <c r="FJ220" s="22"/>
      <c r="FK220" s="22"/>
      <c r="FL220" s="29" t="str">
        <f t="shared" ca="1" si="864"/>
        <v>PIERDE TOMA DE TAMIZAJE</v>
      </c>
      <c r="FM220" s="22"/>
      <c r="FN220" s="32"/>
      <c r="FO220" s="29" t="str">
        <f t="shared" ca="1" si="923"/>
        <v>EN RANGO PARA TOMAR EXAMEN</v>
      </c>
      <c r="FP220" s="22"/>
      <c r="FQ220" s="32"/>
      <c r="FR220" s="29" t="str">
        <f t="shared" ca="1" si="924"/>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5"/>
        <v>TOMAR EXAMEN</v>
      </c>
      <c r="FY220" s="22"/>
      <c r="FZ220" s="22"/>
      <c r="GA220" s="29" t="str">
        <f t="shared" ca="1" si="939"/>
        <v>PIERDE TOMA DE TAMIZAJE</v>
      </c>
      <c r="GB220" s="22"/>
      <c r="GC220" s="22"/>
      <c r="GD220" s="29" t="str">
        <f t="shared" ca="1" si="940"/>
        <v>EN RANGO PARA TOMAR EXAMEN</v>
      </c>
      <c r="GE220" s="22"/>
      <c r="GF220" s="22"/>
      <c r="GG220" s="29" t="str">
        <f t="shared" ca="1" si="926"/>
        <v>EN ESPERA-ESTÁ I TRIM O II TRIM</v>
      </c>
      <c r="GH220" s="22"/>
      <c r="GI220" s="29"/>
      <c r="GJ220" s="22"/>
      <c r="GK220" s="22"/>
      <c r="GL220" s="22"/>
      <c r="GM220" s="22"/>
      <c r="GN220" s="28"/>
      <c r="GO220" s="22"/>
      <c r="GP220" s="29" t="str">
        <f t="shared" si="866"/>
        <v>TOMAR EXAMEN</v>
      </c>
      <c r="GQ220" s="28"/>
      <c r="GR220" s="28"/>
      <c r="GS220" s="22" t="str">
        <f t="shared" si="728"/>
        <v/>
      </c>
      <c r="GT220" s="22"/>
      <c r="GU220" s="29" t="str">
        <f t="shared" si="867"/>
        <v>TOMAR EXAMEN</v>
      </c>
      <c r="GV220" s="21" t="str">
        <f t="shared" si="868"/>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9"/>
        <v>#REF!</v>
      </c>
      <c r="HI220" s="22" t="e">
        <f t="shared" ca="1" si="870"/>
        <v>#REF!</v>
      </c>
      <c r="HJ220" s="21" t="str">
        <f t="shared" ca="1" si="871"/>
        <v>************************RIESGO POR EDAD***************</v>
      </c>
      <c r="HK220" s="21" t="str">
        <f t="shared" si="872"/>
        <v>SIN ANTECEDENTES DE RIESGO</v>
      </c>
      <c r="HL220" s="24" t="str">
        <f t="shared" si="873"/>
        <v>APARENTEMENTE NORMAL</v>
      </c>
      <c r="HM220" s="21" t="e">
        <f t="shared" ca="1" si="874"/>
        <v>#REF!</v>
      </c>
      <c r="HN220" s="30" t="str">
        <f t="shared" si="927"/>
        <v>ACTIVA INGRESO A CPN</v>
      </c>
      <c r="HO220" s="21"/>
      <c r="HP220" s="21"/>
      <c r="HQ220" s="349"/>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5"/>
        <v>PENDIENTE CONSULTA</v>
      </c>
      <c r="IA220" s="26"/>
      <c r="IB220" s="26"/>
      <c r="IC220" s="111"/>
      <c r="ID220" s="22"/>
      <c r="IE220" s="22" t="str">
        <f t="shared" ca="1" si="876"/>
        <v>PROGRAMAR APLICACION DE VACUNA</v>
      </c>
      <c r="IF220" s="22"/>
      <c r="IG220" s="22">
        <f t="shared" si="877"/>
        <v>45367</v>
      </c>
      <c r="IH220" s="29">
        <f t="shared" ca="1" si="878"/>
        <v>135</v>
      </c>
      <c r="II220" s="22" t="str">
        <f t="shared" ca="1" si="879"/>
        <v>PENDIENTE</v>
      </c>
      <c r="IJ220" s="22"/>
      <c r="IK220" s="21"/>
      <c r="IL220" s="21"/>
      <c r="IM220" s="34"/>
      <c r="IN220" s="22"/>
      <c r="IO220" s="21"/>
      <c r="IP220" s="29" t="str">
        <f t="shared" si="880"/>
        <v/>
      </c>
      <c r="IQ220" s="35"/>
      <c r="IR220" s="21"/>
      <c r="IS220" s="21"/>
      <c r="IT220" s="21"/>
      <c r="IU220" s="21"/>
      <c r="IV220" s="21"/>
      <c r="IW220" s="21"/>
      <c r="IX220" s="21"/>
      <c r="IY220" s="21"/>
      <c r="IZ220" s="21"/>
      <c r="JA220" s="21"/>
      <c r="JB220" s="30"/>
      <c r="JC220" s="21"/>
      <c r="JD220" s="36"/>
      <c r="JE220" s="21" t="str">
        <f t="shared" si="881"/>
        <v/>
      </c>
      <c r="JF220" s="30"/>
      <c r="JG220" s="21"/>
      <c r="JH220" s="21"/>
      <c r="JI220" s="21"/>
      <c r="JJ220" s="30"/>
      <c r="JK220" s="22"/>
      <c r="JL220" s="22"/>
      <c r="JM220" s="21"/>
      <c r="JN220" s="36"/>
      <c r="JO220" s="21" t="str">
        <f t="shared" si="882"/>
        <v/>
      </c>
      <c r="JP220" s="22"/>
      <c r="JQ220" s="21"/>
      <c r="JR220" s="21"/>
      <c r="JS220" s="21"/>
      <c r="JT220" s="30"/>
      <c r="JU220" s="22"/>
      <c r="JV220" s="22"/>
      <c r="JW220" s="33"/>
      <c r="JX220" s="28" t="str">
        <f t="shared" si="883"/>
        <v/>
      </c>
      <c r="JY220" s="33"/>
      <c r="JZ220" s="28" t="str">
        <f t="shared" si="884"/>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5"/>
        <v>0</v>
      </c>
      <c r="MI220" s="43" t="str">
        <f t="shared" si="929"/>
        <v/>
      </c>
      <c r="MJ220" s="43" t="str">
        <f t="shared" si="887"/>
        <v/>
      </c>
      <c r="MK220" s="43">
        <f t="shared" si="888"/>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30"/>
        <v>6.4285714285714288</v>
      </c>
      <c r="MN220" s="43">
        <f t="shared" si="931"/>
        <v>7</v>
      </c>
      <c r="MO220" s="43">
        <f t="shared" si="932"/>
        <v>2023</v>
      </c>
      <c r="MP220" s="43" t="str">
        <f t="shared" si="892"/>
        <v>III TRIMESTRE AÑO</v>
      </c>
      <c r="MQ220" s="43">
        <f t="shared" si="933"/>
        <v>36.61574682435392</v>
      </c>
      <c r="MR220" s="43">
        <f t="shared" si="894"/>
        <v>2</v>
      </c>
      <c r="MS220" s="43" t="str">
        <f t="shared" si="895"/>
        <v xml:space="preserve"> DE 35 A 39 AÑOS</v>
      </c>
      <c r="MT220" s="43">
        <f t="shared" si="896"/>
        <v>0</v>
      </c>
      <c r="MU220" s="43">
        <f t="shared" si="897"/>
        <v>0</v>
      </c>
      <c r="MV220" s="43">
        <f t="shared" si="898"/>
        <v>0</v>
      </c>
      <c r="MW220" s="43">
        <f t="shared" si="899"/>
        <v>0</v>
      </c>
      <c r="MX220" s="43" t="str">
        <f t="shared" si="900"/>
        <v/>
      </c>
      <c r="MY220" s="43" t="str">
        <f t="shared" ca="1" si="901"/>
        <v/>
      </c>
      <c r="MZ220" s="43" t="str">
        <f t="shared" si="902"/>
        <v/>
      </c>
      <c r="NA220" s="43" t="str">
        <f t="shared" si="903"/>
        <v/>
      </c>
      <c r="NB220" s="43" t="str">
        <f t="shared" si="904"/>
        <v/>
      </c>
      <c r="NC220" s="43" t="str">
        <f t="shared" si="905"/>
        <v/>
      </c>
      <c r="ND220" s="43">
        <f t="shared" ca="1" si="934"/>
        <v>2</v>
      </c>
      <c r="NE220" s="43">
        <f>IF(OR(O220&gt;0,R220&gt;0),SUM(COUNTIF(Tabla1[[#This Row],[AÑOS AL INICIO5 CPN]],"&gt;=40"),COUNTIF(AS220,"0"),COUNTIF(AR220,"SI"),COUNTIF(CC220,"SI"),COUNTIF(BQ220,"&gt;119"),COUNTIF(CI220,"&gt;=35")),"")</f>
        <v>0</v>
      </c>
      <c r="NF220" s="43" t="str">
        <f t="shared" si="935"/>
        <v/>
      </c>
      <c r="NG220" s="43">
        <f t="shared" si="908"/>
        <v>0</v>
      </c>
      <c r="NH220" s="43" t="str">
        <f t="shared" si="909"/>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6"/>
        <v>X</v>
      </c>
      <c r="NM220" s="43" t="str">
        <f t="shared" si="941"/>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12"/>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7"/>
        <v>2</v>
      </c>
      <c r="NS220" s="205">
        <f t="shared" ca="1" si="914"/>
        <v>0</v>
      </c>
      <c r="NT220" s="21">
        <f t="shared" ca="1" si="915"/>
        <v>0</v>
      </c>
      <c r="NU220" s="21" t="str">
        <f t="shared" ca="1" si="916"/>
        <v>INCOMPLETO</v>
      </c>
      <c r="NV220" s="21" t="str">
        <f t="shared" ca="1" si="917"/>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8"/>
        <v>SIN VACUNAR</v>
      </c>
      <c r="NY220" s="43">
        <f>ROW(Tabla1[[#This Row],['# DE TAMIZAJES SIFILIS TOMADOS ]])</f>
        <v>220</v>
      </c>
      <c r="NZ220" s="43" t="str">
        <f t="shared" si="942"/>
        <v>Menor</v>
      </c>
      <c r="OA220" s="43" t="str">
        <f t="shared" si="943"/>
        <v>SOBREPESO</v>
      </c>
      <c r="OB220" s="43" t="str">
        <f t="shared" si="944"/>
        <v/>
      </c>
      <c r="OC220" s="43" t="str">
        <f t="shared" si="945"/>
        <v/>
      </c>
      <c r="OD220" s="43" t="str">
        <f t="shared" si="946"/>
        <v/>
      </c>
      <c r="OE220" s="43" t="str">
        <f t="shared" si="947"/>
        <v/>
      </c>
      <c r="OF220" s="43" t="str">
        <f t="shared" si="948"/>
        <v/>
      </c>
      <c r="OG220" s="43" t="str">
        <f t="shared" si="949"/>
        <v/>
      </c>
      <c r="OH220" s="43" t="str">
        <f t="shared" si="950"/>
        <v/>
      </c>
      <c r="OI220" s="43" t="str">
        <f t="shared" si="951"/>
        <v/>
      </c>
      <c r="OJ220" s="43" t="str">
        <f t="shared" si="952"/>
        <v/>
      </c>
      <c r="OK220" s="43" t="str">
        <f t="shared" si="953"/>
        <v/>
      </c>
      <c r="OL220" s="43" t="str">
        <f t="shared" si="954"/>
        <v/>
      </c>
      <c r="OM220" s="43" t="str">
        <f t="shared" si="955"/>
        <v/>
      </c>
      <c r="ON220" s="43" t="str">
        <f t="shared" si="956"/>
        <v/>
      </c>
      <c r="OO220" s="43" t="str">
        <f t="shared" si="957"/>
        <v/>
      </c>
      <c r="OP220" s="43" t="str">
        <f t="shared" si="958"/>
        <v/>
      </c>
      <c r="OQ220" s="43" t="str">
        <f t="shared" si="959"/>
        <v/>
      </c>
      <c r="OR220" s="43" t="str">
        <f t="shared" si="960"/>
        <v/>
      </c>
      <c r="OS220" s="43" t="str">
        <f t="shared" si="961"/>
        <v/>
      </c>
      <c r="OT220" s="43" t="str">
        <f t="shared" si="962"/>
        <v/>
      </c>
      <c r="OU220" s="43" t="str">
        <f t="shared" si="963"/>
        <v/>
      </c>
      <c r="OV220" s="110" t="str">
        <f t="shared" si="964"/>
        <v/>
      </c>
      <c r="OW220" s="43" t="str">
        <f t="shared" si="965"/>
        <v/>
      </c>
      <c r="OX220" s="43" t="str">
        <f t="shared" si="966"/>
        <v/>
      </c>
      <c r="OY220" s="43" t="str">
        <f t="shared" si="967"/>
        <v/>
      </c>
      <c r="OZ220" s="43" t="str">
        <f t="shared" si="968"/>
        <v/>
      </c>
      <c r="PA220" s="43" t="str">
        <f t="shared" si="969"/>
        <v/>
      </c>
      <c r="PB220" s="43" t="str">
        <f t="shared" si="970"/>
        <v/>
      </c>
      <c r="PC220" s="43" t="str">
        <f t="shared" si="971"/>
        <v/>
      </c>
      <c r="PD220" s="43" t="str">
        <f t="shared" si="972"/>
        <v/>
      </c>
      <c r="PE220" s="43" t="str">
        <f t="shared" si="973"/>
        <v/>
      </c>
      <c r="PF220" s="43" t="str">
        <f t="shared" si="974"/>
        <v/>
      </c>
      <c r="PG220" s="43" t="str">
        <f t="shared" si="975"/>
        <v/>
      </c>
      <c r="PH220" s="43" t="str">
        <f t="shared" si="976"/>
        <v/>
      </c>
      <c r="PI220" s="43">
        <f t="shared" si="977"/>
        <v>11</v>
      </c>
      <c r="PJ220" s="43" t="str">
        <f t="shared" si="978"/>
        <v/>
      </c>
      <c r="PK220" s="43" t="str">
        <f t="shared" si="979"/>
        <v/>
      </c>
      <c r="PL220" s="43" t="str">
        <f t="shared" si="980"/>
        <v>SOBREPESO</v>
      </c>
      <c r="PM220" s="43" t="str">
        <f t="shared" si="981"/>
        <v/>
      </c>
      <c r="PN220" s="43" t="str">
        <f t="shared" si="982"/>
        <v/>
      </c>
      <c r="PO220" s="43" t="str">
        <f t="shared" si="983"/>
        <v/>
      </c>
      <c r="PP220" s="43" t="str">
        <f t="shared" si="984"/>
        <v/>
      </c>
      <c r="PQ220" s="43" t="str">
        <f t="shared" si="985"/>
        <v/>
      </c>
      <c r="PR220" s="43" t="str">
        <f t="shared" si="986"/>
        <v/>
      </c>
      <c r="PS220" s="43" t="str">
        <f t="shared" si="987"/>
        <v/>
      </c>
      <c r="PT220" s="43" t="str">
        <f t="shared" si="988"/>
        <v/>
      </c>
      <c r="PU220" s="43" t="str">
        <f t="shared" si="989"/>
        <v/>
      </c>
      <c r="PV220" s="43" t="str">
        <f t="shared" si="990"/>
        <v/>
      </c>
      <c r="PW220" s="43" t="str">
        <f t="shared" si="991"/>
        <v/>
      </c>
      <c r="PX220" s="43" t="str">
        <f t="shared" si="992"/>
        <v/>
      </c>
      <c r="PY220" s="43" t="str">
        <f t="shared" si="993"/>
        <v/>
      </c>
      <c r="PZ220" s="43" t="str">
        <f t="shared" si="994"/>
        <v/>
      </c>
      <c r="QA220" s="43" t="str">
        <f t="shared" si="995"/>
        <v/>
      </c>
      <c r="QB220" s="43" t="str">
        <f t="shared" si="996"/>
        <v/>
      </c>
      <c r="QC220" s="43" t="str">
        <f t="shared" si="997"/>
        <v/>
      </c>
      <c r="QD220" s="43" t="str">
        <f t="shared" si="998"/>
        <v/>
      </c>
      <c r="QE220" s="43" t="str">
        <f t="shared" si="999"/>
        <v/>
      </c>
      <c r="QF220" s="43" t="str">
        <f t="shared" si="1000"/>
        <v/>
      </c>
      <c r="QG220" s="43" t="str">
        <f t="shared" si="1001"/>
        <v/>
      </c>
      <c r="QH220" s="43" t="str">
        <f t="shared" si="1002"/>
        <v/>
      </c>
      <c r="QI220" s="43" t="str">
        <f t="shared" si="1003"/>
        <v/>
      </c>
      <c r="QJ220" s="43" t="str">
        <f t="shared" si="1004"/>
        <v/>
      </c>
      <c r="QK220" s="43" t="str">
        <f t="shared" si="1005"/>
        <v/>
      </c>
      <c r="QL220" s="43" t="str">
        <f t="shared" si="1006"/>
        <v/>
      </c>
      <c r="QM220" s="43" t="str">
        <f t="shared" si="1007"/>
        <v/>
      </c>
      <c r="QN220" s="43" t="str">
        <f t="shared" si="1008"/>
        <v/>
      </c>
      <c r="QO220" s="43" t="str">
        <f t="shared" si="1009"/>
        <v/>
      </c>
      <c r="QP220" s="43" t="str">
        <f t="shared" si="1010"/>
        <v/>
      </c>
      <c r="QQ220" s="43" t="str">
        <f t="shared" si="1011"/>
        <v/>
      </c>
      <c r="QR220" s="43" t="str">
        <f t="shared" si="1012"/>
        <v>Menor</v>
      </c>
      <c r="QS220" s="43"/>
      <c r="QT220" s="21" t="str">
        <f t="shared" si="1013"/>
        <v/>
      </c>
      <c r="QU220" s="21" t="str">
        <f t="shared" si="1014"/>
        <v/>
      </c>
      <c r="QV220" s="21" t="str">
        <f t="shared" si="1015"/>
        <v/>
      </c>
      <c r="QW220" s="21" t="str">
        <f t="shared" si="1016"/>
        <v/>
      </c>
      <c r="QX220" s="21" t="str">
        <f t="shared" si="1017"/>
        <v/>
      </c>
      <c r="QY220" s="21" t="str">
        <f t="shared" si="1018"/>
        <v/>
      </c>
      <c r="QZ220" s="21" t="str">
        <f t="shared" si="1019"/>
        <v/>
      </c>
      <c r="RA220" s="21" t="str">
        <f t="shared" si="1020"/>
        <v/>
      </c>
      <c r="RB220" s="21" t="str">
        <f t="shared" si="1021"/>
        <v/>
      </c>
      <c r="RC220" s="21" t="str">
        <f t="shared" si="1022"/>
        <v/>
      </c>
      <c r="RD220" s="21" t="str">
        <f t="shared" si="1023"/>
        <v/>
      </c>
      <c r="RE220" s="21" t="str">
        <f t="shared" si="1024"/>
        <v/>
      </c>
      <c r="RF220" s="21" t="str">
        <f t="shared" si="1025"/>
        <v/>
      </c>
      <c r="RG220" s="21" t="str">
        <f t="shared" si="1026"/>
        <v/>
      </c>
      <c r="RH220" s="21" t="str">
        <f t="shared" si="1027"/>
        <v/>
      </c>
      <c r="RI220" s="21" t="str">
        <f t="shared" si="1028"/>
        <v/>
      </c>
      <c r="RJ220" s="21" t="str">
        <f t="shared" si="1029"/>
        <v/>
      </c>
      <c r="RK220" s="21" t="str">
        <f t="shared" si="1030"/>
        <v/>
      </c>
      <c r="RL220" s="21" t="str">
        <f t="shared" si="1031"/>
        <v/>
      </c>
      <c r="RM220" s="21" t="str">
        <f t="shared" si="1032"/>
        <v/>
      </c>
      <c r="RN220" s="21" t="str">
        <f t="shared" si="1033"/>
        <v/>
      </c>
      <c r="RO220" s="21" t="str">
        <f t="shared" si="1034"/>
        <v/>
      </c>
      <c r="RP220" s="21" t="str">
        <f t="shared" si="1035"/>
        <v/>
      </c>
      <c r="RQ220" s="21" t="str">
        <f t="shared" si="1036"/>
        <v/>
      </c>
      <c r="RR220" s="21" t="str">
        <f t="shared" si="1037"/>
        <v/>
      </c>
      <c r="RS220" s="21" t="str">
        <f t="shared" si="1038"/>
        <v/>
      </c>
      <c r="RT220" s="21" t="str">
        <f t="shared" si="1039"/>
        <v/>
      </c>
      <c r="RU220" s="21" t="str">
        <f t="shared" si="1040"/>
        <v/>
      </c>
      <c r="RV220" s="21">
        <f t="shared" si="1041"/>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42"/>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41"/>
        <v>18.224657534246575</v>
      </c>
      <c r="O221" s="22">
        <v>45134</v>
      </c>
      <c r="P221" s="214" t="str">
        <f t="shared" si="919"/>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2"/>
        <v>0</v>
      </c>
      <c r="BR221" s="223" t="str">
        <f t="shared" si="843"/>
        <v/>
      </c>
      <c r="BS221" s="224">
        <f t="shared" si="844"/>
        <v>10.142857142857142</v>
      </c>
      <c r="BT221" s="216" t="str">
        <f t="shared" si="845"/>
        <v>II TRIM</v>
      </c>
      <c r="BU221" s="214">
        <f t="shared" ca="1" si="928"/>
        <v>24.142857142857142</v>
      </c>
      <c r="BV221" s="25"/>
      <c r="BW221" s="22"/>
      <c r="BX221" s="28"/>
      <c r="BY221" s="28"/>
      <c r="BZ221" s="22"/>
      <c r="CA221" s="21"/>
      <c r="CB221" s="26"/>
      <c r="CC221" s="26"/>
      <c r="CD221" s="26"/>
      <c r="CE221" s="26"/>
      <c r="CF221" s="22" t="s">
        <v>1517</v>
      </c>
      <c r="CG221" s="21">
        <v>1.39</v>
      </c>
      <c r="CH221" s="21">
        <v>51</v>
      </c>
      <c r="CI221" s="214">
        <f t="shared" si="847"/>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8"/>
        <v>45134</v>
      </c>
      <c r="CL221" s="21">
        <v>51</v>
      </c>
      <c r="CM221" s="214">
        <f t="shared" si="849"/>
        <v>26.396149267636254</v>
      </c>
      <c r="CN221" s="216">
        <f t="shared" si="850"/>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51"/>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20"/>
        <v>EN ESPERA</v>
      </c>
      <c r="DV221" s="226" t="str">
        <f t="shared" si="921"/>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2"/>
        <v>#REF!</v>
      </c>
      <c r="DY221" s="212">
        <f>IF(R221="","",IF(R221&gt;0,MAX(Tabla1[[#This Row],[FECHA C2]:[FECHA C13]],Tabla1[[#This Row],[FECHA CONSULTA PRIMERA VEZ PROGRAMA CPN ]])))</f>
        <v>45134</v>
      </c>
      <c r="DZ221" s="216">
        <f t="shared" si="853"/>
        <v>10</v>
      </c>
      <c r="EA221" s="222">
        <f>IF(R221&gt;0,SUM(COUNTA(DF221:DQ221)+COUNTA(Tabla1[[#This Row],[FECHA CONSULTA PRIMERA VEZ PROGRAMA CPN ]])),"")</f>
        <v>2</v>
      </c>
      <c r="EB221" s="222" t="str">
        <f t="shared" si="854"/>
        <v>NO</v>
      </c>
      <c r="EC221" s="214">
        <f t="shared" si="855"/>
        <v>9</v>
      </c>
      <c r="ED221" s="227">
        <f t="shared" si="856"/>
        <v>0.22222222222222221</v>
      </c>
      <c r="EE221" s="22">
        <v>45136</v>
      </c>
      <c r="EF221" s="22"/>
      <c r="EG221" s="22">
        <v>45136</v>
      </c>
      <c r="EH221" s="22"/>
      <c r="EI221" s="22">
        <v>45136</v>
      </c>
      <c r="EJ221" s="22"/>
      <c r="EK221" s="22"/>
      <c r="EL221" s="21"/>
      <c r="EM221" s="21">
        <v>15.5</v>
      </c>
      <c r="EN221" s="22">
        <v>45031</v>
      </c>
      <c r="EO221" s="222" t="str">
        <f t="shared" si="857"/>
        <v>CORREGIR FECHA RESULTADO</v>
      </c>
      <c r="EP221" s="214" t="str">
        <f t="shared" si="858"/>
        <v>NO DAR SULFATO FERROSO</v>
      </c>
      <c r="EQ221" s="216" t="str">
        <f t="shared" si="859"/>
        <v>POR DEFINIR</v>
      </c>
      <c r="ER221" s="24"/>
      <c r="ES221" s="22"/>
      <c r="ET221" s="29" t="str">
        <f t="shared" ca="1" si="922"/>
        <v>PROGRAMAR TOMA HEMOGLOBINA A SEM 28</v>
      </c>
      <c r="EU221" s="25" t="str">
        <f t="shared" si="860"/>
        <v/>
      </c>
      <c r="EV221" s="24" t="s">
        <v>1510</v>
      </c>
      <c r="EW221" s="32">
        <v>45136</v>
      </c>
      <c r="EX221" s="22"/>
      <c r="EY221" s="29">
        <f t="shared" si="1043"/>
        <v>10.428571428571429</v>
      </c>
      <c r="EZ221" s="25" t="str">
        <f t="shared" si="1044"/>
        <v>SIN RIESGO DE ISOINMUNIZACIÓN</v>
      </c>
      <c r="FA221" s="21">
        <v>76</v>
      </c>
      <c r="FB221" s="22">
        <v>45136</v>
      </c>
      <c r="FC221" s="29">
        <f t="shared" si="861"/>
        <v>10.428571428571429</v>
      </c>
      <c r="FD221" s="29"/>
      <c r="FE221" s="29"/>
      <c r="FF221" s="29"/>
      <c r="FG221" s="21" t="str">
        <f t="shared" ca="1" si="862"/>
        <v>TOMAR PTOG</v>
      </c>
      <c r="FH221" s="31"/>
      <c r="FI221" s="29" t="str">
        <f t="shared" si="863"/>
        <v>TOMAR EXAMEN</v>
      </c>
      <c r="FJ221" s="22" t="s">
        <v>867</v>
      </c>
      <c r="FK221" s="22">
        <v>45136</v>
      </c>
      <c r="FL221" s="29">
        <f t="shared" ca="1" si="864"/>
        <v>10.428571428571429</v>
      </c>
      <c r="FM221" s="22"/>
      <c r="FN221" s="32"/>
      <c r="FO221" s="29" t="str">
        <f t="shared" ca="1" si="923"/>
        <v>PIERDE TOMA DE TAMIZAJE</v>
      </c>
      <c r="FP221" s="22"/>
      <c r="FQ221" s="32"/>
      <c r="FR221" s="29" t="str">
        <f t="shared" ca="1" si="924"/>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5"/>
        <v>TOMAR EXAMEN</v>
      </c>
      <c r="FY221" s="22" t="s">
        <v>868</v>
      </c>
      <c r="FZ221" s="22">
        <v>45136</v>
      </c>
      <c r="GA221" s="29">
        <f t="shared" ca="1" si="939"/>
        <v>10.428571428571429</v>
      </c>
      <c r="GB221" s="22"/>
      <c r="GC221" s="22"/>
      <c r="GD221" s="29" t="str">
        <f t="shared" ca="1" si="940"/>
        <v>EN RANGO PARA TOMAR EXAMEN</v>
      </c>
      <c r="GE221" s="22"/>
      <c r="GF221" s="22"/>
      <c r="GG221" s="29" t="str">
        <f t="shared" ca="1" si="926"/>
        <v>EN ESPERA-ESTÁ I TRIM O II TRIM</v>
      </c>
      <c r="GH221" s="22"/>
      <c r="GI221" s="29"/>
      <c r="GJ221" s="22"/>
      <c r="GK221" s="22"/>
      <c r="GL221" s="22"/>
      <c r="GM221" s="22"/>
      <c r="GN221" s="28" t="s">
        <v>869</v>
      </c>
      <c r="GO221" s="22">
        <v>45136</v>
      </c>
      <c r="GP221" s="29">
        <f t="shared" si="866"/>
        <v>10.428571428571429</v>
      </c>
      <c r="GQ221" s="28"/>
      <c r="GR221" s="28"/>
      <c r="GS221" s="22" t="str">
        <f t="shared" si="728"/>
        <v/>
      </c>
      <c r="GT221" s="22"/>
      <c r="GU221" s="29" t="str">
        <f t="shared" si="867"/>
        <v>TOMAR EXAMEN</v>
      </c>
      <c r="GV221" s="21" t="str">
        <f t="shared" si="868"/>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9"/>
        <v>#REF!</v>
      </c>
      <c r="HI221" s="22" t="e">
        <f t="shared" ca="1" si="870"/>
        <v>#REF!</v>
      </c>
      <c r="HJ221" s="21" t="str">
        <f t="shared" ca="1" si="871"/>
        <v>***************************************</v>
      </c>
      <c r="HK221" s="21" t="str">
        <f t="shared" si="872"/>
        <v>SIN ANTECEDENTES DE RIESGO</v>
      </c>
      <c r="HL221" s="24" t="str">
        <f t="shared" si="873"/>
        <v>APARENTEMENTE NORMAL</v>
      </c>
      <c r="HM221" s="21" t="e">
        <f t="shared" ca="1" si="874"/>
        <v>#REF!</v>
      </c>
      <c r="HN221" s="30" t="str">
        <f t="shared" si="927"/>
        <v>ACTIVA INGRESO A CPN</v>
      </c>
      <c r="HO221" s="21"/>
      <c r="HP221" s="21"/>
      <c r="HQ221" s="349"/>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5"/>
        <v>6</v>
      </c>
      <c r="IA221" s="26"/>
      <c r="IB221" s="26"/>
      <c r="IC221" s="111"/>
      <c r="ID221" s="22"/>
      <c r="IE221" s="22" t="str">
        <f t="shared" ca="1" si="876"/>
        <v>PROGRAMAR APLICACION DE VACUNA</v>
      </c>
      <c r="IF221" s="22"/>
      <c r="IG221" s="22">
        <f t="shared" si="877"/>
        <v>45343</v>
      </c>
      <c r="IH221" s="29">
        <f t="shared" ca="1" si="878"/>
        <v>111</v>
      </c>
      <c r="II221" s="22" t="str">
        <f t="shared" ca="1" si="879"/>
        <v>PENDIENTE</v>
      </c>
      <c r="IJ221" s="22"/>
      <c r="IK221" s="21"/>
      <c r="IL221" s="21"/>
      <c r="IM221" s="34"/>
      <c r="IN221" s="22"/>
      <c r="IO221" s="21"/>
      <c r="IP221" s="29" t="str">
        <f t="shared" si="880"/>
        <v/>
      </c>
      <c r="IQ221" s="35"/>
      <c r="IR221" s="21"/>
      <c r="IS221" s="21"/>
      <c r="IT221" s="21"/>
      <c r="IU221" s="21"/>
      <c r="IV221" s="21"/>
      <c r="IW221" s="21"/>
      <c r="IX221" s="21"/>
      <c r="IY221" s="21"/>
      <c r="IZ221" s="21"/>
      <c r="JA221" s="21"/>
      <c r="JB221" s="30"/>
      <c r="JC221" s="21"/>
      <c r="JD221" s="36"/>
      <c r="JE221" s="21" t="str">
        <f t="shared" si="881"/>
        <v/>
      </c>
      <c r="JF221" s="30"/>
      <c r="JG221" s="21"/>
      <c r="JH221" s="21"/>
      <c r="JI221" s="21"/>
      <c r="JJ221" s="30"/>
      <c r="JK221" s="22"/>
      <c r="JL221" s="22"/>
      <c r="JM221" s="21"/>
      <c r="JN221" s="36"/>
      <c r="JO221" s="21" t="str">
        <f t="shared" si="882"/>
        <v/>
      </c>
      <c r="JP221" s="22"/>
      <c r="JQ221" s="21"/>
      <c r="JR221" s="21"/>
      <c r="JS221" s="21"/>
      <c r="JT221" s="30"/>
      <c r="JU221" s="22"/>
      <c r="JV221" s="22"/>
      <c r="JW221" s="33"/>
      <c r="JX221" s="28" t="str">
        <f t="shared" si="883"/>
        <v/>
      </c>
      <c r="JY221" s="33"/>
      <c r="JZ221" s="28" t="str">
        <f t="shared" si="884"/>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5"/>
        <v>0</v>
      </c>
      <c r="MI221" s="43" t="str">
        <f t="shared" si="929"/>
        <v/>
      </c>
      <c r="MJ221" s="43" t="str">
        <f t="shared" si="887"/>
        <v/>
      </c>
      <c r="MK221" s="43">
        <f t="shared" si="888"/>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30"/>
        <v>10.142857142857142</v>
      </c>
      <c r="MN221" s="43">
        <f t="shared" si="931"/>
        <v>7</v>
      </c>
      <c r="MO221" s="43">
        <f t="shared" si="932"/>
        <v>2023</v>
      </c>
      <c r="MP221" s="43" t="str">
        <f t="shared" si="892"/>
        <v>III TRIMESTRE AÑO</v>
      </c>
      <c r="MQ221" s="43">
        <f t="shared" si="933"/>
        <v>17.687801138852386</v>
      </c>
      <c r="MR221" s="43">
        <f t="shared" si="894"/>
        <v>0</v>
      </c>
      <c r="MS221" s="43" t="str">
        <f t="shared" si="895"/>
        <v>DE 14 A 19AÑOS</v>
      </c>
      <c r="MT221" s="43">
        <f t="shared" si="896"/>
        <v>0</v>
      </c>
      <c r="MU221" s="43">
        <f t="shared" si="897"/>
        <v>0</v>
      </c>
      <c r="MV221" s="43">
        <f t="shared" si="898"/>
        <v>0</v>
      </c>
      <c r="MW221" s="43">
        <f t="shared" si="899"/>
        <v>0</v>
      </c>
      <c r="MX221" s="43" t="str">
        <f t="shared" si="900"/>
        <v/>
      </c>
      <c r="MY221" s="43" t="str">
        <f t="shared" ca="1" si="901"/>
        <v/>
      </c>
      <c r="MZ221" s="43" t="str">
        <f t="shared" si="902"/>
        <v/>
      </c>
      <c r="NA221" s="43" t="str">
        <f t="shared" si="903"/>
        <v/>
      </c>
      <c r="NB221" s="43" t="str">
        <f t="shared" si="904"/>
        <v/>
      </c>
      <c r="NC221" s="43" t="str">
        <f t="shared" si="905"/>
        <v/>
      </c>
      <c r="ND221" s="43">
        <f t="shared" ca="1" si="934"/>
        <v>0</v>
      </c>
      <c r="NE221" s="43">
        <f>IF(OR(O221&gt;0,R221&gt;0),SUM(COUNTIF(Tabla1[[#This Row],[AÑOS AL INICIO5 CPN]],"&gt;=40"),COUNTIF(AS221,"0"),COUNTIF(AR221,"SI"),COUNTIF(CC221,"SI"),COUNTIF(BQ221,"&gt;119"),COUNTIF(CI221,"&gt;=35")),"")</f>
        <v>0</v>
      </c>
      <c r="NF221" s="43" t="str">
        <f t="shared" si="935"/>
        <v/>
      </c>
      <c r="NG221" s="43">
        <f t="shared" si="908"/>
        <v>0</v>
      </c>
      <c r="NH221" s="43" t="str">
        <f t="shared" si="909"/>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6"/>
        <v>X</v>
      </c>
      <c r="NM221" s="43" t="str">
        <f t="shared" si="941"/>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12"/>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7"/>
        <v>2</v>
      </c>
      <c r="NS221" s="205">
        <f t="shared" ca="1" si="914"/>
        <v>1</v>
      </c>
      <c r="NT221" s="21">
        <f t="shared" ca="1" si="915"/>
        <v>1</v>
      </c>
      <c r="NU221" s="21" t="str">
        <f t="shared" ca="1" si="916"/>
        <v>INCOMPLETO</v>
      </c>
      <c r="NV221" s="21" t="str">
        <f t="shared" ca="1" si="917"/>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8"/>
        <v>SIN VACUNAR</v>
      </c>
      <c r="NY221" s="43">
        <f>ROW(Tabla1[[#This Row],['# DE TAMIZAJES SIFILIS TOMADOS ]])</f>
        <v>221</v>
      </c>
      <c r="NZ221" s="43">
        <f t="shared" si="942"/>
        <v>10</v>
      </c>
      <c r="OA221" s="43" t="str">
        <f t="shared" si="943"/>
        <v/>
      </c>
      <c r="OB221" s="43" t="str">
        <f t="shared" si="944"/>
        <v>SOBREPESO</v>
      </c>
      <c r="OC221" s="43" t="str">
        <f t="shared" si="945"/>
        <v/>
      </c>
      <c r="OD221" s="43" t="str">
        <f t="shared" si="946"/>
        <v/>
      </c>
      <c r="OE221" s="43" t="str">
        <f t="shared" si="947"/>
        <v/>
      </c>
      <c r="OF221" s="43" t="str">
        <f t="shared" si="948"/>
        <v/>
      </c>
      <c r="OG221" s="43" t="str">
        <f t="shared" si="949"/>
        <v/>
      </c>
      <c r="OH221" s="43" t="str">
        <f t="shared" si="950"/>
        <v/>
      </c>
      <c r="OI221" s="43" t="str">
        <f t="shared" si="951"/>
        <v/>
      </c>
      <c r="OJ221" s="43" t="str">
        <f t="shared" si="952"/>
        <v/>
      </c>
      <c r="OK221" s="43" t="str">
        <f t="shared" si="953"/>
        <v/>
      </c>
      <c r="OL221" s="43" t="str">
        <f t="shared" si="954"/>
        <v/>
      </c>
      <c r="OM221" s="43" t="str">
        <f t="shared" si="955"/>
        <v/>
      </c>
      <c r="ON221" s="43" t="str">
        <f t="shared" si="956"/>
        <v/>
      </c>
      <c r="OO221" s="43" t="str">
        <f t="shared" si="957"/>
        <v/>
      </c>
      <c r="OP221" s="43" t="str">
        <f t="shared" si="958"/>
        <v/>
      </c>
      <c r="OQ221" s="43" t="str">
        <f t="shared" si="959"/>
        <v/>
      </c>
      <c r="OR221" s="43" t="str">
        <f t="shared" si="960"/>
        <v/>
      </c>
      <c r="OS221" s="43" t="str">
        <f t="shared" si="961"/>
        <v/>
      </c>
      <c r="OT221" s="43" t="str">
        <f t="shared" si="962"/>
        <v/>
      </c>
      <c r="OU221" s="43" t="str">
        <f t="shared" si="963"/>
        <v/>
      </c>
      <c r="OV221" s="110" t="str">
        <f t="shared" si="964"/>
        <v/>
      </c>
      <c r="OW221" s="43" t="str">
        <f t="shared" si="965"/>
        <v/>
      </c>
      <c r="OX221" s="43" t="str">
        <f t="shared" si="966"/>
        <v/>
      </c>
      <c r="OY221" s="43" t="str">
        <f t="shared" si="967"/>
        <v/>
      </c>
      <c r="OZ221" s="43" t="str">
        <f t="shared" si="968"/>
        <v/>
      </c>
      <c r="PA221" s="43" t="str">
        <f t="shared" si="969"/>
        <v/>
      </c>
      <c r="PB221" s="43" t="str">
        <f t="shared" si="970"/>
        <v/>
      </c>
      <c r="PC221" s="43" t="str">
        <f t="shared" si="971"/>
        <v/>
      </c>
      <c r="PD221" s="43" t="str">
        <f t="shared" si="972"/>
        <v/>
      </c>
      <c r="PE221" s="43" t="str">
        <f t="shared" si="973"/>
        <v/>
      </c>
      <c r="PF221" s="43" t="str">
        <f t="shared" si="974"/>
        <v/>
      </c>
      <c r="PG221" s="43" t="str">
        <f t="shared" si="975"/>
        <v/>
      </c>
      <c r="PH221" s="43" t="str">
        <f t="shared" si="976"/>
        <v/>
      </c>
      <c r="PI221" s="43">
        <f t="shared" si="977"/>
        <v>10</v>
      </c>
      <c r="PJ221" s="43" t="str">
        <f t="shared" si="978"/>
        <v/>
      </c>
      <c r="PK221" s="43" t="str">
        <f t="shared" si="979"/>
        <v>SOBREPESO</v>
      </c>
      <c r="PL221" s="43" t="str">
        <f t="shared" si="980"/>
        <v/>
      </c>
      <c r="PM221" s="43" t="str">
        <f t="shared" si="981"/>
        <v/>
      </c>
      <c r="PN221" s="43" t="str">
        <f t="shared" si="982"/>
        <v/>
      </c>
      <c r="PO221" s="43" t="str">
        <f t="shared" si="983"/>
        <v/>
      </c>
      <c r="PP221" s="43" t="str">
        <f t="shared" si="984"/>
        <v/>
      </c>
      <c r="PQ221" s="43" t="str">
        <f t="shared" si="985"/>
        <v/>
      </c>
      <c r="PR221" s="43" t="str">
        <f t="shared" si="986"/>
        <v/>
      </c>
      <c r="PS221" s="43" t="str">
        <f t="shared" si="987"/>
        <v/>
      </c>
      <c r="PT221" s="43" t="str">
        <f t="shared" si="988"/>
        <v/>
      </c>
      <c r="PU221" s="43" t="str">
        <f t="shared" si="989"/>
        <v/>
      </c>
      <c r="PV221" s="43" t="str">
        <f t="shared" si="990"/>
        <v/>
      </c>
      <c r="PW221" s="43" t="str">
        <f t="shared" si="991"/>
        <v/>
      </c>
      <c r="PX221" s="43" t="str">
        <f t="shared" si="992"/>
        <v/>
      </c>
      <c r="PY221" s="43" t="str">
        <f t="shared" si="993"/>
        <v/>
      </c>
      <c r="PZ221" s="43" t="str">
        <f t="shared" si="994"/>
        <v/>
      </c>
      <c r="QA221" s="43" t="str">
        <f t="shared" si="995"/>
        <v/>
      </c>
      <c r="QB221" s="43" t="str">
        <f t="shared" si="996"/>
        <v/>
      </c>
      <c r="QC221" s="43" t="str">
        <f t="shared" si="997"/>
        <v/>
      </c>
      <c r="QD221" s="43" t="str">
        <f t="shared" si="998"/>
        <v/>
      </c>
      <c r="QE221" s="43" t="str">
        <f t="shared" si="999"/>
        <v/>
      </c>
      <c r="QF221" s="43" t="str">
        <f t="shared" si="1000"/>
        <v/>
      </c>
      <c r="QG221" s="43" t="str">
        <f t="shared" si="1001"/>
        <v/>
      </c>
      <c r="QH221" s="43" t="str">
        <f t="shared" si="1002"/>
        <v/>
      </c>
      <c r="QI221" s="43" t="str">
        <f t="shared" si="1003"/>
        <v/>
      </c>
      <c r="QJ221" s="43" t="str">
        <f t="shared" si="1004"/>
        <v/>
      </c>
      <c r="QK221" s="43" t="str">
        <f t="shared" si="1005"/>
        <v/>
      </c>
      <c r="QL221" s="43" t="str">
        <f t="shared" si="1006"/>
        <v/>
      </c>
      <c r="QM221" s="43" t="str">
        <f t="shared" si="1007"/>
        <v/>
      </c>
      <c r="QN221" s="43" t="str">
        <f t="shared" si="1008"/>
        <v/>
      </c>
      <c r="QO221" s="43" t="str">
        <f t="shared" si="1009"/>
        <v/>
      </c>
      <c r="QP221" s="43" t="str">
        <f t="shared" si="1010"/>
        <v/>
      </c>
      <c r="QQ221" s="43" t="str">
        <f t="shared" si="1011"/>
        <v/>
      </c>
      <c r="QR221" s="43" t="str">
        <f t="shared" si="1012"/>
        <v>Menor</v>
      </c>
      <c r="QS221" s="43"/>
      <c r="QT221" s="21" t="str">
        <f t="shared" si="1013"/>
        <v/>
      </c>
      <c r="QU221" s="21" t="str">
        <f t="shared" si="1014"/>
        <v/>
      </c>
      <c r="QV221" s="21" t="str">
        <f t="shared" si="1015"/>
        <v/>
      </c>
      <c r="QW221" s="21" t="str">
        <f t="shared" si="1016"/>
        <v/>
      </c>
      <c r="QX221" s="21" t="str">
        <f t="shared" si="1017"/>
        <v/>
      </c>
      <c r="QY221" s="21" t="str">
        <f t="shared" si="1018"/>
        <v/>
      </c>
      <c r="QZ221" s="21" t="str">
        <f t="shared" si="1019"/>
        <v/>
      </c>
      <c r="RA221" s="21" t="str">
        <f t="shared" si="1020"/>
        <v/>
      </c>
      <c r="RB221" s="21" t="str">
        <f t="shared" si="1021"/>
        <v/>
      </c>
      <c r="RC221" s="21" t="str">
        <f t="shared" si="1022"/>
        <v/>
      </c>
      <c r="RD221" s="21" t="str">
        <f t="shared" si="1023"/>
        <v/>
      </c>
      <c r="RE221" s="21" t="str">
        <f t="shared" si="1024"/>
        <v/>
      </c>
      <c r="RF221" s="21" t="str">
        <f t="shared" si="1025"/>
        <v/>
      </c>
      <c r="RG221" s="21" t="str">
        <f t="shared" si="1026"/>
        <v/>
      </c>
      <c r="RH221" s="21" t="str">
        <f t="shared" si="1027"/>
        <v/>
      </c>
      <c r="RI221" s="21" t="str">
        <f t="shared" si="1028"/>
        <v/>
      </c>
      <c r="RJ221" s="21" t="str">
        <f t="shared" si="1029"/>
        <v/>
      </c>
      <c r="RK221" s="21" t="str">
        <f t="shared" si="1030"/>
        <v/>
      </c>
      <c r="RL221" s="21" t="str">
        <f t="shared" si="1031"/>
        <v/>
      </c>
      <c r="RM221" s="21" t="str">
        <f t="shared" si="1032"/>
        <v/>
      </c>
      <c r="RN221" s="21" t="str">
        <f t="shared" si="1033"/>
        <v/>
      </c>
      <c r="RO221" s="21" t="str">
        <f t="shared" si="1034"/>
        <v/>
      </c>
      <c r="RP221" s="21" t="str">
        <f t="shared" si="1035"/>
        <v/>
      </c>
      <c r="RQ221" s="21" t="str">
        <f t="shared" si="1036"/>
        <v/>
      </c>
      <c r="RR221" s="21" t="str">
        <f t="shared" si="1037"/>
        <v/>
      </c>
      <c r="RS221" s="21" t="str">
        <f t="shared" si="1038"/>
        <v/>
      </c>
      <c r="RT221" s="21" t="str">
        <f t="shared" si="1039"/>
        <v/>
      </c>
      <c r="RU221" s="21" t="str">
        <f t="shared" si="1040"/>
        <v/>
      </c>
      <c r="RV221" s="21">
        <f t="shared" si="1041"/>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42"/>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41"/>
        <v>25.646575342465752</v>
      </c>
      <c r="O222" s="22">
        <v>45148</v>
      </c>
      <c r="P222" s="214" t="str">
        <f t="shared" si="919"/>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2"/>
        <v>83.933333333333337</v>
      </c>
      <c r="BR222" s="223">
        <f t="shared" si="843"/>
        <v>45023</v>
      </c>
      <c r="BS222" s="224">
        <f t="shared" si="844"/>
        <v>17.857142857142858</v>
      </c>
      <c r="BT222" s="216" t="str">
        <f t="shared" si="845"/>
        <v>II TRIM</v>
      </c>
      <c r="BU222" s="214">
        <f t="shared" ca="1" si="928"/>
        <v>29.857142857142858</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7"/>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8"/>
        <v>45148</v>
      </c>
      <c r="CL222" s="21">
        <v>64</v>
      </c>
      <c r="CM222" s="214">
        <f t="shared" si="849"/>
        <v>26.986001011975038</v>
      </c>
      <c r="CN222" s="216">
        <f t="shared" si="850"/>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5">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51"/>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20"/>
        <v>PLANEAR PLAN DE PARTO</v>
      </c>
      <c r="DV222" s="226" t="str">
        <f t="shared" si="921"/>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2"/>
        <v>#REF!</v>
      </c>
      <c r="DY222" s="212">
        <f>IF(R222="","",IF(R222&gt;0,MAX(Tabla1[[#This Row],[FECHA C2]:[FECHA C13]],Tabla1[[#This Row],[FECHA CONSULTA PRIMERA VEZ PROGRAMA CPN ]])))</f>
        <v>45148</v>
      </c>
      <c r="DZ222" s="216">
        <f t="shared" si="853"/>
        <v>17</v>
      </c>
      <c r="EA222" s="222">
        <f>IF(R222&gt;0,SUM(COUNTA(DF222:DQ222)+COUNTA(Tabla1[[#This Row],[FECHA CONSULTA PRIMERA VEZ PROGRAMA CPN ]])),"")</f>
        <v>1</v>
      </c>
      <c r="EB222" s="222" t="str">
        <f t="shared" si="854"/>
        <v>NO</v>
      </c>
      <c r="EC222" s="214">
        <f t="shared" si="855"/>
        <v>7</v>
      </c>
      <c r="ED222" s="227">
        <f t="shared" si="856"/>
        <v>0.14285714285714285</v>
      </c>
      <c r="EE222" s="22">
        <v>45148</v>
      </c>
      <c r="EF222" s="22">
        <v>45148</v>
      </c>
      <c r="EG222" s="22">
        <v>45148</v>
      </c>
      <c r="EH222" s="22"/>
      <c r="EI222" s="22">
        <v>45148</v>
      </c>
      <c r="EJ222" s="22"/>
      <c r="EK222" s="22"/>
      <c r="EL222" s="21"/>
      <c r="EM222" s="21">
        <v>13.3</v>
      </c>
      <c r="EN222" s="22">
        <v>45149</v>
      </c>
      <c r="EO222" s="222">
        <f t="shared" si="857"/>
        <v>18</v>
      </c>
      <c r="EP222" s="214" t="str">
        <f t="shared" si="858"/>
        <v>NORMAL- SUMINISTRAR SULFATO FERROSO</v>
      </c>
      <c r="EQ222" s="216" t="str">
        <f t="shared" si="859"/>
        <v>II TRIM</v>
      </c>
      <c r="ER222" s="24"/>
      <c r="ES222" s="22"/>
      <c r="ET222" s="29" t="str">
        <f t="shared" ca="1" si="922"/>
        <v>EN SEMANA 28 TOMA INMEDIATA DE EXAMEN</v>
      </c>
      <c r="EU222" s="25" t="str">
        <f t="shared" si="860"/>
        <v/>
      </c>
      <c r="EV222" s="24" t="s">
        <v>1510</v>
      </c>
      <c r="EW222" s="32">
        <v>45149</v>
      </c>
      <c r="EX222" s="22"/>
      <c r="EY222" s="29">
        <f t="shared" si="1043"/>
        <v>18</v>
      </c>
      <c r="EZ222" s="25" t="str">
        <f t="shared" si="1044"/>
        <v>SIN RIESGO DE ISOINMUNIZACIÓN</v>
      </c>
      <c r="FA222" s="21">
        <v>51</v>
      </c>
      <c r="FB222" s="22">
        <v>45149</v>
      </c>
      <c r="FC222" s="29">
        <f t="shared" si="861"/>
        <v>18</v>
      </c>
      <c r="FD222" s="29"/>
      <c r="FE222" s="29"/>
      <c r="FF222" s="29"/>
      <c r="FG222" s="21" t="str">
        <f t="shared" ca="1" si="862"/>
        <v>TOMAR PTOG</v>
      </c>
      <c r="FH222" s="31"/>
      <c r="FI222" s="29" t="str">
        <f t="shared" si="863"/>
        <v>TOMAR EXAMEN</v>
      </c>
      <c r="FJ222" s="22"/>
      <c r="FK222" s="22"/>
      <c r="FL222" s="29" t="str">
        <f t="shared" ca="1" si="864"/>
        <v>NO APLICA-INGRESO TARDIO</v>
      </c>
      <c r="FM222" s="22" t="s">
        <v>867</v>
      </c>
      <c r="FN222" s="32">
        <v>45149</v>
      </c>
      <c r="FO222" s="29">
        <f t="shared" ca="1" si="923"/>
        <v>18</v>
      </c>
      <c r="FP222" s="22"/>
      <c r="FQ222" s="32"/>
      <c r="FR222" s="29" t="str">
        <f t="shared" ca="1" si="924"/>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5"/>
        <v>TOMAR EXAMEN</v>
      </c>
      <c r="FY222" s="22"/>
      <c r="FZ222" s="22"/>
      <c r="GA222" s="29" t="str">
        <f t="shared" ca="1" si="939"/>
        <v>NO APLICA-INGRESO TARDIO</v>
      </c>
      <c r="GB222" s="22" t="s">
        <v>868</v>
      </c>
      <c r="GC222" s="22">
        <v>45149</v>
      </c>
      <c r="GD222" s="29">
        <f t="shared" ca="1" si="940"/>
        <v>18</v>
      </c>
      <c r="GE222" s="22"/>
      <c r="GF222" s="22"/>
      <c r="GG222" s="29" t="str">
        <f t="shared" ca="1" si="926"/>
        <v>EN RANGO PARA TOMAR EXAMEN</v>
      </c>
      <c r="GH222" s="22"/>
      <c r="GI222" s="29"/>
      <c r="GJ222" s="22"/>
      <c r="GK222" s="22"/>
      <c r="GL222" s="22"/>
      <c r="GM222" s="22"/>
      <c r="GN222" s="28" t="s">
        <v>869</v>
      </c>
      <c r="GO222" s="22">
        <v>45149</v>
      </c>
      <c r="GP222" s="29">
        <f t="shared" si="866"/>
        <v>18</v>
      </c>
      <c r="GQ222" s="28" t="s">
        <v>880</v>
      </c>
      <c r="GR222" s="28" t="s">
        <v>869</v>
      </c>
      <c r="GS222" s="22" t="str">
        <f t="shared" si="728"/>
        <v>SE EXCLUYE INFECCION</v>
      </c>
      <c r="GT222" s="22">
        <v>45149</v>
      </c>
      <c r="GU222" s="29">
        <f t="shared" si="867"/>
        <v>18</v>
      </c>
      <c r="GV222" s="21" t="str">
        <f t="shared" si="868"/>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9"/>
        <v>#REF!</v>
      </c>
      <c r="HI222" s="22" t="e">
        <f t="shared" ca="1" si="870"/>
        <v>#REF!</v>
      </c>
      <c r="HJ222" s="21" t="str">
        <f t="shared" ca="1" si="871"/>
        <v>***************************************</v>
      </c>
      <c r="HK222" s="21" t="str">
        <f t="shared" si="872"/>
        <v>SIN ANTECEDENTES DE RIESGO</v>
      </c>
      <c r="HL222" s="24" t="str">
        <f t="shared" si="873"/>
        <v>APARENTEMENTE NORMAL</v>
      </c>
      <c r="HM222" s="21" t="e">
        <f t="shared" ca="1" si="874"/>
        <v>#REF!</v>
      </c>
      <c r="HN222" s="30" t="str">
        <f t="shared" si="927"/>
        <v>ACTIVA INGRESO A CPN</v>
      </c>
      <c r="HO222" s="21"/>
      <c r="HP222" s="21"/>
      <c r="HQ222" s="349"/>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5"/>
        <v>PENDIENTE CONSULTA</v>
      </c>
      <c r="IA222" s="26"/>
      <c r="IB222" s="26"/>
      <c r="IC222" s="111"/>
      <c r="ID222" s="22"/>
      <c r="IE222" s="22" t="str">
        <f t="shared" ca="1" si="876"/>
        <v>INASISTENTE</v>
      </c>
      <c r="IF222" s="22"/>
      <c r="IG222" s="22">
        <f t="shared" si="877"/>
        <v>45303</v>
      </c>
      <c r="IH222" s="29">
        <f t="shared" ca="1" si="878"/>
        <v>71</v>
      </c>
      <c r="II222" s="22" t="str">
        <f t="shared" ca="1" si="879"/>
        <v>PENDIENTE</v>
      </c>
      <c r="IJ222" s="22"/>
      <c r="IK222" s="21"/>
      <c r="IL222" s="21"/>
      <c r="IM222" s="34"/>
      <c r="IN222" s="22"/>
      <c r="IO222" s="21"/>
      <c r="IP222" s="29" t="str">
        <f t="shared" si="880"/>
        <v/>
      </c>
      <c r="IQ222" s="35"/>
      <c r="IR222" s="21"/>
      <c r="IS222" s="21"/>
      <c r="IT222" s="21"/>
      <c r="IU222" s="21"/>
      <c r="IV222" s="21"/>
      <c r="IW222" s="21"/>
      <c r="IX222" s="21"/>
      <c r="IY222" s="21"/>
      <c r="IZ222" s="21"/>
      <c r="JA222" s="21"/>
      <c r="JB222" s="30"/>
      <c r="JC222" s="21"/>
      <c r="JD222" s="36"/>
      <c r="JE222" s="21" t="str">
        <f t="shared" si="881"/>
        <v/>
      </c>
      <c r="JF222" s="30"/>
      <c r="JG222" s="21"/>
      <c r="JH222" s="21"/>
      <c r="JI222" s="21"/>
      <c r="JJ222" s="30"/>
      <c r="JK222" s="22"/>
      <c r="JL222" s="22"/>
      <c r="JM222" s="21"/>
      <c r="JN222" s="36"/>
      <c r="JO222" s="21" t="str">
        <f t="shared" si="882"/>
        <v/>
      </c>
      <c r="JP222" s="22"/>
      <c r="JQ222" s="21"/>
      <c r="JR222" s="21"/>
      <c r="JS222" s="21"/>
      <c r="JT222" s="30"/>
      <c r="JU222" s="22"/>
      <c r="JV222" s="22"/>
      <c r="JW222" s="33"/>
      <c r="JX222" s="28" t="str">
        <f t="shared" si="883"/>
        <v/>
      </c>
      <c r="JY222" s="33"/>
      <c r="JZ222" s="28" t="str">
        <f t="shared" si="884"/>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5"/>
        <v>0</v>
      </c>
      <c r="MI222" s="43" t="str">
        <f t="shared" si="929"/>
        <v/>
      </c>
      <c r="MJ222" s="43" t="str">
        <f t="shared" si="887"/>
        <v/>
      </c>
      <c r="MK222" s="43">
        <f t="shared" si="888"/>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30"/>
        <v>17.857142857142858</v>
      </c>
      <c r="MN222" s="43">
        <f t="shared" si="931"/>
        <v>8</v>
      </c>
      <c r="MO222" s="43">
        <f t="shared" si="932"/>
        <v>2023</v>
      </c>
      <c r="MP222" s="43" t="str">
        <f t="shared" si="892"/>
        <v>III TRIMESTRE AÑO</v>
      </c>
      <c r="MQ222" s="43">
        <f t="shared" si="933"/>
        <v>25.03011388523872</v>
      </c>
      <c r="MR222" s="43">
        <f t="shared" si="894"/>
        <v>0</v>
      </c>
      <c r="MS222" s="43" t="str">
        <f t="shared" si="895"/>
        <v xml:space="preserve"> DE 25 A 29 AÑOS</v>
      </c>
      <c r="MT222" s="43">
        <f t="shared" si="896"/>
        <v>0</v>
      </c>
      <c r="MU222" s="43">
        <f t="shared" si="897"/>
        <v>0</v>
      </c>
      <c r="MV222" s="43">
        <f t="shared" si="898"/>
        <v>0</v>
      </c>
      <c r="MW222" s="43">
        <f t="shared" si="899"/>
        <v>0</v>
      </c>
      <c r="MX222" s="43" t="str">
        <f t="shared" si="900"/>
        <v/>
      </c>
      <c r="MY222" s="43" t="str">
        <f t="shared" ca="1" si="901"/>
        <v/>
      </c>
      <c r="MZ222" s="43" t="str">
        <f t="shared" si="902"/>
        <v/>
      </c>
      <c r="NA222" s="43">
        <f t="shared" si="903"/>
        <v>0</v>
      </c>
      <c r="NB222" s="43" t="str">
        <f t="shared" si="904"/>
        <v/>
      </c>
      <c r="NC222" s="43" t="str">
        <f t="shared" si="905"/>
        <v/>
      </c>
      <c r="ND222" s="43">
        <f t="shared" ca="1" si="934"/>
        <v>0</v>
      </c>
      <c r="NE222" s="43">
        <f>IF(OR(O222&gt;0,R222&gt;0),SUM(COUNTIF(Tabla1[[#This Row],[AÑOS AL INICIO5 CPN]],"&gt;=40"),COUNTIF(AS222,"0"),COUNTIF(AR222,"SI"),COUNTIF(CC222,"SI"),COUNTIF(BQ222,"&gt;119"),COUNTIF(CI222,"&gt;=35")),"")</f>
        <v>0</v>
      </c>
      <c r="NF222" s="43" t="str">
        <f t="shared" si="935"/>
        <v/>
      </c>
      <c r="NG222" s="43">
        <f t="shared" si="908"/>
        <v>0</v>
      </c>
      <c r="NH222" s="43">
        <f t="shared" si="909"/>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6"/>
        <v>X</v>
      </c>
      <c r="NM222" s="43" t="str">
        <f t="shared" si="941"/>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12"/>
        <v>II TRIM</v>
      </c>
      <c r="NQ222" s="21" t="str">
        <f t="shared" ref="NQ222:NQ247" si="1046">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7"/>
        <v>2</v>
      </c>
      <c r="NS222" s="205">
        <f t="shared" ca="1" si="914"/>
        <v>1</v>
      </c>
      <c r="NT222" s="21">
        <f t="shared" ca="1" si="915"/>
        <v>1</v>
      </c>
      <c r="NU222" s="21" t="str">
        <f t="shared" ca="1" si="916"/>
        <v>INCOMPLETO</v>
      </c>
      <c r="NV222" s="21" t="str">
        <f t="shared" ca="1" si="917"/>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8"/>
        <v>SIN VACUNAR</v>
      </c>
      <c r="NY222" s="43">
        <f>ROW(Tabla1[[#This Row],['# DE TAMIZAJES SIFILIS TOMADOS ]])</f>
        <v>222</v>
      </c>
      <c r="NZ222" s="43">
        <f t="shared" si="942"/>
        <v>17</v>
      </c>
      <c r="OA222" s="43" t="str">
        <f t="shared" si="943"/>
        <v/>
      </c>
      <c r="OB222" s="43" t="str">
        <f t="shared" si="944"/>
        <v/>
      </c>
      <c r="OC222" s="43" t="str">
        <f t="shared" si="945"/>
        <v/>
      </c>
      <c r="OD222" s="43" t="str">
        <f t="shared" si="946"/>
        <v/>
      </c>
      <c r="OE222" s="43" t="str">
        <f t="shared" si="947"/>
        <v/>
      </c>
      <c r="OF222" s="43" t="str">
        <f t="shared" si="948"/>
        <v/>
      </c>
      <c r="OG222" s="43" t="str">
        <f t="shared" si="949"/>
        <v/>
      </c>
      <c r="OH222" s="43" t="str">
        <f t="shared" si="950"/>
        <v/>
      </c>
      <c r="OI222" s="43" t="str">
        <f t="shared" si="951"/>
        <v>SOBREPESO</v>
      </c>
      <c r="OJ222" s="43" t="str">
        <f t="shared" si="952"/>
        <v/>
      </c>
      <c r="OK222" s="43" t="str">
        <f t="shared" si="953"/>
        <v/>
      </c>
      <c r="OL222" s="43" t="str">
        <f t="shared" si="954"/>
        <v/>
      </c>
      <c r="OM222" s="43" t="str">
        <f t="shared" si="955"/>
        <v/>
      </c>
      <c r="ON222" s="43" t="str">
        <f t="shared" si="956"/>
        <v/>
      </c>
      <c r="OO222" s="43" t="str">
        <f t="shared" si="957"/>
        <v/>
      </c>
      <c r="OP222" s="43" t="str">
        <f t="shared" si="958"/>
        <v/>
      </c>
      <c r="OQ222" s="43" t="str">
        <f t="shared" si="959"/>
        <v/>
      </c>
      <c r="OR222" s="43" t="str">
        <f t="shared" si="960"/>
        <v/>
      </c>
      <c r="OS222" s="43" t="str">
        <f t="shared" si="961"/>
        <v/>
      </c>
      <c r="OT222" s="43" t="str">
        <f t="shared" si="962"/>
        <v/>
      </c>
      <c r="OU222" s="43" t="str">
        <f t="shared" si="963"/>
        <v/>
      </c>
      <c r="OV222" s="110" t="str">
        <f t="shared" si="964"/>
        <v/>
      </c>
      <c r="OW222" s="43" t="str">
        <f t="shared" si="965"/>
        <v/>
      </c>
      <c r="OX222" s="43" t="str">
        <f t="shared" si="966"/>
        <v/>
      </c>
      <c r="OY222" s="43" t="str">
        <f t="shared" si="967"/>
        <v/>
      </c>
      <c r="OZ222" s="43" t="str">
        <f t="shared" si="968"/>
        <v/>
      </c>
      <c r="PA222" s="43" t="str">
        <f t="shared" si="969"/>
        <v/>
      </c>
      <c r="PB222" s="43" t="str">
        <f t="shared" si="970"/>
        <v/>
      </c>
      <c r="PC222" s="43" t="str">
        <f t="shared" si="971"/>
        <v/>
      </c>
      <c r="PD222" s="43" t="str">
        <f t="shared" si="972"/>
        <v/>
      </c>
      <c r="PE222" s="43" t="str">
        <f t="shared" si="973"/>
        <v/>
      </c>
      <c r="PF222" s="43" t="str">
        <f t="shared" si="974"/>
        <v/>
      </c>
      <c r="PG222" s="43" t="str">
        <f t="shared" si="975"/>
        <v/>
      </c>
      <c r="PH222" s="43" t="str">
        <f t="shared" si="976"/>
        <v/>
      </c>
      <c r="PI222" s="43">
        <f t="shared" si="977"/>
        <v>17</v>
      </c>
      <c r="PJ222" s="43" t="str">
        <f t="shared" si="978"/>
        <v/>
      </c>
      <c r="PK222" s="43" t="str">
        <f t="shared" si="979"/>
        <v/>
      </c>
      <c r="PL222" s="43" t="str">
        <f t="shared" si="980"/>
        <v/>
      </c>
      <c r="PM222" s="43" t="str">
        <f t="shared" si="981"/>
        <v/>
      </c>
      <c r="PN222" s="43" t="str">
        <f t="shared" si="982"/>
        <v/>
      </c>
      <c r="PO222" s="43" t="str">
        <f t="shared" si="983"/>
        <v/>
      </c>
      <c r="PP222" s="43" t="str">
        <f t="shared" si="984"/>
        <v/>
      </c>
      <c r="PQ222" s="43" t="str">
        <f t="shared" si="985"/>
        <v/>
      </c>
      <c r="PR222" s="43" t="str">
        <f t="shared" si="986"/>
        <v>SOBREPESO</v>
      </c>
      <c r="PS222" s="43" t="str">
        <f t="shared" si="987"/>
        <v/>
      </c>
      <c r="PT222" s="43" t="str">
        <f t="shared" si="988"/>
        <v/>
      </c>
      <c r="PU222" s="43" t="str">
        <f t="shared" si="989"/>
        <v/>
      </c>
      <c r="PV222" s="43" t="str">
        <f t="shared" si="990"/>
        <v/>
      </c>
      <c r="PW222" s="43" t="str">
        <f t="shared" si="991"/>
        <v/>
      </c>
      <c r="PX222" s="43" t="str">
        <f t="shared" si="992"/>
        <v/>
      </c>
      <c r="PY222" s="43" t="str">
        <f t="shared" si="993"/>
        <v/>
      </c>
      <c r="PZ222" s="43" t="str">
        <f t="shared" si="994"/>
        <v/>
      </c>
      <c r="QA222" s="43" t="str">
        <f t="shared" si="995"/>
        <v/>
      </c>
      <c r="QB222" s="43" t="str">
        <f t="shared" si="996"/>
        <v/>
      </c>
      <c r="QC222" s="43" t="str">
        <f t="shared" si="997"/>
        <v/>
      </c>
      <c r="QD222" s="43" t="str">
        <f t="shared" si="998"/>
        <v/>
      </c>
      <c r="QE222" s="43" t="str">
        <f t="shared" si="999"/>
        <v/>
      </c>
      <c r="QF222" s="43" t="str">
        <f t="shared" si="1000"/>
        <v/>
      </c>
      <c r="QG222" s="43" t="str">
        <f t="shared" si="1001"/>
        <v/>
      </c>
      <c r="QH222" s="43" t="str">
        <f t="shared" si="1002"/>
        <v/>
      </c>
      <c r="QI222" s="43" t="str">
        <f t="shared" si="1003"/>
        <v/>
      </c>
      <c r="QJ222" s="43" t="str">
        <f t="shared" si="1004"/>
        <v/>
      </c>
      <c r="QK222" s="43" t="str">
        <f t="shared" si="1005"/>
        <v/>
      </c>
      <c r="QL222" s="43" t="str">
        <f t="shared" si="1006"/>
        <v/>
      </c>
      <c r="QM222" s="43" t="str">
        <f t="shared" si="1007"/>
        <v/>
      </c>
      <c r="QN222" s="43" t="str">
        <f t="shared" si="1008"/>
        <v/>
      </c>
      <c r="QO222" s="43" t="str">
        <f t="shared" si="1009"/>
        <v/>
      </c>
      <c r="QP222" s="43" t="str">
        <f t="shared" si="1010"/>
        <v/>
      </c>
      <c r="QQ222" s="43" t="str">
        <f t="shared" si="1011"/>
        <v/>
      </c>
      <c r="QR222" s="43">
        <f t="shared" si="1012"/>
        <v>17</v>
      </c>
      <c r="QS222" s="43"/>
      <c r="QT222" s="21" t="str">
        <f t="shared" si="1013"/>
        <v/>
      </c>
      <c r="QU222" s="21" t="str">
        <f t="shared" si="1014"/>
        <v/>
      </c>
      <c r="QV222" s="21" t="str">
        <f t="shared" si="1015"/>
        <v/>
      </c>
      <c r="QW222" s="21" t="str">
        <f t="shared" si="1016"/>
        <v/>
      </c>
      <c r="QX222" s="21" t="str">
        <f t="shared" si="1017"/>
        <v/>
      </c>
      <c r="QY222" s="21" t="str">
        <f t="shared" si="1018"/>
        <v/>
      </c>
      <c r="QZ222" s="21" t="str">
        <f t="shared" si="1019"/>
        <v/>
      </c>
      <c r="RA222" s="21" t="str">
        <f t="shared" si="1020"/>
        <v/>
      </c>
      <c r="RB222" s="21" t="str">
        <f t="shared" si="1021"/>
        <v/>
      </c>
      <c r="RC222" s="21" t="str">
        <f t="shared" si="1022"/>
        <v/>
      </c>
      <c r="RD222" s="21" t="str">
        <f t="shared" si="1023"/>
        <v/>
      </c>
      <c r="RE222" s="21" t="str">
        <f t="shared" si="1024"/>
        <v/>
      </c>
      <c r="RF222" s="21" t="str">
        <f t="shared" si="1025"/>
        <v/>
      </c>
      <c r="RG222" s="21" t="str">
        <f t="shared" si="1026"/>
        <v/>
      </c>
      <c r="RH222" s="21" t="str">
        <f t="shared" si="1027"/>
        <v/>
      </c>
      <c r="RI222" s="21" t="str">
        <f t="shared" si="1028"/>
        <v/>
      </c>
      <c r="RJ222" s="21" t="str">
        <f t="shared" si="1029"/>
        <v/>
      </c>
      <c r="RK222" s="21" t="str">
        <f t="shared" si="1030"/>
        <v/>
      </c>
      <c r="RL222" s="21" t="str">
        <f t="shared" si="1031"/>
        <v/>
      </c>
      <c r="RM222" s="21" t="str">
        <f t="shared" si="1032"/>
        <v/>
      </c>
      <c r="RN222" s="21" t="str">
        <f t="shared" si="1033"/>
        <v/>
      </c>
      <c r="RO222" s="21" t="str">
        <f t="shared" si="1034"/>
        <v/>
      </c>
      <c r="RP222" s="21" t="str">
        <f t="shared" si="1035"/>
        <v/>
      </c>
      <c r="RQ222" s="21" t="str">
        <f t="shared" si="1036"/>
        <v/>
      </c>
      <c r="RR222" s="21" t="str">
        <f t="shared" si="1037"/>
        <v/>
      </c>
      <c r="RS222" s="21" t="str">
        <f t="shared" si="1038"/>
        <v/>
      </c>
      <c r="RT222" s="21" t="str">
        <f t="shared" si="1039"/>
        <v/>
      </c>
      <c r="RU222" s="21" t="str">
        <f t="shared" si="1040"/>
        <v/>
      </c>
      <c r="RV222" s="21">
        <f t="shared" si="1041"/>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42"/>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41"/>
        <v>23.342465753424658</v>
      </c>
      <c r="O223" s="22">
        <v>45128</v>
      </c>
      <c r="P223" s="214" t="str">
        <f t="shared" si="919"/>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2"/>
        <v>0</v>
      </c>
      <c r="BR223" s="223">
        <f t="shared" si="843"/>
        <v>45068.5</v>
      </c>
      <c r="BS223" s="224">
        <f t="shared" si="844"/>
        <v>8.5714285714285712</v>
      </c>
      <c r="BT223" s="216" t="str">
        <f t="shared" si="845"/>
        <v>I TRIM</v>
      </c>
      <c r="BU223" s="214">
        <f t="shared" ca="1" si="928"/>
        <v>23.428571428571427</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7"/>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8"/>
        <v>45128</v>
      </c>
      <c r="CL223" s="21">
        <v>60</v>
      </c>
      <c r="CM223" s="214">
        <f t="shared" si="849"/>
        <v>23.147255121330193</v>
      </c>
      <c r="CN223" s="216">
        <f t="shared" si="850"/>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5"/>
        <v/>
      </c>
      <c r="DA223" s="21">
        <v>90</v>
      </c>
      <c r="DB223" s="21">
        <v>60</v>
      </c>
      <c r="DC223" s="217" t="str">
        <f t="shared" si="851"/>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20"/>
        <v>EN ESPERA</v>
      </c>
      <c r="DV223" s="226" t="str">
        <f t="shared" si="921"/>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2"/>
        <v>#REF!</v>
      </c>
      <c r="DY223" s="212">
        <f>IF(R223="","",IF(R223&gt;0,MAX(Tabla1[[#This Row],[FECHA C2]:[FECHA C13]],Tabla1[[#This Row],[FECHA CONSULTA PRIMERA VEZ PROGRAMA CPN ]])))</f>
        <v>45128</v>
      </c>
      <c r="DZ223" s="216">
        <f t="shared" si="853"/>
        <v>8</v>
      </c>
      <c r="EA223" s="222">
        <f>IF(R223&gt;0,SUM(COUNTA(DF223:DQ223)+COUNTA(Tabla1[[#This Row],[FECHA CONSULTA PRIMERA VEZ PROGRAMA CPN ]])),"")</f>
        <v>1</v>
      </c>
      <c r="EB223" s="222" t="str">
        <f t="shared" si="854"/>
        <v>NO</v>
      </c>
      <c r="EC223" s="214">
        <f t="shared" si="855"/>
        <v>9</v>
      </c>
      <c r="ED223" s="227">
        <f t="shared" si="856"/>
        <v>0.1111111111111111</v>
      </c>
      <c r="EE223" s="22">
        <v>45128</v>
      </c>
      <c r="EF223" s="22">
        <v>45128</v>
      </c>
      <c r="EG223" s="22">
        <v>45128</v>
      </c>
      <c r="EH223" s="22"/>
      <c r="EI223" s="22">
        <v>45128</v>
      </c>
      <c r="EJ223" s="22"/>
      <c r="EK223" s="22"/>
      <c r="EL223" s="21"/>
      <c r="EM223" s="21">
        <v>13.7</v>
      </c>
      <c r="EN223" s="22">
        <v>45006</v>
      </c>
      <c r="EO223" s="222" t="str">
        <f t="shared" si="857"/>
        <v>CORREGIR FECHA RESULTADO</v>
      </c>
      <c r="EP223" s="214" t="str">
        <f t="shared" si="858"/>
        <v>NORMAL- SUMINISTRAR SULFATO FERROSO</v>
      </c>
      <c r="EQ223" s="216" t="str">
        <f t="shared" si="859"/>
        <v>POR DEFINIR</v>
      </c>
      <c r="ER223" s="24"/>
      <c r="ES223" s="22"/>
      <c r="ET223" s="29" t="str">
        <f t="shared" ca="1" si="922"/>
        <v>PROGRAMAR TOMA HEMOGLOBINA A SEM 28</v>
      </c>
      <c r="EU223" s="25" t="str">
        <f t="shared" si="860"/>
        <v/>
      </c>
      <c r="EV223" s="24" t="s">
        <v>1510</v>
      </c>
      <c r="EW223" s="32">
        <v>45128</v>
      </c>
      <c r="EX223" s="22"/>
      <c r="EY223" s="29">
        <f t="shared" si="1043"/>
        <v>8.5714285714285712</v>
      </c>
      <c r="EZ223" s="25" t="str">
        <f t="shared" si="1044"/>
        <v>SIN RIESGO DE ISOINMUNIZACIÓN</v>
      </c>
      <c r="FA223" s="21">
        <v>94</v>
      </c>
      <c r="FB223" s="32">
        <v>45128</v>
      </c>
      <c r="FC223" s="29">
        <f t="shared" si="861"/>
        <v>8.5714285714285712</v>
      </c>
      <c r="FD223" s="29"/>
      <c r="FE223" s="29"/>
      <c r="FF223" s="29"/>
      <c r="FG223" s="21" t="str">
        <f t="shared" ca="1" si="862"/>
        <v>PROGRAMAR TOMA PTOG SIGUIENTE CONTROL</v>
      </c>
      <c r="FH223" s="31"/>
      <c r="FI223" s="29" t="str">
        <f t="shared" si="863"/>
        <v>TOMAR EXAMEN</v>
      </c>
      <c r="FJ223" s="22" t="s">
        <v>867</v>
      </c>
      <c r="FK223" s="22">
        <v>45128</v>
      </c>
      <c r="FL223" s="29">
        <f t="shared" ca="1" si="864"/>
        <v>8.5714285714285712</v>
      </c>
      <c r="FM223" s="22"/>
      <c r="FN223" s="32"/>
      <c r="FO223" s="29" t="str">
        <f t="shared" ca="1" si="923"/>
        <v>EN RANGO PARA TOMAR EXAMEN</v>
      </c>
      <c r="FP223" s="22"/>
      <c r="FQ223" s="32"/>
      <c r="FR223" s="29" t="str">
        <f t="shared" ca="1" si="924"/>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5"/>
        <v>TOMAR EXAMEN</v>
      </c>
      <c r="FY223" s="22" t="s">
        <v>868</v>
      </c>
      <c r="FZ223" s="22">
        <v>45128</v>
      </c>
      <c r="GA223" s="29">
        <f t="shared" ca="1" si="939"/>
        <v>8.5714285714285712</v>
      </c>
      <c r="GB223" s="22"/>
      <c r="GC223" s="22"/>
      <c r="GD223" s="29" t="str">
        <f t="shared" ca="1" si="940"/>
        <v>EN RANGO PARA TOMAR EXAMEN</v>
      </c>
      <c r="GE223" s="22"/>
      <c r="GF223" s="22"/>
      <c r="GG223" s="29" t="str">
        <f t="shared" ca="1" si="926"/>
        <v>EN ESPERA-ESTÁ I TRIM O II TRIM</v>
      </c>
      <c r="GH223" s="22"/>
      <c r="GI223" s="29"/>
      <c r="GJ223" s="22"/>
      <c r="GK223" s="22"/>
      <c r="GL223" s="22"/>
      <c r="GM223" s="22"/>
      <c r="GN223" s="28" t="s">
        <v>869</v>
      </c>
      <c r="GO223" s="22">
        <v>45128</v>
      </c>
      <c r="GP223" s="29">
        <f t="shared" si="866"/>
        <v>8.5714285714285712</v>
      </c>
      <c r="GQ223" s="28" t="s">
        <v>869</v>
      </c>
      <c r="GR223" s="28" t="s">
        <v>869</v>
      </c>
      <c r="GS223" s="22" t="str">
        <f t="shared" si="728"/>
        <v>CONTROL Igm</v>
      </c>
      <c r="GT223" s="22">
        <v>45128</v>
      </c>
      <c r="GU223" s="29">
        <f t="shared" si="867"/>
        <v>8.5714285714285712</v>
      </c>
      <c r="GV223" s="21" t="str">
        <f t="shared" si="868"/>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9"/>
        <v>#REF!</v>
      </c>
      <c r="HI223" s="22" t="e">
        <f t="shared" ca="1" si="870"/>
        <v>#REF!</v>
      </c>
      <c r="HJ223" s="21" t="str">
        <f t="shared" ca="1" si="871"/>
        <v>**********************MULTIPARIDAD*****************</v>
      </c>
      <c r="HK223" s="21" t="str">
        <f t="shared" si="872"/>
        <v>SIN ANTECEDENTES DE RIESGO</v>
      </c>
      <c r="HL223" s="24" t="str">
        <f t="shared" si="873"/>
        <v>APARENTEMENTE NORMAL</v>
      </c>
      <c r="HM223" s="21" t="e">
        <f t="shared" ca="1" si="874"/>
        <v>#REF!</v>
      </c>
      <c r="HN223" s="30" t="str">
        <f t="shared" si="927"/>
        <v>ACTIVA INGRESO A CPN</v>
      </c>
      <c r="HO223" s="21"/>
      <c r="HP223" s="21"/>
      <c r="HQ223" s="349"/>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5"/>
        <v>PENDIENTE CONSULTA</v>
      </c>
      <c r="IA223" s="26"/>
      <c r="IB223" s="26"/>
      <c r="IC223" s="111"/>
      <c r="ID223" s="22"/>
      <c r="IE223" s="22" t="str">
        <f t="shared" ca="1" si="876"/>
        <v>PROGRAMAR APLICACION DE VACUNA</v>
      </c>
      <c r="IF223" s="22"/>
      <c r="IG223" s="22">
        <f t="shared" si="877"/>
        <v>45348</v>
      </c>
      <c r="IH223" s="29">
        <f t="shared" ca="1" si="878"/>
        <v>116</v>
      </c>
      <c r="II223" s="22" t="str">
        <f t="shared" ca="1" si="879"/>
        <v>PENDIENTE</v>
      </c>
      <c r="IJ223" s="22"/>
      <c r="IK223" s="21"/>
      <c r="IL223" s="21"/>
      <c r="IM223" s="34"/>
      <c r="IN223" s="22"/>
      <c r="IO223" s="21"/>
      <c r="IP223" s="29" t="str">
        <f t="shared" si="880"/>
        <v/>
      </c>
      <c r="IQ223" s="35"/>
      <c r="IR223" s="21"/>
      <c r="IS223" s="21"/>
      <c r="IT223" s="21"/>
      <c r="IU223" s="21"/>
      <c r="IV223" s="21"/>
      <c r="IW223" s="21"/>
      <c r="IX223" s="21"/>
      <c r="IY223" s="21"/>
      <c r="IZ223" s="21"/>
      <c r="JA223" s="21"/>
      <c r="JB223" s="30"/>
      <c r="JC223" s="21"/>
      <c r="JD223" s="36"/>
      <c r="JE223" s="21" t="str">
        <f t="shared" si="881"/>
        <v/>
      </c>
      <c r="JF223" s="30"/>
      <c r="JG223" s="21"/>
      <c r="JH223" s="21"/>
      <c r="JI223" s="21"/>
      <c r="JJ223" s="30"/>
      <c r="JK223" s="22"/>
      <c r="JL223" s="22"/>
      <c r="JM223" s="21"/>
      <c r="JN223" s="36"/>
      <c r="JO223" s="21" t="str">
        <f t="shared" si="882"/>
        <v/>
      </c>
      <c r="JP223" s="22"/>
      <c r="JQ223" s="21"/>
      <c r="JR223" s="21"/>
      <c r="JS223" s="21"/>
      <c r="JT223" s="30"/>
      <c r="JU223" s="22"/>
      <c r="JV223" s="22"/>
      <c r="JW223" s="33"/>
      <c r="JX223" s="28" t="str">
        <f t="shared" si="883"/>
        <v/>
      </c>
      <c r="JY223" s="33"/>
      <c r="JZ223" s="28" t="str">
        <f t="shared" si="884"/>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5"/>
        <v>0</v>
      </c>
      <c r="MI223" s="43" t="str">
        <f t="shared" si="929"/>
        <v/>
      </c>
      <c r="MJ223" s="43" t="str">
        <f t="shared" si="887"/>
        <v/>
      </c>
      <c r="MK223" s="43">
        <f t="shared" si="888"/>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30"/>
        <v>8.5714285714285712</v>
      </c>
      <c r="MN223" s="43">
        <f t="shared" si="931"/>
        <v>7</v>
      </c>
      <c r="MO223" s="43">
        <f t="shared" si="932"/>
        <v>2023</v>
      </c>
      <c r="MP223" s="43" t="str">
        <f t="shared" si="892"/>
        <v>III TRIMESTRE AÑO</v>
      </c>
      <c r="MQ223" s="43">
        <f t="shared" si="933"/>
        <v>22.711344721857206</v>
      </c>
      <c r="MR223" s="43">
        <f t="shared" si="894"/>
        <v>0</v>
      </c>
      <c r="MS223" s="43" t="str">
        <f t="shared" si="895"/>
        <v xml:space="preserve"> DE 20 A 24 AÑOS</v>
      </c>
      <c r="MT223" s="43">
        <f t="shared" si="896"/>
        <v>0</v>
      </c>
      <c r="MU223" s="43">
        <f t="shared" si="897"/>
        <v>1</v>
      </c>
      <c r="MV223" s="43">
        <f t="shared" si="898"/>
        <v>0</v>
      </c>
      <c r="MW223" s="43">
        <f t="shared" si="899"/>
        <v>0</v>
      </c>
      <c r="MX223" s="43" t="str">
        <f t="shared" si="900"/>
        <v/>
      </c>
      <c r="MY223" s="43" t="str">
        <f t="shared" ca="1" si="901"/>
        <v/>
      </c>
      <c r="MZ223" s="43" t="str">
        <f t="shared" si="902"/>
        <v/>
      </c>
      <c r="NA223" s="43">
        <f t="shared" si="903"/>
        <v>0</v>
      </c>
      <c r="NB223" s="43" t="str">
        <f t="shared" si="904"/>
        <v/>
      </c>
      <c r="NC223" s="43" t="str">
        <f t="shared" si="905"/>
        <v/>
      </c>
      <c r="ND223" s="43">
        <f t="shared" ca="1" si="934"/>
        <v>1</v>
      </c>
      <c r="NE223" s="43">
        <f>IF(OR(O223&gt;0,R223&gt;0),SUM(COUNTIF(Tabla1[[#This Row],[AÑOS AL INICIO5 CPN]],"&gt;=40"),COUNTIF(AS223,"0"),COUNTIF(AR223,"SI"),COUNTIF(CC223,"SI"),COUNTIF(BQ223,"&gt;119"),COUNTIF(CI223,"&gt;=35")),"")</f>
        <v>1</v>
      </c>
      <c r="NF223" s="43" t="str">
        <f t="shared" si="935"/>
        <v/>
      </c>
      <c r="NG223" s="43">
        <f t="shared" si="908"/>
        <v>0</v>
      </c>
      <c r="NH223" s="43">
        <f t="shared" si="909"/>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6"/>
        <v>X</v>
      </c>
      <c r="NM223" s="43" t="str">
        <f t="shared" si="941"/>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12"/>
        <v>I TRIM</v>
      </c>
      <c r="NQ223" s="21" t="str">
        <f t="shared" si="1046"/>
        <v/>
      </c>
      <c r="NR223" s="21">
        <f t="shared" ca="1" si="937"/>
        <v>2</v>
      </c>
      <c r="NS223" s="205">
        <f t="shared" ca="1" si="914"/>
        <v>1</v>
      </c>
      <c r="NT223" s="21">
        <f t="shared" ca="1" si="915"/>
        <v>1</v>
      </c>
      <c r="NU223" s="21" t="str">
        <f t="shared" ca="1" si="916"/>
        <v>INCOMPLETO</v>
      </c>
      <c r="NV223" s="21" t="str">
        <f t="shared" ca="1" si="917"/>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8"/>
        <v>SIN VACUNAR</v>
      </c>
      <c r="NY223" s="43">
        <f>ROW(Tabla1[[#This Row],['# DE TAMIZAJES SIFILIS TOMADOS ]])</f>
        <v>223</v>
      </c>
      <c r="NZ223" s="43" t="str">
        <f t="shared" si="942"/>
        <v>Menor</v>
      </c>
      <c r="OA223" s="43" t="str">
        <f t="shared" si="943"/>
        <v>NORMAL</v>
      </c>
      <c r="OB223" s="43" t="str">
        <f t="shared" si="944"/>
        <v/>
      </c>
      <c r="OC223" s="43" t="str">
        <f t="shared" si="945"/>
        <v/>
      </c>
      <c r="OD223" s="43" t="str">
        <f t="shared" si="946"/>
        <v/>
      </c>
      <c r="OE223" s="43" t="str">
        <f t="shared" si="947"/>
        <v/>
      </c>
      <c r="OF223" s="43" t="str">
        <f t="shared" si="948"/>
        <v/>
      </c>
      <c r="OG223" s="43" t="str">
        <f t="shared" si="949"/>
        <v/>
      </c>
      <c r="OH223" s="43" t="str">
        <f t="shared" si="950"/>
        <v/>
      </c>
      <c r="OI223" s="43" t="str">
        <f t="shared" si="951"/>
        <v/>
      </c>
      <c r="OJ223" s="43" t="str">
        <f t="shared" si="952"/>
        <v/>
      </c>
      <c r="OK223" s="43" t="str">
        <f t="shared" si="953"/>
        <v/>
      </c>
      <c r="OL223" s="43" t="str">
        <f t="shared" si="954"/>
        <v/>
      </c>
      <c r="OM223" s="43" t="str">
        <f t="shared" si="955"/>
        <v/>
      </c>
      <c r="ON223" s="43" t="str">
        <f t="shared" si="956"/>
        <v/>
      </c>
      <c r="OO223" s="43" t="str">
        <f t="shared" si="957"/>
        <v/>
      </c>
      <c r="OP223" s="43" t="str">
        <f t="shared" si="958"/>
        <v/>
      </c>
      <c r="OQ223" s="43" t="str">
        <f t="shared" si="959"/>
        <v/>
      </c>
      <c r="OR223" s="43" t="str">
        <f t="shared" si="960"/>
        <v/>
      </c>
      <c r="OS223" s="43" t="str">
        <f t="shared" si="961"/>
        <v/>
      </c>
      <c r="OT223" s="43" t="str">
        <f t="shared" si="962"/>
        <v/>
      </c>
      <c r="OU223" s="43" t="str">
        <f t="shared" si="963"/>
        <v/>
      </c>
      <c r="OV223" s="110" t="str">
        <f t="shared" si="964"/>
        <v/>
      </c>
      <c r="OW223" s="43" t="str">
        <f t="shared" si="965"/>
        <v/>
      </c>
      <c r="OX223" s="43" t="str">
        <f t="shared" si="966"/>
        <v/>
      </c>
      <c r="OY223" s="43" t="str">
        <f t="shared" si="967"/>
        <v/>
      </c>
      <c r="OZ223" s="43" t="str">
        <f t="shared" si="968"/>
        <v/>
      </c>
      <c r="PA223" s="43" t="str">
        <f t="shared" si="969"/>
        <v/>
      </c>
      <c r="PB223" s="43" t="str">
        <f t="shared" si="970"/>
        <v/>
      </c>
      <c r="PC223" s="43" t="str">
        <f t="shared" si="971"/>
        <v/>
      </c>
      <c r="PD223" s="43" t="str">
        <f t="shared" si="972"/>
        <v/>
      </c>
      <c r="PE223" s="43" t="str">
        <f t="shared" si="973"/>
        <v/>
      </c>
      <c r="PF223" s="43" t="str">
        <f t="shared" si="974"/>
        <v/>
      </c>
      <c r="PG223" s="43" t="str">
        <f t="shared" si="975"/>
        <v/>
      </c>
      <c r="PH223" s="43" t="str">
        <f t="shared" si="976"/>
        <v/>
      </c>
      <c r="PI223" s="43" t="str">
        <f t="shared" si="977"/>
        <v>Menor</v>
      </c>
      <c r="PJ223" s="43" t="str">
        <f t="shared" si="978"/>
        <v>NORMAL</v>
      </c>
      <c r="PK223" s="43" t="str">
        <f t="shared" si="979"/>
        <v/>
      </c>
      <c r="PL223" s="43" t="str">
        <f t="shared" si="980"/>
        <v/>
      </c>
      <c r="PM223" s="43" t="str">
        <f t="shared" si="981"/>
        <v/>
      </c>
      <c r="PN223" s="43" t="str">
        <f t="shared" si="982"/>
        <v/>
      </c>
      <c r="PO223" s="43" t="str">
        <f t="shared" si="983"/>
        <v/>
      </c>
      <c r="PP223" s="43" t="str">
        <f t="shared" si="984"/>
        <v/>
      </c>
      <c r="PQ223" s="43" t="str">
        <f t="shared" si="985"/>
        <v/>
      </c>
      <c r="PR223" s="43" t="str">
        <f t="shared" si="986"/>
        <v/>
      </c>
      <c r="PS223" s="43" t="str">
        <f t="shared" si="987"/>
        <v/>
      </c>
      <c r="PT223" s="43" t="str">
        <f t="shared" si="988"/>
        <v/>
      </c>
      <c r="PU223" s="43" t="str">
        <f t="shared" si="989"/>
        <v/>
      </c>
      <c r="PV223" s="43" t="str">
        <f t="shared" si="990"/>
        <v/>
      </c>
      <c r="PW223" s="43" t="str">
        <f t="shared" si="991"/>
        <v/>
      </c>
      <c r="PX223" s="43" t="str">
        <f t="shared" si="992"/>
        <v/>
      </c>
      <c r="PY223" s="43" t="str">
        <f t="shared" si="993"/>
        <v/>
      </c>
      <c r="PZ223" s="43" t="str">
        <f t="shared" si="994"/>
        <v/>
      </c>
      <c r="QA223" s="43" t="str">
        <f t="shared" si="995"/>
        <v/>
      </c>
      <c r="QB223" s="43" t="str">
        <f t="shared" si="996"/>
        <v/>
      </c>
      <c r="QC223" s="43" t="str">
        <f t="shared" si="997"/>
        <v/>
      </c>
      <c r="QD223" s="43" t="str">
        <f t="shared" si="998"/>
        <v/>
      </c>
      <c r="QE223" s="43" t="str">
        <f t="shared" si="999"/>
        <v/>
      </c>
      <c r="QF223" s="43" t="str">
        <f t="shared" si="1000"/>
        <v/>
      </c>
      <c r="QG223" s="43" t="str">
        <f t="shared" si="1001"/>
        <v/>
      </c>
      <c r="QH223" s="43" t="str">
        <f t="shared" si="1002"/>
        <v/>
      </c>
      <c r="QI223" s="43" t="str">
        <f t="shared" si="1003"/>
        <v/>
      </c>
      <c r="QJ223" s="43" t="str">
        <f t="shared" si="1004"/>
        <v/>
      </c>
      <c r="QK223" s="43" t="str">
        <f t="shared" si="1005"/>
        <v/>
      </c>
      <c r="QL223" s="43" t="str">
        <f t="shared" si="1006"/>
        <v/>
      </c>
      <c r="QM223" s="43" t="str">
        <f t="shared" si="1007"/>
        <v/>
      </c>
      <c r="QN223" s="43" t="str">
        <f t="shared" si="1008"/>
        <v/>
      </c>
      <c r="QO223" s="43" t="str">
        <f t="shared" si="1009"/>
        <v/>
      </c>
      <c r="QP223" s="43" t="str">
        <f t="shared" si="1010"/>
        <v/>
      </c>
      <c r="QQ223" s="43" t="str">
        <f t="shared" si="1011"/>
        <v/>
      </c>
      <c r="QR223" s="43" t="str">
        <f t="shared" si="1012"/>
        <v>Menor</v>
      </c>
      <c r="QS223" s="43"/>
      <c r="QT223" s="21" t="str">
        <f t="shared" si="1013"/>
        <v/>
      </c>
      <c r="QU223" s="21" t="str">
        <f t="shared" si="1014"/>
        <v/>
      </c>
      <c r="QV223" s="21" t="str">
        <f t="shared" si="1015"/>
        <v/>
      </c>
      <c r="QW223" s="21" t="str">
        <f t="shared" si="1016"/>
        <v/>
      </c>
      <c r="QX223" s="21" t="str">
        <f t="shared" si="1017"/>
        <v/>
      </c>
      <c r="QY223" s="21" t="str">
        <f t="shared" si="1018"/>
        <v/>
      </c>
      <c r="QZ223" s="21" t="str">
        <f t="shared" si="1019"/>
        <v/>
      </c>
      <c r="RA223" s="21" t="str">
        <f t="shared" si="1020"/>
        <v/>
      </c>
      <c r="RB223" s="21" t="str">
        <f t="shared" si="1021"/>
        <v/>
      </c>
      <c r="RC223" s="21" t="str">
        <f t="shared" si="1022"/>
        <v/>
      </c>
      <c r="RD223" s="21" t="str">
        <f t="shared" si="1023"/>
        <v/>
      </c>
      <c r="RE223" s="21" t="str">
        <f t="shared" si="1024"/>
        <v/>
      </c>
      <c r="RF223" s="21" t="str">
        <f t="shared" si="1025"/>
        <v/>
      </c>
      <c r="RG223" s="21" t="str">
        <f t="shared" si="1026"/>
        <v/>
      </c>
      <c r="RH223" s="21" t="str">
        <f t="shared" si="1027"/>
        <v/>
      </c>
      <c r="RI223" s="21" t="str">
        <f t="shared" si="1028"/>
        <v/>
      </c>
      <c r="RJ223" s="21" t="str">
        <f t="shared" si="1029"/>
        <v/>
      </c>
      <c r="RK223" s="21" t="str">
        <f t="shared" si="1030"/>
        <v/>
      </c>
      <c r="RL223" s="21" t="str">
        <f t="shared" si="1031"/>
        <v/>
      </c>
      <c r="RM223" s="21" t="str">
        <f t="shared" si="1032"/>
        <v/>
      </c>
      <c r="RN223" s="21" t="str">
        <f t="shared" si="1033"/>
        <v/>
      </c>
      <c r="RO223" s="21" t="str">
        <f t="shared" si="1034"/>
        <v/>
      </c>
      <c r="RP223" s="21" t="str">
        <f t="shared" si="1035"/>
        <v/>
      </c>
      <c r="RQ223" s="21" t="str">
        <f t="shared" si="1036"/>
        <v/>
      </c>
      <c r="RR223" s="21" t="str">
        <f t="shared" si="1037"/>
        <v/>
      </c>
      <c r="RS223" s="21" t="str">
        <f t="shared" si="1038"/>
        <v/>
      </c>
      <c r="RT223" s="21" t="str">
        <f t="shared" si="1039"/>
        <v/>
      </c>
      <c r="RU223" s="21" t="str">
        <f t="shared" si="1040"/>
        <v/>
      </c>
      <c r="RV223" s="21">
        <f t="shared" si="1041"/>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42"/>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41"/>
        <v>21.246575342465754</v>
      </c>
      <c r="O224" s="22">
        <v>45113</v>
      </c>
      <c r="P224" s="214" t="str">
        <f t="shared" si="919"/>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2"/>
        <v>26.066666666666666</v>
      </c>
      <c r="BR224" s="223">
        <f t="shared" si="843"/>
        <v>45012.5</v>
      </c>
      <c r="BS224" s="224">
        <f t="shared" si="844"/>
        <v>14.428571428571429</v>
      </c>
      <c r="BT224" s="216" t="str">
        <f t="shared" si="845"/>
        <v>II TRIM</v>
      </c>
      <c r="BU224" s="214">
        <f t="shared" ca="1" si="928"/>
        <v>31.428571428571427</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7"/>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8"/>
        <v>45149</v>
      </c>
      <c r="CL224" s="21">
        <v>57</v>
      </c>
      <c r="CM224" s="214">
        <f t="shared" si="849"/>
        <v>26.377898098014718</v>
      </c>
      <c r="CN224" s="216">
        <f t="shared" si="850"/>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5"/>
        <v/>
      </c>
      <c r="DA224" s="21">
        <v>100</v>
      </c>
      <c r="DB224" s="21">
        <v>60</v>
      </c>
      <c r="DC224" s="217" t="str">
        <f t="shared" si="851"/>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20"/>
        <v>PLANEAR PLAN DE PARTO</v>
      </c>
      <c r="DV224" s="226" t="str">
        <f t="shared" si="921"/>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2"/>
        <v>#REF!</v>
      </c>
      <c r="DY224" s="212">
        <f>IF(R224="","",IF(R224&gt;0,MAX(Tabla1[[#This Row],[FECHA C2]:[FECHA C13]],Tabla1[[#This Row],[FECHA CONSULTA PRIMERA VEZ PROGRAMA CPN ]])))</f>
        <v>45149</v>
      </c>
      <c r="DZ224" s="216">
        <f t="shared" si="853"/>
        <v>19</v>
      </c>
      <c r="EA224" s="222">
        <f>IF(R224&gt;0,SUM(COUNTA(DF224:DQ224)+COUNTA(Tabla1[[#This Row],[FECHA CONSULTA PRIMERA VEZ PROGRAMA CPN ]])),"")</f>
        <v>2</v>
      </c>
      <c r="EB224" s="222" t="str">
        <f t="shared" si="854"/>
        <v>NO</v>
      </c>
      <c r="EC224" s="214">
        <f t="shared" si="855"/>
        <v>8</v>
      </c>
      <c r="ED224" s="227">
        <f t="shared" si="856"/>
        <v>0.25</v>
      </c>
      <c r="EE224" s="22">
        <v>45113</v>
      </c>
      <c r="EF224" s="22">
        <v>45149</v>
      </c>
      <c r="EG224" s="22">
        <v>45113</v>
      </c>
      <c r="EH224" s="22"/>
      <c r="EI224" s="22">
        <v>45113</v>
      </c>
      <c r="EJ224" s="22"/>
      <c r="EK224" s="22"/>
      <c r="EL224" s="21"/>
      <c r="EM224" s="21"/>
      <c r="EN224" s="22"/>
      <c r="EO224" s="222" t="str">
        <f t="shared" si="857"/>
        <v>TOMAR EXAMEN</v>
      </c>
      <c r="EP224" s="214" t="str">
        <f t="shared" si="858"/>
        <v/>
      </c>
      <c r="EQ224" s="216" t="str">
        <f t="shared" si="859"/>
        <v>POR DEFINIR</v>
      </c>
      <c r="ER224" s="24"/>
      <c r="ES224" s="22"/>
      <c r="ET224" s="29" t="str">
        <f t="shared" ca="1" si="922"/>
        <v>TOMA DE HEMOGLOBINA TARDÍA</v>
      </c>
      <c r="EU224" s="25" t="str">
        <f t="shared" si="860"/>
        <v/>
      </c>
      <c r="EV224" s="24"/>
      <c r="EW224" s="24"/>
      <c r="EX224" s="22"/>
      <c r="EY224" s="29" t="str">
        <f t="shared" si="1043"/>
        <v>TOMAR EXAMEN</v>
      </c>
      <c r="EZ224" s="25" t="str">
        <f t="shared" ca="1" si="1044"/>
        <v/>
      </c>
      <c r="FA224" s="21"/>
      <c r="FB224" s="22"/>
      <c r="FC224" s="29" t="str">
        <f t="shared" si="861"/>
        <v>TOMAR EXAMEN</v>
      </c>
      <c r="FD224" s="29"/>
      <c r="FE224" s="29"/>
      <c r="FF224" s="29"/>
      <c r="FG224" s="21" t="str">
        <f t="shared" ca="1" si="862"/>
        <v>TOMAR PTOG</v>
      </c>
      <c r="FH224" s="31"/>
      <c r="FI224" s="29" t="str">
        <f t="shared" si="863"/>
        <v>TOMAR EXAMEN</v>
      </c>
      <c r="FJ224" s="22"/>
      <c r="FK224" s="22"/>
      <c r="FL224" s="29" t="str">
        <f t="shared" ca="1" si="864"/>
        <v>NO APLICA-INGRESO TARDIO</v>
      </c>
      <c r="FM224" s="22"/>
      <c r="FN224" s="32"/>
      <c r="FO224" s="29" t="str">
        <f t="shared" ca="1" si="923"/>
        <v>PIERDE TOMA DE TAMIZAJE</v>
      </c>
      <c r="FP224" s="22"/>
      <c r="FQ224" s="32"/>
      <c r="FR224" s="29" t="str">
        <f t="shared" ca="1" si="924"/>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5"/>
        <v>TOMAR EXAMEN</v>
      </c>
      <c r="FY224" s="22"/>
      <c r="FZ224" s="22"/>
      <c r="GA224" s="29" t="str">
        <f t="shared" ca="1" si="939"/>
        <v>NO APLICA-INGRESO TARDIO</v>
      </c>
      <c r="GB224" s="22"/>
      <c r="GC224" s="22"/>
      <c r="GD224" s="29" t="str">
        <f t="shared" ca="1" si="940"/>
        <v>PIERDE TOMA DE TAMIZAJE</v>
      </c>
      <c r="GE224" s="22"/>
      <c r="GF224" s="22"/>
      <c r="GG224" s="29" t="str">
        <f t="shared" ca="1" si="926"/>
        <v>EN RANGO PARA TOMAR EXAMEN</v>
      </c>
      <c r="GH224" s="22"/>
      <c r="GI224" s="29"/>
      <c r="GJ224" s="22"/>
      <c r="GK224" s="22"/>
      <c r="GL224" s="22"/>
      <c r="GM224" s="22"/>
      <c r="GN224" s="28"/>
      <c r="GO224" s="22"/>
      <c r="GP224" s="29" t="str">
        <f t="shared" si="866"/>
        <v>TOMAR EXAMEN</v>
      </c>
      <c r="GQ224" s="28"/>
      <c r="GR224" s="28"/>
      <c r="GS224" s="22" t="str">
        <f t="shared" si="728"/>
        <v/>
      </c>
      <c r="GT224" s="22"/>
      <c r="GU224" s="29" t="str">
        <f t="shared" si="867"/>
        <v>TOMAR EXAMEN</v>
      </c>
      <c r="GV224" s="21" t="str">
        <f t="shared" si="868"/>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9"/>
        <v>#REF!</v>
      </c>
      <c r="HI224" s="22" t="e">
        <f t="shared" ca="1" si="870"/>
        <v>#REF!</v>
      </c>
      <c r="HJ224" s="21" t="str">
        <f t="shared" ca="1" si="871"/>
        <v>***************************************</v>
      </c>
      <c r="HK224" s="21" t="str">
        <f t="shared" si="872"/>
        <v>SIN ANTECEDENTES DE RIESGO</v>
      </c>
      <c r="HL224" s="24" t="str">
        <f t="shared" si="873"/>
        <v>APARENTEMENTE NORMAL</v>
      </c>
      <c r="HM224" s="21" t="e">
        <f t="shared" ca="1" si="874"/>
        <v>#REF!</v>
      </c>
      <c r="HN224" s="30" t="str">
        <f t="shared" si="927"/>
        <v>ACTIVA INGRESO A CPN</v>
      </c>
      <c r="HO224" s="21"/>
      <c r="HP224" s="21"/>
      <c r="HQ224" s="349"/>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5"/>
        <v>14.428571428571429</v>
      </c>
      <c r="IA224" s="26" t="s">
        <v>864</v>
      </c>
      <c r="IB224" s="26"/>
      <c r="IC224" s="111"/>
      <c r="ID224" s="22"/>
      <c r="IE224" s="22" t="str">
        <f t="shared" ca="1" si="876"/>
        <v>INASISTENTE</v>
      </c>
      <c r="IF224" s="22"/>
      <c r="IG224" s="22">
        <f t="shared" si="877"/>
        <v>45292</v>
      </c>
      <c r="IH224" s="29">
        <f t="shared" ca="1" si="878"/>
        <v>60</v>
      </c>
      <c r="II224" s="22" t="str">
        <f t="shared" ca="1" si="879"/>
        <v>PENDIENTE</v>
      </c>
      <c r="IJ224" s="22"/>
      <c r="IK224" s="21"/>
      <c r="IL224" s="21"/>
      <c r="IM224" s="34"/>
      <c r="IN224" s="22"/>
      <c r="IO224" s="21"/>
      <c r="IP224" s="29" t="str">
        <f t="shared" si="880"/>
        <v/>
      </c>
      <c r="IQ224" s="35"/>
      <c r="IR224" s="21"/>
      <c r="IS224" s="21"/>
      <c r="IT224" s="21"/>
      <c r="IU224" s="21"/>
      <c r="IV224" s="21"/>
      <c r="IW224" s="21"/>
      <c r="IX224" s="21"/>
      <c r="IY224" s="21"/>
      <c r="IZ224" s="21"/>
      <c r="JA224" s="21"/>
      <c r="JB224" s="30"/>
      <c r="JC224" s="21"/>
      <c r="JD224" s="36"/>
      <c r="JE224" s="21" t="str">
        <f t="shared" si="881"/>
        <v/>
      </c>
      <c r="JF224" s="30"/>
      <c r="JG224" s="21"/>
      <c r="JH224" s="21"/>
      <c r="JI224" s="21"/>
      <c r="JJ224" s="30"/>
      <c r="JK224" s="22"/>
      <c r="JL224" s="22"/>
      <c r="JM224" s="21"/>
      <c r="JN224" s="36"/>
      <c r="JO224" s="21" t="str">
        <f t="shared" si="882"/>
        <v/>
      </c>
      <c r="JP224" s="22"/>
      <c r="JQ224" s="21"/>
      <c r="JR224" s="21"/>
      <c r="JS224" s="21"/>
      <c r="JT224" s="30"/>
      <c r="JU224" s="22"/>
      <c r="JV224" s="22"/>
      <c r="JW224" s="33"/>
      <c r="JX224" s="28" t="str">
        <f t="shared" si="883"/>
        <v/>
      </c>
      <c r="JY224" s="33"/>
      <c r="JZ224" s="28" t="str">
        <f t="shared" si="884"/>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5"/>
        <v>0</v>
      </c>
      <c r="MI224" s="43" t="str">
        <f t="shared" si="929"/>
        <v/>
      </c>
      <c r="MJ224" s="43" t="str">
        <f t="shared" si="887"/>
        <v/>
      </c>
      <c r="MK224" s="43">
        <f t="shared" si="888"/>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30"/>
        <v>14.428571428571429</v>
      </c>
      <c r="MN224" s="43">
        <f t="shared" si="931"/>
        <v>7</v>
      </c>
      <c r="MO224" s="43">
        <f t="shared" si="932"/>
        <v>2023</v>
      </c>
      <c r="MP224" s="43" t="str">
        <f t="shared" si="892"/>
        <v>III TRIMESTRE AÑO</v>
      </c>
      <c r="MQ224" s="43">
        <f t="shared" si="933"/>
        <v>20.606110381077528</v>
      </c>
      <c r="MR224" s="43">
        <f t="shared" si="894"/>
        <v>0</v>
      </c>
      <c r="MS224" s="43" t="str">
        <f t="shared" si="895"/>
        <v xml:space="preserve"> DE 20 A 24 AÑOS</v>
      </c>
      <c r="MT224" s="43">
        <f t="shared" si="896"/>
        <v>0</v>
      </c>
      <c r="MU224" s="43">
        <f t="shared" si="897"/>
        <v>0</v>
      </c>
      <c r="MV224" s="43">
        <f t="shared" si="898"/>
        <v>0</v>
      </c>
      <c r="MW224" s="43">
        <f t="shared" si="899"/>
        <v>0</v>
      </c>
      <c r="MX224" s="43" t="str">
        <f t="shared" si="900"/>
        <v/>
      </c>
      <c r="MY224" s="43" t="str">
        <f t="shared" ca="1" si="901"/>
        <v/>
      </c>
      <c r="MZ224" s="43" t="str">
        <f t="shared" si="902"/>
        <v/>
      </c>
      <c r="NA224" s="43">
        <f t="shared" si="903"/>
        <v>0</v>
      </c>
      <c r="NB224" s="43" t="str">
        <f t="shared" si="904"/>
        <v/>
      </c>
      <c r="NC224" s="43" t="str">
        <f t="shared" si="905"/>
        <v/>
      </c>
      <c r="ND224" s="43">
        <f t="shared" ca="1" si="934"/>
        <v>0</v>
      </c>
      <c r="NE224" s="43">
        <f>IF(OR(O224&gt;0,R224&gt;0),SUM(COUNTIF(Tabla1[[#This Row],[AÑOS AL INICIO5 CPN]],"&gt;=40"),COUNTIF(AS224,"0"),COUNTIF(AR224,"SI"),COUNTIF(CC224,"SI"),COUNTIF(BQ224,"&gt;119"),COUNTIF(CI224,"&gt;=35")),"")</f>
        <v>0</v>
      </c>
      <c r="NF224" s="43" t="str">
        <f t="shared" si="935"/>
        <v/>
      </c>
      <c r="NG224" s="43">
        <f t="shared" si="908"/>
        <v>0</v>
      </c>
      <c r="NH224" s="43">
        <f t="shared" si="909"/>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6"/>
        <v>X</v>
      </c>
      <c r="NM224" s="43" t="str">
        <f t="shared" si="941"/>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12"/>
        <v>II TRIM</v>
      </c>
      <c r="NQ224" s="21" t="str">
        <f t="shared" si="1046"/>
        <v/>
      </c>
      <c r="NR224" s="21">
        <f t="shared" ca="1" si="937"/>
        <v>2</v>
      </c>
      <c r="NS224" s="205">
        <f t="shared" ca="1" si="914"/>
        <v>0</v>
      </c>
      <c r="NT224" s="21">
        <f t="shared" ca="1" si="915"/>
        <v>0</v>
      </c>
      <c r="NU224" s="21" t="str">
        <f t="shared" ca="1" si="916"/>
        <v>INCOMPLETO</v>
      </c>
      <c r="NV224" s="21" t="str">
        <f t="shared" ca="1" si="917"/>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8"/>
        <v>SIN VACUNAR</v>
      </c>
      <c r="NY224" s="43">
        <f>ROW(Tabla1[[#This Row],['# DE TAMIZAJES SIFILIS TOMADOS ]])</f>
        <v>224</v>
      </c>
      <c r="NZ224" s="43">
        <f t="shared" si="942"/>
        <v>14</v>
      </c>
      <c r="OA224" s="43" t="str">
        <f t="shared" si="943"/>
        <v/>
      </c>
      <c r="OB224" s="43" t="str">
        <f t="shared" si="944"/>
        <v/>
      </c>
      <c r="OC224" s="43" t="str">
        <f t="shared" si="945"/>
        <v/>
      </c>
      <c r="OD224" s="43" t="str">
        <f t="shared" si="946"/>
        <v/>
      </c>
      <c r="OE224" s="43" t="str">
        <f t="shared" si="947"/>
        <v/>
      </c>
      <c r="OF224" s="43" t="str">
        <f t="shared" si="948"/>
        <v>SOBREPESO</v>
      </c>
      <c r="OG224" s="43" t="str">
        <f t="shared" si="949"/>
        <v/>
      </c>
      <c r="OH224" s="43" t="str">
        <f t="shared" si="950"/>
        <v/>
      </c>
      <c r="OI224" s="43" t="str">
        <f t="shared" si="951"/>
        <v/>
      </c>
      <c r="OJ224" s="43" t="str">
        <f t="shared" si="952"/>
        <v/>
      </c>
      <c r="OK224" s="43" t="str">
        <f t="shared" si="953"/>
        <v/>
      </c>
      <c r="OL224" s="43" t="str">
        <f t="shared" si="954"/>
        <v/>
      </c>
      <c r="OM224" s="43" t="str">
        <f t="shared" si="955"/>
        <v/>
      </c>
      <c r="ON224" s="43" t="str">
        <f t="shared" si="956"/>
        <v/>
      </c>
      <c r="OO224" s="43" t="str">
        <f t="shared" si="957"/>
        <v/>
      </c>
      <c r="OP224" s="43" t="str">
        <f t="shared" si="958"/>
        <v/>
      </c>
      <c r="OQ224" s="43" t="str">
        <f t="shared" si="959"/>
        <v/>
      </c>
      <c r="OR224" s="43" t="str">
        <f t="shared" si="960"/>
        <v/>
      </c>
      <c r="OS224" s="43" t="str">
        <f t="shared" si="961"/>
        <v/>
      </c>
      <c r="OT224" s="43" t="str">
        <f t="shared" si="962"/>
        <v/>
      </c>
      <c r="OU224" s="43" t="str">
        <f t="shared" si="963"/>
        <v/>
      </c>
      <c r="OV224" s="110" t="str">
        <f t="shared" si="964"/>
        <v/>
      </c>
      <c r="OW224" s="43" t="str">
        <f t="shared" si="965"/>
        <v/>
      </c>
      <c r="OX224" s="43" t="str">
        <f t="shared" si="966"/>
        <v/>
      </c>
      <c r="OY224" s="43" t="str">
        <f t="shared" si="967"/>
        <v/>
      </c>
      <c r="OZ224" s="43" t="str">
        <f t="shared" si="968"/>
        <v/>
      </c>
      <c r="PA224" s="43" t="str">
        <f t="shared" si="969"/>
        <v/>
      </c>
      <c r="PB224" s="43" t="str">
        <f t="shared" si="970"/>
        <v/>
      </c>
      <c r="PC224" s="43" t="str">
        <f t="shared" si="971"/>
        <v/>
      </c>
      <c r="PD224" s="43" t="str">
        <f t="shared" si="972"/>
        <v/>
      </c>
      <c r="PE224" s="43" t="str">
        <f t="shared" si="973"/>
        <v/>
      </c>
      <c r="PF224" s="43" t="str">
        <f t="shared" si="974"/>
        <v/>
      </c>
      <c r="PG224" s="43" t="str">
        <f t="shared" si="975"/>
        <v/>
      </c>
      <c r="PH224" s="43" t="str">
        <f t="shared" si="976"/>
        <v/>
      </c>
      <c r="PI224" s="43">
        <f t="shared" si="977"/>
        <v>19</v>
      </c>
      <c r="PJ224" s="43" t="str">
        <f t="shared" si="978"/>
        <v/>
      </c>
      <c r="PK224" s="43" t="str">
        <f t="shared" si="979"/>
        <v/>
      </c>
      <c r="PL224" s="43" t="str">
        <f t="shared" si="980"/>
        <v/>
      </c>
      <c r="PM224" s="43" t="str">
        <f t="shared" si="981"/>
        <v/>
      </c>
      <c r="PN224" s="43" t="str">
        <f t="shared" si="982"/>
        <v/>
      </c>
      <c r="PO224" s="43" t="str">
        <f t="shared" si="983"/>
        <v/>
      </c>
      <c r="PP224" s="43" t="str">
        <f t="shared" si="984"/>
        <v/>
      </c>
      <c r="PQ224" s="43" t="str">
        <f t="shared" si="985"/>
        <v/>
      </c>
      <c r="PR224" s="43" t="str">
        <f t="shared" si="986"/>
        <v/>
      </c>
      <c r="PS224" s="43" t="str">
        <f t="shared" si="987"/>
        <v/>
      </c>
      <c r="PT224" s="43" t="str">
        <f t="shared" si="988"/>
        <v>SOBREPESO</v>
      </c>
      <c r="PU224" s="43" t="str">
        <f t="shared" si="989"/>
        <v/>
      </c>
      <c r="PV224" s="43" t="str">
        <f t="shared" si="990"/>
        <v/>
      </c>
      <c r="PW224" s="43" t="str">
        <f t="shared" si="991"/>
        <v/>
      </c>
      <c r="PX224" s="43" t="str">
        <f t="shared" si="992"/>
        <v/>
      </c>
      <c r="PY224" s="43" t="str">
        <f t="shared" si="993"/>
        <v/>
      </c>
      <c r="PZ224" s="43" t="str">
        <f t="shared" si="994"/>
        <v/>
      </c>
      <c r="QA224" s="43" t="str">
        <f t="shared" si="995"/>
        <v/>
      </c>
      <c r="QB224" s="43" t="str">
        <f t="shared" si="996"/>
        <v/>
      </c>
      <c r="QC224" s="43" t="str">
        <f t="shared" si="997"/>
        <v/>
      </c>
      <c r="QD224" s="43" t="str">
        <f t="shared" si="998"/>
        <v/>
      </c>
      <c r="QE224" s="43" t="str">
        <f t="shared" si="999"/>
        <v/>
      </c>
      <c r="QF224" s="43" t="str">
        <f t="shared" si="1000"/>
        <v/>
      </c>
      <c r="QG224" s="43" t="str">
        <f t="shared" si="1001"/>
        <v/>
      </c>
      <c r="QH224" s="43" t="str">
        <f t="shared" si="1002"/>
        <v/>
      </c>
      <c r="QI224" s="43" t="str">
        <f t="shared" si="1003"/>
        <v/>
      </c>
      <c r="QJ224" s="43" t="str">
        <f t="shared" si="1004"/>
        <v/>
      </c>
      <c r="QK224" s="43" t="str">
        <f t="shared" si="1005"/>
        <v/>
      </c>
      <c r="QL224" s="43" t="str">
        <f t="shared" si="1006"/>
        <v/>
      </c>
      <c r="QM224" s="43" t="str">
        <f t="shared" si="1007"/>
        <v/>
      </c>
      <c r="QN224" s="43" t="str">
        <f t="shared" si="1008"/>
        <v/>
      </c>
      <c r="QO224" s="43" t="str">
        <f t="shared" si="1009"/>
        <v/>
      </c>
      <c r="QP224" s="43" t="str">
        <f t="shared" si="1010"/>
        <v/>
      </c>
      <c r="QQ224" s="43" t="str">
        <f t="shared" si="1011"/>
        <v/>
      </c>
      <c r="QR224" s="43">
        <f t="shared" si="1012"/>
        <v>19</v>
      </c>
      <c r="QS224" s="43"/>
      <c r="QT224" s="21" t="str">
        <f t="shared" si="1013"/>
        <v/>
      </c>
      <c r="QU224" s="21" t="str">
        <f t="shared" si="1014"/>
        <v/>
      </c>
      <c r="QV224" s="21" t="str">
        <f t="shared" si="1015"/>
        <v/>
      </c>
      <c r="QW224" s="21" t="str">
        <f t="shared" si="1016"/>
        <v/>
      </c>
      <c r="QX224" s="21" t="str">
        <f t="shared" si="1017"/>
        <v/>
      </c>
      <c r="QY224" s="21" t="str">
        <f t="shared" si="1018"/>
        <v/>
      </c>
      <c r="QZ224" s="21" t="str">
        <f t="shared" si="1019"/>
        <v>BAJO PARA EDAD GESTACIONAL</v>
      </c>
      <c r="RA224" s="21" t="str">
        <f t="shared" si="1020"/>
        <v/>
      </c>
      <c r="RB224" s="21" t="str">
        <f t="shared" si="1021"/>
        <v/>
      </c>
      <c r="RC224" s="21" t="str">
        <f t="shared" si="1022"/>
        <v/>
      </c>
      <c r="RD224" s="21" t="str">
        <f t="shared" si="1023"/>
        <v/>
      </c>
      <c r="RE224" s="21" t="str">
        <f t="shared" si="1024"/>
        <v/>
      </c>
      <c r="RF224" s="21" t="str">
        <f t="shared" si="1025"/>
        <v/>
      </c>
      <c r="RG224" s="21" t="str">
        <f t="shared" si="1026"/>
        <v/>
      </c>
      <c r="RH224" s="21" t="str">
        <f t="shared" si="1027"/>
        <v/>
      </c>
      <c r="RI224" s="21" t="str">
        <f t="shared" si="1028"/>
        <v/>
      </c>
      <c r="RJ224" s="21" t="str">
        <f t="shared" si="1029"/>
        <v/>
      </c>
      <c r="RK224" s="21" t="str">
        <f t="shared" si="1030"/>
        <v/>
      </c>
      <c r="RL224" s="21" t="str">
        <f t="shared" si="1031"/>
        <v/>
      </c>
      <c r="RM224" s="21" t="str">
        <f t="shared" si="1032"/>
        <v/>
      </c>
      <c r="RN224" s="21" t="str">
        <f t="shared" si="1033"/>
        <v/>
      </c>
      <c r="RO224" s="21" t="str">
        <f t="shared" si="1034"/>
        <v/>
      </c>
      <c r="RP224" s="21" t="str">
        <f t="shared" si="1035"/>
        <v/>
      </c>
      <c r="RQ224" s="21" t="str">
        <f t="shared" si="1036"/>
        <v/>
      </c>
      <c r="RR224" s="21" t="str">
        <f t="shared" si="1037"/>
        <v/>
      </c>
      <c r="RS224" s="21" t="str">
        <f t="shared" si="1038"/>
        <v/>
      </c>
      <c r="RT224" s="21" t="str">
        <f t="shared" si="1039"/>
        <v/>
      </c>
      <c r="RU224" s="21" t="str">
        <f t="shared" si="1040"/>
        <v/>
      </c>
      <c r="RV224" s="21">
        <f t="shared" si="1041"/>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42"/>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41"/>
        <v>33.495890410958907</v>
      </c>
      <c r="O225" s="22">
        <v>45141</v>
      </c>
      <c r="P225" s="214" t="str">
        <f t="shared" si="919"/>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2"/>
        <v>126</v>
      </c>
      <c r="BR225" s="223">
        <f t="shared" si="843"/>
        <v>44944.6</v>
      </c>
      <c r="BS225" s="224">
        <f t="shared" si="844"/>
        <v>28.142857142857142</v>
      </c>
      <c r="BT225" s="216" t="str">
        <f t="shared" si="845"/>
        <v>III TRIM</v>
      </c>
      <c r="BU225" s="214">
        <f t="shared" ca="1" si="928"/>
        <v>41.142857142857146</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7"/>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8"/>
        <v>45141</v>
      </c>
      <c r="CL225" s="21">
        <v>57</v>
      </c>
      <c r="CM225" s="214">
        <f t="shared" si="849"/>
        <v>27.874223678419487</v>
      </c>
      <c r="CN225" s="216">
        <f t="shared" si="850"/>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5"/>
        <v/>
      </c>
      <c r="DA225" s="21">
        <v>90</v>
      </c>
      <c r="DB225" s="21">
        <v>60</v>
      </c>
      <c r="DC225" s="217" t="str">
        <f t="shared" si="851"/>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20"/>
        <v>CONCERTAR PLAN DE PARTO INMEDIATO</v>
      </c>
      <c r="DV225" s="226" t="str">
        <f t="shared" si="921"/>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2"/>
        <v>#REF!</v>
      </c>
      <c r="DY225" s="212">
        <f>IF(R225="","",IF(R225&gt;0,MAX(Tabla1[[#This Row],[FECHA C2]:[FECHA C13]],Tabla1[[#This Row],[FECHA CONSULTA PRIMERA VEZ PROGRAMA CPN ]])))</f>
        <v>45141</v>
      </c>
      <c r="DZ225" s="216">
        <f t="shared" si="853"/>
        <v>28</v>
      </c>
      <c r="EA225" s="222">
        <f>IF(R225&gt;0,SUM(COUNTA(DF225:DQ225)+COUNTA(Tabla1[[#This Row],[FECHA CONSULTA PRIMERA VEZ PROGRAMA CPN ]])),"")</f>
        <v>1</v>
      </c>
      <c r="EB225" s="222" t="str">
        <f t="shared" si="854"/>
        <v>NO</v>
      </c>
      <c r="EC225" s="214">
        <f t="shared" si="855"/>
        <v>4</v>
      </c>
      <c r="ED225" s="227">
        <f t="shared" si="856"/>
        <v>0.25</v>
      </c>
      <c r="EE225" s="22">
        <v>45141</v>
      </c>
      <c r="EF225" s="22">
        <v>45141</v>
      </c>
      <c r="EG225" s="22">
        <v>45141</v>
      </c>
      <c r="EH225" s="22"/>
      <c r="EI225" s="22">
        <v>45141</v>
      </c>
      <c r="EJ225" s="22"/>
      <c r="EK225" s="22"/>
      <c r="EL225" s="21"/>
      <c r="EM225" s="21">
        <v>12</v>
      </c>
      <c r="EN225" s="22">
        <v>45149</v>
      </c>
      <c r="EO225" s="222">
        <f t="shared" si="857"/>
        <v>29.285714285714285</v>
      </c>
      <c r="EP225" s="214" t="str">
        <f t="shared" si="858"/>
        <v>NORMAL- SUMINISTRAR SULFATO FERROSO</v>
      </c>
      <c r="EQ225" s="216" t="str">
        <f t="shared" si="859"/>
        <v>III TRIM</v>
      </c>
      <c r="ER225" s="24"/>
      <c r="ES225" s="22"/>
      <c r="ET225" s="29" t="str">
        <f t="shared" ca="1" si="922"/>
        <v>TOMA DE HEMOGLOBINA TARDÍA</v>
      </c>
      <c r="EU225" s="25" t="str">
        <f t="shared" si="860"/>
        <v/>
      </c>
      <c r="EV225" s="24"/>
      <c r="EW225" s="22"/>
      <c r="EX225" s="22"/>
      <c r="EY225" s="29" t="str">
        <f t="shared" si="1043"/>
        <v>TOMAR EXAMEN</v>
      </c>
      <c r="EZ225" s="25" t="str">
        <f t="shared" ca="1" si="1044"/>
        <v/>
      </c>
      <c r="FA225" s="21"/>
      <c r="FB225" s="22"/>
      <c r="FC225" s="29" t="str">
        <f t="shared" si="861"/>
        <v>PIERDE TOMA TAMIZAJE- INGRESO TARDIO</v>
      </c>
      <c r="FD225" s="29">
        <v>65</v>
      </c>
      <c r="FE225" s="29">
        <v>94</v>
      </c>
      <c r="FF225" s="29">
        <v>109</v>
      </c>
      <c r="FG225" s="21" t="str">
        <f t="shared" ca="1" si="862"/>
        <v>NORMAL</v>
      </c>
      <c r="FH225" s="31">
        <v>45149</v>
      </c>
      <c r="FI225" s="29">
        <f t="shared" si="863"/>
        <v>29.285714285714285</v>
      </c>
      <c r="FJ225" s="22"/>
      <c r="FK225" s="22"/>
      <c r="FL225" s="29" t="str">
        <f t="shared" ca="1" si="864"/>
        <v>NO APLICA-INGRESO TARDIO</v>
      </c>
      <c r="FM225" s="22"/>
      <c r="FN225" s="32"/>
      <c r="FO225" s="29" t="str">
        <f t="shared" ca="1" si="923"/>
        <v>NO APLICA-INGRESO TARDIO</v>
      </c>
      <c r="FP225" s="22" t="s">
        <v>867</v>
      </c>
      <c r="FQ225" s="32">
        <v>45149</v>
      </c>
      <c r="FR225" s="29">
        <f t="shared" ca="1" si="924"/>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5"/>
        <v>TOMAR EXAMEN</v>
      </c>
      <c r="FY225" s="22"/>
      <c r="FZ225" s="22"/>
      <c r="GA225" s="29" t="str">
        <f t="shared" ca="1" si="939"/>
        <v>NO APLICA-INGRESO TARDIO</v>
      </c>
      <c r="GB225" s="22"/>
      <c r="GC225" s="22"/>
      <c r="GD225" s="29" t="str">
        <f t="shared" ca="1" si="940"/>
        <v>NO APLICA-INGRESO TARDIO</v>
      </c>
      <c r="GE225" s="22" t="s">
        <v>868</v>
      </c>
      <c r="GF225" s="22">
        <v>45149</v>
      </c>
      <c r="GG225" s="29">
        <f t="shared" ca="1" si="926"/>
        <v>29.285714285714285</v>
      </c>
      <c r="GH225" s="22"/>
      <c r="GI225" s="29"/>
      <c r="GJ225" s="22"/>
      <c r="GK225" s="22"/>
      <c r="GL225" s="22"/>
      <c r="GM225" s="22"/>
      <c r="GN225" s="28" t="s">
        <v>869</v>
      </c>
      <c r="GO225" s="22">
        <v>45149</v>
      </c>
      <c r="GP225" s="29">
        <f t="shared" si="866"/>
        <v>29.285714285714285</v>
      </c>
      <c r="GQ225" s="28" t="s">
        <v>880</v>
      </c>
      <c r="GR225" s="28" t="s">
        <v>869</v>
      </c>
      <c r="GS225" s="22" t="str">
        <f t="shared" ref="GS225:GS248" si="1047">IF(GQ225="NEGATIVO","CONTROL Igm",IF(AND(GQ225="POSITIVO",GR225="NEGATIVO"),"SE EXCLUYE INFECCION",IF(AND(GQ225="POSITIVO",GR225="POSITIVO"),"TOXOPLASMOSIS, REMITIR PARA MANEJO","")))</f>
        <v>SE EXCLUYE INFECCION</v>
      </c>
      <c r="GT225" s="22">
        <v>45149</v>
      </c>
      <c r="GU225" s="29">
        <f t="shared" si="867"/>
        <v>29.285714285714285</v>
      </c>
      <c r="GV225" s="21" t="str">
        <f t="shared" si="868"/>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9"/>
        <v>#REF!</v>
      </c>
      <c r="HI225" s="22" t="e">
        <f t="shared" ca="1" si="870"/>
        <v>#REF!</v>
      </c>
      <c r="HJ225" s="21" t="str">
        <f t="shared" ca="1" si="871"/>
        <v>***************PRESENTACIÓN FETAL PODALICA O TRANSVERSA************EMBARAZO PROLONGADO************</v>
      </c>
      <c r="HK225" s="21" t="str">
        <f t="shared" si="872"/>
        <v>SIN ANTECEDENTES DE RIESGO</v>
      </c>
      <c r="HL225" s="24" t="str">
        <f t="shared" si="873"/>
        <v>APARENTEMENTE NORMAL</v>
      </c>
      <c r="HM225" s="21" t="e">
        <f t="shared" ca="1" si="874"/>
        <v>#REF!</v>
      </c>
      <c r="HN225" s="30" t="str">
        <f t="shared" si="927"/>
        <v>ACTIVA INGRESO A CPN</v>
      </c>
      <c r="HO225" s="21"/>
      <c r="HP225" s="21"/>
      <c r="HQ225" s="349"/>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5"/>
        <v>PENDIENTE CONSULTA</v>
      </c>
      <c r="IA225" s="26"/>
      <c r="IB225" s="26"/>
      <c r="IC225" s="111"/>
      <c r="ID225" s="22"/>
      <c r="IE225" s="22" t="str">
        <f t="shared" ca="1" si="876"/>
        <v>INASISTENTE</v>
      </c>
      <c r="IF225" s="22"/>
      <c r="IG225" s="22">
        <f t="shared" si="877"/>
        <v>45224</v>
      </c>
      <c r="IH225" s="29">
        <f t="shared" ca="1" si="878"/>
        <v>-8</v>
      </c>
      <c r="II225" s="22" t="str">
        <f t="shared" ca="1" si="879"/>
        <v>POSIBLEMENTE NACIO</v>
      </c>
      <c r="IJ225" s="22"/>
      <c r="IK225" s="21"/>
      <c r="IL225" s="21"/>
      <c r="IM225" s="34"/>
      <c r="IN225" s="22"/>
      <c r="IO225" s="21"/>
      <c r="IP225" s="29" t="str">
        <f t="shared" si="880"/>
        <v/>
      </c>
      <c r="IQ225" s="35"/>
      <c r="IR225" s="21"/>
      <c r="IS225" s="21"/>
      <c r="IT225" s="21"/>
      <c r="IU225" s="21"/>
      <c r="IV225" s="21"/>
      <c r="IW225" s="21"/>
      <c r="IX225" s="21"/>
      <c r="IY225" s="21"/>
      <c r="IZ225" s="21"/>
      <c r="JA225" s="21"/>
      <c r="JB225" s="30"/>
      <c r="JC225" s="21"/>
      <c r="JD225" s="36"/>
      <c r="JE225" s="21" t="str">
        <f t="shared" si="881"/>
        <v/>
      </c>
      <c r="JF225" s="30"/>
      <c r="JG225" s="21"/>
      <c r="JH225" s="21"/>
      <c r="JI225" s="21"/>
      <c r="JJ225" s="30"/>
      <c r="JK225" s="22"/>
      <c r="JL225" s="22"/>
      <c r="JM225" s="21"/>
      <c r="JN225" s="36"/>
      <c r="JO225" s="21" t="str">
        <f t="shared" si="882"/>
        <v/>
      </c>
      <c r="JP225" s="22"/>
      <c r="JQ225" s="21"/>
      <c r="JR225" s="21"/>
      <c r="JS225" s="21"/>
      <c r="JT225" s="30"/>
      <c r="JU225" s="22"/>
      <c r="JV225" s="22"/>
      <c r="JW225" s="33"/>
      <c r="JX225" s="28" t="str">
        <f t="shared" si="883"/>
        <v/>
      </c>
      <c r="JY225" s="33"/>
      <c r="JZ225" s="28" t="str">
        <f t="shared" si="884"/>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5"/>
        <v>0</v>
      </c>
      <c r="MI225" s="43" t="str">
        <f t="shared" si="929"/>
        <v/>
      </c>
      <c r="MJ225" s="43" t="str">
        <f t="shared" si="887"/>
        <v/>
      </c>
      <c r="MK225" s="43">
        <f t="shared" si="888"/>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30"/>
        <v>28.142857142857142</v>
      </c>
      <c r="MN225" s="43">
        <f t="shared" si="931"/>
        <v>8</v>
      </c>
      <c r="MO225" s="43">
        <f t="shared" si="932"/>
        <v>2023</v>
      </c>
      <c r="MP225" s="43" t="str">
        <f t="shared" si="892"/>
        <v>III TRIMESTRE AÑO</v>
      </c>
      <c r="MQ225" s="43">
        <f t="shared" si="933"/>
        <v>32.742006132282086</v>
      </c>
      <c r="MR225" s="43">
        <f t="shared" si="894"/>
        <v>0</v>
      </c>
      <c r="MS225" s="43" t="str">
        <f t="shared" si="895"/>
        <v xml:space="preserve"> DE 30 A 34 AÑOS</v>
      </c>
      <c r="MT225" s="43">
        <f t="shared" si="896"/>
        <v>0</v>
      </c>
      <c r="MU225" s="43">
        <f t="shared" si="897"/>
        <v>0</v>
      </c>
      <c r="MV225" s="43">
        <f t="shared" si="898"/>
        <v>0</v>
      </c>
      <c r="MW225" s="43">
        <f t="shared" si="899"/>
        <v>0</v>
      </c>
      <c r="MX225" s="43" t="str">
        <f t="shared" si="900"/>
        <v/>
      </c>
      <c r="MY225" s="43">
        <f t="shared" ca="1" si="901"/>
        <v>1</v>
      </c>
      <c r="MZ225" s="43" t="str">
        <f t="shared" si="902"/>
        <v/>
      </c>
      <c r="NA225" s="43">
        <f t="shared" si="903"/>
        <v>3</v>
      </c>
      <c r="NB225" s="43" t="str">
        <f t="shared" si="904"/>
        <v/>
      </c>
      <c r="NC225" s="43" t="str">
        <f t="shared" si="905"/>
        <v/>
      </c>
      <c r="ND225" s="43">
        <f t="shared" ca="1" si="934"/>
        <v>4</v>
      </c>
      <c r="NE225" s="43">
        <f>IF(OR(O225&gt;0,R225&gt;0),SUM(COUNTIF(Tabla1[[#This Row],[AÑOS AL INICIO5 CPN]],"&gt;=40"),COUNTIF(AS225,"0"),COUNTIF(AR225,"SI"),COUNTIF(CC225,"SI"),COUNTIF(BQ225,"&gt;119"),COUNTIF(CI225,"&gt;=35")),"")</f>
        <v>1</v>
      </c>
      <c r="NF225" s="43" t="str">
        <f t="shared" si="935"/>
        <v/>
      </c>
      <c r="NG225" s="43">
        <f t="shared" si="908"/>
        <v>0</v>
      </c>
      <c r="NH225" s="43">
        <f t="shared" si="909"/>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6"/>
        <v>X</v>
      </c>
      <c r="NM225" s="43" t="str">
        <f t="shared" si="941"/>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12"/>
        <v>III TRIM</v>
      </c>
      <c r="NQ225" s="21" t="str">
        <f t="shared" si="1046"/>
        <v/>
      </c>
      <c r="NR225" s="21">
        <f t="shared" si="937"/>
        <v>1</v>
      </c>
      <c r="NS225" s="205">
        <f t="shared" ca="1" si="914"/>
        <v>1</v>
      </c>
      <c r="NT225" s="21">
        <f t="shared" ca="1" si="915"/>
        <v>1</v>
      </c>
      <c r="NU225" s="21" t="str">
        <f t="shared" ca="1" si="916"/>
        <v>COMPLETO</v>
      </c>
      <c r="NV225" s="21" t="str">
        <f t="shared" ca="1" si="917"/>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8"/>
        <v>SIN VACUNAR</v>
      </c>
      <c r="NY225" s="43">
        <f>ROW(Tabla1[[#This Row],['# DE TAMIZAJES SIFILIS TOMADOS ]])</f>
        <v>225</v>
      </c>
      <c r="NZ225" s="43">
        <f t="shared" si="942"/>
        <v>28</v>
      </c>
      <c r="OA225" s="43" t="str">
        <f t="shared" si="943"/>
        <v/>
      </c>
      <c r="OB225" s="43" t="str">
        <f t="shared" si="944"/>
        <v/>
      </c>
      <c r="OC225" s="43" t="str">
        <f t="shared" si="945"/>
        <v/>
      </c>
      <c r="OD225" s="43" t="str">
        <f t="shared" si="946"/>
        <v/>
      </c>
      <c r="OE225" s="43" t="str">
        <f t="shared" si="947"/>
        <v/>
      </c>
      <c r="OF225" s="43" t="str">
        <f t="shared" si="948"/>
        <v/>
      </c>
      <c r="OG225" s="43" t="str">
        <f t="shared" si="949"/>
        <v/>
      </c>
      <c r="OH225" s="43" t="str">
        <f t="shared" si="950"/>
        <v/>
      </c>
      <c r="OI225" s="43" t="str">
        <f t="shared" si="951"/>
        <v/>
      </c>
      <c r="OJ225" s="43" t="str">
        <f t="shared" si="952"/>
        <v/>
      </c>
      <c r="OK225" s="43" t="str">
        <f t="shared" si="953"/>
        <v/>
      </c>
      <c r="OL225" s="43" t="str">
        <f t="shared" si="954"/>
        <v/>
      </c>
      <c r="OM225" s="43" t="str">
        <f t="shared" si="955"/>
        <v/>
      </c>
      <c r="ON225" s="43" t="str">
        <f t="shared" si="956"/>
        <v/>
      </c>
      <c r="OO225" s="43" t="str">
        <f t="shared" si="957"/>
        <v/>
      </c>
      <c r="OP225" s="43" t="str">
        <f t="shared" si="958"/>
        <v/>
      </c>
      <c r="OQ225" s="43" t="str">
        <f t="shared" si="959"/>
        <v/>
      </c>
      <c r="OR225" s="43" t="str">
        <f t="shared" si="960"/>
        <v/>
      </c>
      <c r="OS225" s="43" t="str">
        <f t="shared" si="961"/>
        <v/>
      </c>
      <c r="OT225" s="43" t="str">
        <f t="shared" si="962"/>
        <v>SOBREPESO</v>
      </c>
      <c r="OU225" s="43" t="str">
        <f t="shared" si="963"/>
        <v/>
      </c>
      <c r="OV225" s="110" t="str">
        <f t="shared" si="964"/>
        <v/>
      </c>
      <c r="OW225" s="43" t="str">
        <f t="shared" si="965"/>
        <v/>
      </c>
      <c r="OX225" s="43" t="str">
        <f t="shared" si="966"/>
        <v/>
      </c>
      <c r="OY225" s="43" t="str">
        <f t="shared" si="967"/>
        <v/>
      </c>
      <c r="OZ225" s="43" t="str">
        <f t="shared" si="968"/>
        <v/>
      </c>
      <c r="PA225" s="43" t="str">
        <f t="shared" si="969"/>
        <v/>
      </c>
      <c r="PB225" s="43" t="str">
        <f t="shared" si="970"/>
        <v/>
      </c>
      <c r="PC225" s="43" t="str">
        <f t="shared" si="971"/>
        <v/>
      </c>
      <c r="PD225" s="43" t="str">
        <f t="shared" si="972"/>
        <v/>
      </c>
      <c r="PE225" s="43" t="str">
        <f t="shared" si="973"/>
        <v/>
      </c>
      <c r="PF225" s="43" t="str">
        <f t="shared" si="974"/>
        <v/>
      </c>
      <c r="PG225" s="43" t="str">
        <f t="shared" si="975"/>
        <v/>
      </c>
      <c r="PH225" s="43" t="str">
        <f t="shared" si="976"/>
        <v/>
      </c>
      <c r="PI225" s="43">
        <f t="shared" si="977"/>
        <v>28</v>
      </c>
      <c r="PJ225" s="43" t="str">
        <f t="shared" si="978"/>
        <v/>
      </c>
      <c r="PK225" s="43" t="str">
        <f t="shared" si="979"/>
        <v/>
      </c>
      <c r="PL225" s="43" t="str">
        <f t="shared" si="980"/>
        <v/>
      </c>
      <c r="PM225" s="43" t="str">
        <f t="shared" si="981"/>
        <v/>
      </c>
      <c r="PN225" s="43" t="str">
        <f t="shared" si="982"/>
        <v/>
      </c>
      <c r="PO225" s="43" t="str">
        <f t="shared" si="983"/>
        <v/>
      </c>
      <c r="PP225" s="43" t="str">
        <f t="shared" si="984"/>
        <v/>
      </c>
      <c r="PQ225" s="43" t="str">
        <f t="shared" si="985"/>
        <v/>
      </c>
      <c r="PR225" s="43" t="str">
        <f t="shared" si="986"/>
        <v/>
      </c>
      <c r="PS225" s="43" t="str">
        <f t="shared" si="987"/>
        <v/>
      </c>
      <c r="PT225" s="43" t="str">
        <f t="shared" si="988"/>
        <v/>
      </c>
      <c r="PU225" s="43" t="str">
        <f t="shared" si="989"/>
        <v/>
      </c>
      <c r="PV225" s="43" t="str">
        <f t="shared" si="990"/>
        <v/>
      </c>
      <c r="PW225" s="43" t="str">
        <f t="shared" si="991"/>
        <v/>
      </c>
      <c r="PX225" s="43" t="str">
        <f t="shared" si="992"/>
        <v/>
      </c>
      <c r="PY225" s="43" t="str">
        <f t="shared" si="993"/>
        <v/>
      </c>
      <c r="PZ225" s="43" t="str">
        <f t="shared" si="994"/>
        <v/>
      </c>
      <c r="QA225" s="43" t="str">
        <f t="shared" si="995"/>
        <v/>
      </c>
      <c r="QB225" s="43" t="str">
        <f t="shared" si="996"/>
        <v/>
      </c>
      <c r="QC225" s="43" t="str">
        <f t="shared" si="997"/>
        <v>SOBREPESO</v>
      </c>
      <c r="QD225" s="43" t="str">
        <f t="shared" si="998"/>
        <v/>
      </c>
      <c r="QE225" s="43" t="str">
        <f t="shared" si="999"/>
        <v/>
      </c>
      <c r="QF225" s="43" t="str">
        <f t="shared" si="1000"/>
        <v/>
      </c>
      <c r="QG225" s="43" t="str">
        <f t="shared" si="1001"/>
        <v/>
      </c>
      <c r="QH225" s="43" t="str">
        <f t="shared" si="1002"/>
        <v/>
      </c>
      <c r="QI225" s="43" t="str">
        <f t="shared" si="1003"/>
        <v/>
      </c>
      <c r="QJ225" s="43" t="str">
        <f t="shared" si="1004"/>
        <v/>
      </c>
      <c r="QK225" s="43" t="str">
        <f t="shared" si="1005"/>
        <v/>
      </c>
      <c r="QL225" s="43" t="str">
        <f t="shared" si="1006"/>
        <v/>
      </c>
      <c r="QM225" s="43" t="str">
        <f t="shared" si="1007"/>
        <v/>
      </c>
      <c r="QN225" s="43" t="str">
        <f t="shared" si="1008"/>
        <v/>
      </c>
      <c r="QO225" s="43" t="str">
        <f t="shared" si="1009"/>
        <v/>
      </c>
      <c r="QP225" s="43" t="str">
        <f t="shared" si="1010"/>
        <v/>
      </c>
      <c r="QQ225" s="43" t="str">
        <f t="shared" si="1011"/>
        <v/>
      </c>
      <c r="QR225" s="43">
        <f t="shared" si="1012"/>
        <v>28</v>
      </c>
      <c r="QS225" s="43"/>
      <c r="QT225" s="21" t="str">
        <f t="shared" si="1013"/>
        <v/>
      </c>
      <c r="QU225" s="21" t="str">
        <f t="shared" si="1014"/>
        <v/>
      </c>
      <c r="QV225" s="21" t="str">
        <f t="shared" si="1015"/>
        <v/>
      </c>
      <c r="QW225" s="21" t="str">
        <f t="shared" si="1016"/>
        <v/>
      </c>
      <c r="QX225" s="21" t="str">
        <f t="shared" si="1017"/>
        <v/>
      </c>
      <c r="QY225" s="21" t="str">
        <f t="shared" si="1018"/>
        <v/>
      </c>
      <c r="QZ225" s="21" t="str">
        <f t="shared" si="1019"/>
        <v/>
      </c>
      <c r="RA225" s="21" t="str">
        <f t="shared" si="1020"/>
        <v/>
      </c>
      <c r="RB225" s="21" t="str">
        <f t="shared" si="1021"/>
        <v/>
      </c>
      <c r="RC225" s="21" t="str">
        <f t="shared" si="1022"/>
        <v/>
      </c>
      <c r="RD225" s="21" t="str">
        <f t="shared" si="1023"/>
        <v/>
      </c>
      <c r="RE225" s="21" t="str">
        <f t="shared" si="1024"/>
        <v/>
      </c>
      <c r="RF225" s="21" t="str">
        <f t="shared" si="1025"/>
        <v/>
      </c>
      <c r="RG225" s="21" t="str">
        <f t="shared" si="1026"/>
        <v/>
      </c>
      <c r="RH225" s="21" t="str">
        <f t="shared" si="1027"/>
        <v/>
      </c>
      <c r="RI225" s="21" t="str">
        <f t="shared" si="1028"/>
        <v/>
      </c>
      <c r="RJ225" s="21" t="str">
        <f t="shared" si="1029"/>
        <v/>
      </c>
      <c r="RK225" s="21" t="str">
        <f t="shared" si="1030"/>
        <v/>
      </c>
      <c r="RL225" s="21" t="str">
        <f t="shared" si="1031"/>
        <v/>
      </c>
      <c r="RM225" s="21" t="str">
        <f t="shared" si="1032"/>
        <v/>
      </c>
      <c r="RN225" s="21" t="str">
        <f t="shared" si="1033"/>
        <v/>
      </c>
      <c r="RO225" s="21" t="str">
        <f t="shared" si="1034"/>
        <v/>
      </c>
      <c r="RP225" s="21" t="str">
        <f t="shared" si="1035"/>
        <v/>
      </c>
      <c r="RQ225" s="21" t="str">
        <f t="shared" si="1036"/>
        <v/>
      </c>
      <c r="RR225" s="21" t="str">
        <f t="shared" si="1037"/>
        <v/>
      </c>
      <c r="RS225" s="21" t="str">
        <f t="shared" si="1038"/>
        <v/>
      </c>
      <c r="RT225" s="21" t="str">
        <f t="shared" si="1039"/>
        <v/>
      </c>
      <c r="RU225" s="21" t="str">
        <f t="shared" si="1040"/>
        <v/>
      </c>
      <c r="RV225" s="21">
        <f t="shared" si="1041"/>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42"/>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41"/>
        <v>25.873972602739727</v>
      </c>
      <c r="O226" s="22">
        <v>45128</v>
      </c>
      <c r="P226" s="214" t="str">
        <f t="shared" si="919"/>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2"/>
        <v>55.133333333333333</v>
      </c>
      <c r="BR226" s="223">
        <f t="shared" si="843"/>
        <v>45055.9</v>
      </c>
      <c r="BS226" s="224">
        <f t="shared" si="844"/>
        <v>10.428571428571429</v>
      </c>
      <c r="BT226" s="216" t="str">
        <f t="shared" si="845"/>
        <v>II TRIM</v>
      </c>
      <c r="BU226" s="214">
        <f t="shared" ca="1" si="928"/>
        <v>25.285714285714285</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7"/>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8"/>
        <v>45128</v>
      </c>
      <c r="CL226" s="21">
        <v>64.7</v>
      </c>
      <c r="CM226" s="214">
        <f t="shared" si="849"/>
        <v>24.351688057510636</v>
      </c>
      <c r="CN226" s="216">
        <f t="shared" si="850"/>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5"/>
        <v/>
      </c>
      <c r="DA226" s="21">
        <v>90</v>
      </c>
      <c r="DB226" s="21">
        <v>60</v>
      </c>
      <c r="DC226" s="217" t="str">
        <f t="shared" si="851"/>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20"/>
        <v>EN ESPERA</v>
      </c>
      <c r="DV226" s="226" t="str">
        <f t="shared" si="921"/>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2"/>
        <v>#REF!</v>
      </c>
      <c r="DY226" s="212">
        <f>IF(R226="","",IF(R226&gt;0,MAX(Tabla1[[#This Row],[FECHA C2]:[FECHA C13]],Tabla1[[#This Row],[FECHA CONSULTA PRIMERA VEZ PROGRAMA CPN ]])))</f>
        <v>45128</v>
      </c>
      <c r="DZ226" s="216">
        <f t="shared" si="853"/>
        <v>10</v>
      </c>
      <c r="EA226" s="222">
        <f>IF(R226&gt;0,SUM(COUNTA(DF226:DQ226)+COUNTA(Tabla1[[#This Row],[FECHA CONSULTA PRIMERA VEZ PROGRAMA CPN ]])),"")</f>
        <v>1</v>
      </c>
      <c r="EB226" s="222" t="str">
        <f t="shared" si="854"/>
        <v>NO</v>
      </c>
      <c r="EC226" s="214">
        <f t="shared" si="855"/>
        <v>9</v>
      </c>
      <c r="ED226" s="227">
        <f t="shared" si="856"/>
        <v>0.1111111111111111</v>
      </c>
      <c r="EE226" s="22">
        <v>45128</v>
      </c>
      <c r="EF226" s="22"/>
      <c r="EG226" s="22">
        <v>45128</v>
      </c>
      <c r="EH226" s="22"/>
      <c r="EI226" s="22">
        <v>45128</v>
      </c>
      <c r="EJ226" s="22"/>
      <c r="EK226" s="22"/>
      <c r="EL226" s="21"/>
      <c r="EM226" s="21">
        <v>13.2</v>
      </c>
      <c r="EN226" s="22">
        <v>45128</v>
      </c>
      <c r="EO226" s="222">
        <f t="shared" si="857"/>
        <v>10.428571428571429</v>
      </c>
      <c r="EP226" s="214" t="str">
        <f t="shared" si="858"/>
        <v>NORMAL- SUMINISTRAR SULFATO FERROSO</v>
      </c>
      <c r="EQ226" s="216" t="str">
        <f t="shared" si="859"/>
        <v>I TRIM</v>
      </c>
      <c r="ER226" s="24"/>
      <c r="ES226" s="22"/>
      <c r="ET226" s="29" t="str">
        <f t="shared" ca="1" si="922"/>
        <v>PROGRAMAR TOMA HEMOGLOBINA A SEM 28</v>
      </c>
      <c r="EU226" s="25" t="str">
        <f t="shared" si="860"/>
        <v/>
      </c>
      <c r="EV226" s="24" t="s">
        <v>1510</v>
      </c>
      <c r="EW226" s="22">
        <v>45128</v>
      </c>
      <c r="EX226" s="22"/>
      <c r="EY226" s="29">
        <f t="shared" si="1043"/>
        <v>10.428571428571429</v>
      </c>
      <c r="EZ226" s="25" t="str">
        <f t="shared" si="1044"/>
        <v>SIN RIESGO DE ISOINMUNIZACIÓN</v>
      </c>
      <c r="FA226" s="21">
        <v>93</v>
      </c>
      <c r="FB226" s="22">
        <v>45128</v>
      </c>
      <c r="FC226" s="29">
        <f t="shared" si="861"/>
        <v>10.428571428571429</v>
      </c>
      <c r="FD226" s="29"/>
      <c r="FE226" s="29"/>
      <c r="FF226" s="29"/>
      <c r="FG226" s="21" t="str">
        <f t="shared" ca="1" si="862"/>
        <v>TOMAR PTOG</v>
      </c>
      <c r="FH226" s="31"/>
      <c r="FI226" s="29" t="str">
        <f t="shared" si="863"/>
        <v>TOMAR EXAMEN</v>
      </c>
      <c r="FJ226" s="22" t="s">
        <v>867</v>
      </c>
      <c r="FK226" s="22">
        <v>45128</v>
      </c>
      <c r="FL226" s="29">
        <f t="shared" ca="1" si="864"/>
        <v>10.428571428571429</v>
      </c>
      <c r="FM226" s="22"/>
      <c r="FN226" s="32"/>
      <c r="FO226" s="29" t="str">
        <f t="shared" ca="1" si="923"/>
        <v>TOMA INMEDIATA DE TAMIZAJE</v>
      </c>
      <c r="FP226" s="22"/>
      <c r="FQ226" s="32"/>
      <c r="FR226" s="29" t="str">
        <f t="shared" ca="1" si="924"/>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5"/>
        <v>TOMAR EXAMEN</v>
      </c>
      <c r="FY226" s="22" t="s">
        <v>868</v>
      </c>
      <c r="FZ226" s="22">
        <v>45128</v>
      </c>
      <c r="GA226" s="29">
        <f t="shared" ca="1" si="939"/>
        <v>10.428571428571429</v>
      </c>
      <c r="GB226" s="22"/>
      <c r="GC226" s="22"/>
      <c r="GD226" s="29" t="str">
        <f t="shared" ca="1" si="940"/>
        <v>TOMA INMEDIATA DE TAMIZAJE</v>
      </c>
      <c r="GE226" s="22"/>
      <c r="GF226" s="22"/>
      <c r="GG226" s="29" t="str">
        <f t="shared" ca="1" si="926"/>
        <v>EN ESPERA-ESTÁ I TRIM O II TRIM</v>
      </c>
      <c r="GH226" s="22"/>
      <c r="GI226" s="29"/>
      <c r="GJ226" s="22"/>
      <c r="GK226" s="22"/>
      <c r="GL226" s="22"/>
      <c r="GM226" s="22"/>
      <c r="GN226" s="28" t="s">
        <v>869</v>
      </c>
      <c r="GO226" s="22">
        <v>45128</v>
      </c>
      <c r="GP226" s="29">
        <f t="shared" si="866"/>
        <v>10.428571428571429</v>
      </c>
      <c r="GQ226" s="28" t="s">
        <v>869</v>
      </c>
      <c r="GR226" s="28" t="s">
        <v>869</v>
      </c>
      <c r="GS226" s="22" t="str">
        <f t="shared" si="1047"/>
        <v>CONTROL Igm</v>
      </c>
      <c r="GT226" s="22">
        <v>45128</v>
      </c>
      <c r="GU226" s="29">
        <f t="shared" si="867"/>
        <v>10.428571428571429</v>
      </c>
      <c r="GV226" s="21" t="str">
        <f t="shared" si="868"/>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9"/>
        <v>#REF!</v>
      </c>
      <c r="HI226" s="22" t="e">
        <f t="shared" ca="1" si="870"/>
        <v>#REF!</v>
      </c>
      <c r="HJ226" s="21" t="str">
        <f t="shared" ca="1" si="871"/>
        <v>***************************************</v>
      </c>
      <c r="HK226" s="21" t="str">
        <f t="shared" si="872"/>
        <v>SIN ANTECEDENTES DE RIESGO</v>
      </c>
      <c r="HL226" s="24" t="str">
        <f t="shared" si="873"/>
        <v>APARENTEMENTE NORMAL</v>
      </c>
      <c r="HM226" s="21" t="e">
        <f t="shared" ca="1" si="874"/>
        <v>#REF!</v>
      </c>
      <c r="HN226" s="30" t="str">
        <f t="shared" si="927"/>
        <v>ACTIVA INGRESO A CPN</v>
      </c>
      <c r="HO226" s="21"/>
      <c r="HP226" s="21"/>
      <c r="HQ226" s="349"/>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5"/>
        <v>CORREGIR FECHA CONSULTA</v>
      </c>
      <c r="IA226" s="26"/>
      <c r="IB226" s="26"/>
      <c r="IC226" s="111"/>
      <c r="ID226" s="22"/>
      <c r="IE226" s="22" t="str">
        <f t="shared" ca="1" si="876"/>
        <v>PROGRAMAR APLICACION DE VACUNA</v>
      </c>
      <c r="IF226" s="22"/>
      <c r="IG226" s="22">
        <f t="shared" si="877"/>
        <v>45335</v>
      </c>
      <c r="IH226" s="29">
        <f t="shared" ca="1" si="878"/>
        <v>103</v>
      </c>
      <c r="II226" s="22" t="str">
        <f t="shared" ca="1" si="879"/>
        <v>PENDIENTE</v>
      </c>
      <c r="IJ226" s="22"/>
      <c r="IK226" s="21"/>
      <c r="IL226" s="21"/>
      <c r="IM226" s="34"/>
      <c r="IN226" s="22"/>
      <c r="IO226" s="21"/>
      <c r="IP226" s="29" t="str">
        <f t="shared" si="880"/>
        <v/>
      </c>
      <c r="IQ226" s="35"/>
      <c r="IR226" s="21"/>
      <c r="IS226" s="21"/>
      <c r="IT226" s="21"/>
      <c r="IU226" s="21"/>
      <c r="IV226" s="21"/>
      <c r="IW226" s="21"/>
      <c r="IX226" s="21"/>
      <c r="IY226" s="21"/>
      <c r="IZ226" s="21"/>
      <c r="JA226" s="21"/>
      <c r="JB226" s="30"/>
      <c r="JC226" s="21"/>
      <c r="JD226" s="36"/>
      <c r="JE226" s="21" t="str">
        <f t="shared" si="881"/>
        <v/>
      </c>
      <c r="JF226" s="30"/>
      <c r="JG226" s="21"/>
      <c r="JH226" s="21"/>
      <c r="JI226" s="21"/>
      <c r="JJ226" s="30"/>
      <c r="JK226" s="22"/>
      <c r="JL226" s="22"/>
      <c r="JM226" s="21"/>
      <c r="JN226" s="36"/>
      <c r="JO226" s="21" t="str">
        <f t="shared" si="882"/>
        <v/>
      </c>
      <c r="JP226" s="22"/>
      <c r="JQ226" s="21"/>
      <c r="JR226" s="21"/>
      <c r="JS226" s="21"/>
      <c r="JT226" s="30"/>
      <c r="JU226" s="22"/>
      <c r="JV226" s="22"/>
      <c r="JW226" s="33"/>
      <c r="JX226" s="28" t="str">
        <f t="shared" si="883"/>
        <v/>
      </c>
      <c r="JY226" s="33"/>
      <c r="JZ226" s="28" t="str">
        <f t="shared" si="884"/>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5"/>
        <v>0</v>
      </c>
      <c r="MI226" s="43" t="str">
        <f t="shared" si="929"/>
        <v/>
      </c>
      <c r="MJ226" s="43" t="str">
        <f t="shared" si="887"/>
        <v/>
      </c>
      <c r="MK226" s="43">
        <f t="shared" si="888"/>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30"/>
        <v>10.428571428571429</v>
      </c>
      <c r="MN226" s="43">
        <f t="shared" si="931"/>
        <v>7</v>
      </c>
      <c r="MO226" s="43">
        <f t="shared" si="932"/>
        <v>2023</v>
      </c>
      <c r="MP226" s="43" t="str">
        <f t="shared" si="892"/>
        <v>III TRIMESTRE AÑO</v>
      </c>
      <c r="MQ226" s="43">
        <f t="shared" si="933"/>
        <v>25.205321944809459</v>
      </c>
      <c r="MR226" s="43">
        <f t="shared" si="894"/>
        <v>0</v>
      </c>
      <c r="MS226" s="43" t="str">
        <f t="shared" si="895"/>
        <v xml:space="preserve"> DE 25 A 29 AÑOS</v>
      </c>
      <c r="MT226" s="43">
        <f t="shared" si="896"/>
        <v>0</v>
      </c>
      <c r="MU226" s="43">
        <f t="shared" si="897"/>
        <v>0</v>
      </c>
      <c r="MV226" s="43">
        <f t="shared" si="898"/>
        <v>0</v>
      </c>
      <c r="MW226" s="43">
        <f t="shared" si="899"/>
        <v>0</v>
      </c>
      <c r="MX226" s="43" t="str">
        <f t="shared" si="900"/>
        <v/>
      </c>
      <c r="MY226" s="43" t="str">
        <f t="shared" ca="1" si="901"/>
        <v/>
      </c>
      <c r="MZ226" s="43" t="str">
        <f t="shared" si="902"/>
        <v/>
      </c>
      <c r="NA226" s="43">
        <f t="shared" si="903"/>
        <v>0</v>
      </c>
      <c r="NB226" s="43" t="str">
        <f t="shared" si="904"/>
        <v/>
      </c>
      <c r="NC226" s="43" t="str">
        <f t="shared" si="905"/>
        <v/>
      </c>
      <c r="ND226" s="43">
        <f t="shared" ca="1" si="934"/>
        <v>0</v>
      </c>
      <c r="NE226" s="43">
        <f>IF(OR(O226&gt;0,R226&gt;0),SUM(COUNTIF(Tabla1[[#This Row],[AÑOS AL INICIO5 CPN]],"&gt;=40"),COUNTIF(AS226,"0"),COUNTIF(AR226,"SI"),COUNTIF(CC226,"SI"),COUNTIF(BQ226,"&gt;119"),COUNTIF(CI226,"&gt;=35")),"")</f>
        <v>0</v>
      </c>
      <c r="NF226" s="43" t="str">
        <f t="shared" si="935"/>
        <v/>
      </c>
      <c r="NG226" s="43">
        <f t="shared" si="908"/>
        <v>0</v>
      </c>
      <c r="NH226" s="43">
        <f t="shared" si="909"/>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6"/>
        <v>X</v>
      </c>
      <c r="NM226" s="43" t="str">
        <f t="shared" si="941"/>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12"/>
        <v>I TRIM</v>
      </c>
      <c r="NQ226" s="21" t="str">
        <f t="shared" si="1046"/>
        <v/>
      </c>
      <c r="NR226" s="21">
        <f t="shared" ca="1" si="937"/>
        <v>2</v>
      </c>
      <c r="NS226" s="205">
        <f t="shared" ca="1" si="914"/>
        <v>1</v>
      </c>
      <c r="NT226" s="21">
        <f t="shared" ca="1" si="915"/>
        <v>1</v>
      </c>
      <c r="NU226" s="21" t="str">
        <f t="shared" ca="1" si="916"/>
        <v>INCOMPLETO</v>
      </c>
      <c r="NV226" s="21" t="str">
        <f t="shared" ca="1" si="917"/>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8"/>
        <v>SIN VACUNAR</v>
      </c>
      <c r="NY226" s="43">
        <f>ROW(Tabla1[[#This Row],['# DE TAMIZAJES SIFILIS TOMADOS ]])</f>
        <v>226</v>
      </c>
      <c r="NZ226" s="43">
        <f t="shared" si="942"/>
        <v>10</v>
      </c>
      <c r="OA226" s="43" t="str">
        <f t="shared" si="943"/>
        <v/>
      </c>
      <c r="OB226" s="43" t="str">
        <f t="shared" si="944"/>
        <v>NORMAL</v>
      </c>
      <c r="OC226" s="43" t="str">
        <f t="shared" si="945"/>
        <v/>
      </c>
      <c r="OD226" s="43" t="str">
        <f t="shared" si="946"/>
        <v/>
      </c>
      <c r="OE226" s="43" t="str">
        <f t="shared" si="947"/>
        <v/>
      </c>
      <c r="OF226" s="43" t="str">
        <f t="shared" si="948"/>
        <v/>
      </c>
      <c r="OG226" s="43" t="str">
        <f t="shared" si="949"/>
        <v/>
      </c>
      <c r="OH226" s="43" t="str">
        <f t="shared" si="950"/>
        <v/>
      </c>
      <c r="OI226" s="43" t="str">
        <f t="shared" si="951"/>
        <v/>
      </c>
      <c r="OJ226" s="43" t="str">
        <f t="shared" si="952"/>
        <v/>
      </c>
      <c r="OK226" s="43" t="str">
        <f t="shared" si="953"/>
        <v/>
      </c>
      <c r="OL226" s="43" t="str">
        <f t="shared" si="954"/>
        <v/>
      </c>
      <c r="OM226" s="43" t="str">
        <f t="shared" si="955"/>
        <v/>
      </c>
      <c r="ON226" s="43" t="str">
        <f t="shared" si="956"/>
        <v/>
      </c>
      <c r="OO226" s="43" t="str">
        <f t="shared" si="957"/>
        <v/>
      </c>
      <c r="OP226" s="43" t="str">
        <f t="shared" si="958"/>
        <v/>
      </c>
      <c r="OQ226" s="43" t="str">
        <f t="shared" si="959"/>
        <v/>
      </c>
      <c r="OR226" s="43" t="str">
        <f t="shared" si="960"/>
        <v/>
      </c>
      <c r="OS226" s="43" t="str">
        <f t="shared" si="961"/>
        <v/>
      </c>
      <c r="OT226" s="43" t="str">
        <f t="shared" si="962"/>
        <v/>
      </c>
      <c r="OU226" s="43" t="str">
        <f t="shared" si="963"/>
        <v/>
      </c>
      <c r="OV226" s="110" t="str">
        <f t="shared" si="964"/>
        <v/>
      </c>
      <c r="OW226" s="43" t="str">
        <f t="shared" si="965"/>
        <v/>
      </c>
      <c r="OX226" s="43" t="str">
        <f t="shared" si="966"/>
        <v/>
      </c>
      <c r="OY226" s="43" t="str">
        <f t="shared" si="967"/>
        <v/>
      </c>
      <c r="OZ226" s="43" t="str">
        <f t="shared" si="968"/>
        <v/>
      </c>
      <c r="PA226" s="43" t="str">
        <f t="shared" si="969"/>
        <v/>
      </c>
      <c r="PB226" s="43" t="str">
        <f t="shared" si="970"/>
        <v/>
      </c>
      <c r="PC226" s="43" t="str">
        <f t="shared" si="971"/>
        <v/>
      </c>
      <c r="PD226" s="43" t="str">
        <f t="shared" si="972"/>
        <v/>
      </c>
      <c r="PE226" s="43" t="str">
        <f t="shared" si="973"/>
        <v/>
      </c>
      <c r="PF226" s="43" t="str">
        <f t="shared" si="974"/>
        <v/>
      </c>
      <c r="PG226" s="43" t="str">
        <f t="shared" si="975"/>
        <v/>
      </c>
      <c r="PH226" s="43" t="str">
        <f t="shared" si="976"/>
        <v/>
      </c>
      <c r="PI226" s="43">
        <f t="shared" si="977"/>
        <v>10</v>
      </c>
      <c r="PJ226" s="43" t="str">
        <f t="shared" si="978"/>
        <v/>
      </c>
      <c r="PK226" s="43" t="str">
        <f t="shared" si="979"/>
        <v>NORMAL</v>
      </c>
      <c r="PL226" s="43" t="str">
        <f t="shared" si="980"/>
        <v/>
      </c>
      <c r="PM226" s="43" t="str">
        <f t="shared" si="981"/>
        <v/>
      </c>
      <c r="PN226" s="43" t="str">
        <f t="shared" si="982"/>
        <v/>
      </c>
      <c r="PO226" s="43" t="str">
        <f t="shared" si="983"/>
        <v/>
      </c>
      <c r="PP226" s="43" t="str">
        <f t="shared" si="984"/>
        <v/>
      </c>
      <c r="PQ226" s="43" t="str">
        <f t="shared" si="985"/>
        <v/>
      </c>
      <c r="PR226" s="43" t="str">
        <f t="shared" si="986"/>
        <v/>
      </c>
      <c r="PS226" s="43" t="str">
        <f t="shared" si="987"/>
        <v/>
      </c>
      <c r="PT226" s="43" t="str">
        <f t="shared" si="988"/>
        <v/>
      </c>
      <c r="PU226" s="43" t="str">
        <f t="shared" si="989"/>
        <v/>
      </c>
      <c r="PV226" s="43" t="str">
        <f t="shared" si="990"/>
        <v/>
      </c>
      <c r="PW226" s="43" t="str">
        <f t="shared" si="991"/>
        <v/>
      </c>
      <c r="PX226" s="43" t="str">
        <f t="shared" si="992"/>
        <v/>
      </c>
      <c r="PY226" s="43" t="str">
        <f t="shared" si="993"/>
        <v/>
      </c>
      <c r="PZ226" s="43" t="str">
        <f t="shared" si="994"/>
        <v/>
      </c>
      <c r="QA226" s="43" t="str">
        <f t="shared" si="995"/>
        <v/>
      </c>
      <c r="QB226" s="43" t="str">
        <f t="shared" si="996"/>
        <v/>
      </c>
      <c r="QC226" s="43" t="str">
        <f t="shared" si="997"/>
        <v/>
      </c>
      <c r="QD226" s="43" t="str">
        <f t="shared" si="998"/>
        <v/>
      </c>
      <c r="QE226" s="43" t="str">
        <f t="shared" si="999"/>
        <v/>
      </c>
      <c r="QF226" s="43" t="str">
        <f t="shared" si="1000"/>
        <v/>
      </c>
      <c r="QG226" s="43" t="str">
        <f t="shared" si="1001"/>
        <v/>
      </c>
      <c r="QH226" s="43" t="str">
        <f t="shared" si="1002"/>
        <v/>
      </c>
      <c r="QI226" s="43" t="str">
        <f t="shared" si="1003"/>
        <v/>
      </c>
      <c r="QJ226" s="43" t="str">
        <f t="shared" si="1004"/>
        <v/>
      </c>
      <c r="QK226" s="43" t="str">
        <f t="shared" si="1005"/>
        <v/>
      </c>
      <c r="QL226" s="43" t="str">
        <f t="shared" si="1006"/>
        <v/>
      </c>
      <c r="QM226" s="43" t="str">
        <f t="shared" si="1007"/>
        <v/>
      </c>
      <c r="QN226" s="43" t="str">
        <f t="shared" si="1008"/>
        <v/>
      </c>
      <c r="QO226" s="43" t="str">
        <f t="shared" si="1009"/>
        <v/>
      </c>
      <c r="QP226" s="43" t="str">
        <f t="shared" si="1010"/>
        <v/>
      </c>
      <c r="QQ226" s="43" t="str">
        <f t="shared" si="1011"/>
        <v/>
      </c>
      <c r="QR226" s="43" t="str">
        <f t="shared" si="1012"/>
        <v>Menor</v>
      </c>
      <c r="QS226" s="43"/>
      <c r="QT226" s="21" t="str">
        <f t="shared" si="1013"/>
        <v/>
      </c>
      <c r="QU226" s="21" t="str">
        <f t="shared" si="1014"/>
        <v/>
      </c>
      <c r="QV226" s="21" t="str">
        <f t="shared" si="1015"/>
        <v/>
      </c>
      <c r="QW226" s="21" t="str">
        <f t="shared" si="1016"/>
        <v/>
      </c>
      <c r="QX226" s="21" t="str">
        <f t="shared" si="1017"/>
        <v/>
      </c>
      <c r="QY226" s="21" t="str">
        <f t="shared" si="1018"/>
        <v/>
      </c>
      <c r="QZ226" s="21" t="str">
        <f t="shared" si="1019"/>
        <v/>
      </c>
      <c r="RA226" s="21" t="str">
        <f t="shared" si="1020"/>
        <v/>
      </c>
      <c r="RB226" s="21" t="str">
        <f t="shared" si="1021"/>
        <v/>
      </c>
      <c r="RC226" s="21" t="str">
        <f t="shared" si="1022"/>
        <v/>
      </c>
      <c r="RD226" s="21" t="str">
        <f t="shared" si="1023"/>
        <v/>
      </c>
      <c r="RE226" s="21" t="str">
        <f t="shared" si="1024"/>
        <v/>
      </c>
      <c r="RF226" s="21" t="str">
        <f t="shared" si="1025"/>
        <v/>
      </c>
      <c r="RG226" s="21" t="str">
        <f t="shared" si="1026"/>
        <v/>
      </c>
      <c r="RH226" s="21" t="str">
        <f t="shared" si="1027"/>
        <v/>
      </c>
      <c r="RI226" s="21" t="str">
        <f t="shared" si="1028"/>
        <v/>
      </c>
      <c r="RJ226" s="21" t="str">
        <f t="shared" si="1029"/>
        <v/>
      </c>
      <c r="RK226" s="21" t="str">
        <f t="shared" si="1030"/>
        <v/>
      </c>
      <c r="RL226" s="21" t="str">
        <f t="shared" si="1031"/>
        <v/>
      </c>
      <c r="RM226" s="21" t="str">
        <f t="shared" si="1032"/>
        <v/>
      </c>
      <c r="RN226" s="21" t="str">
        <f t="shared" si="1033"/>
        <v/>
      </c>
      <c r="RO226" s="21" t="str">
        <f t="shared" si="1034"/>
        <v/>
      </c>
      <c r="RP226" s="21" t="str">
        <f t="shared" si="1035"/>
        <v/>
      </c>
      <c r="RQ226" s="21" t="str">
        <f t="shared" si="1036"/>
        <v/>
      </c>
      <c r="RR226" s="21" t="str">
        <f t="shared" si="1037"/>
        <v/>
      </c>
      <c r="RS226" s="21" t="str">
        <f t="shared" si="1038"/>
        <v/>
      </c>
      <c r="RT226" s="21" t="str">
        <f t="shared" si="1039"/>
        <v/>
      </c>
      <c r="RU226" s="21" t="str">
        <f t="shared" si="1040"/>
        <v/>
      </c>
      <c r="RV226" s="21">
        <f t="shared" si="1041"/>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42"/>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41"/>
        <v>20.898630136986302</v>
      </c>
      <c r="O227" s="22">
        <v>45139</v>
      </c>
      <c r="P227" s="214" t="str">
        <f t="shared" si="919"/>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2"/>
        <v>0</v>
      </c>
      <c r="BR227" s="223">
        <f t="shared" si="843"/>
        <v>45036.3</v>
      </c>
      <c r="BS227" s="224">
        <f t="shared" si="844"/>
        <v>14.714285714285714</v>
      </c>
      <c r="BT227" s="216" t="str">
        <f t="shared" si="845"/>
        <v>II TRIM</v>
      </c>
      <c r="BU227" s="214">
        <f t="shared" ca="1" si="928"/>
        <v>28</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7"/>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8"/>
        <v>45139</v>
      </c>
      <c r="CL227" s="21">
        <v>48</v>
      </c>
      <c r="CM227" s="214">
        <f t="shared" si="849"/>
        <v>23.148148148148149</v>
      </c>
      <c r="CN227" s="216">
        <f t="shared" si="850"/>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5"/>
        <v/>
      </c>
      <c r="DA227" s="21">
        <v>100</v>
      </c>
      <c r="DB227" s="21">
        <v>60</v>
      </c>
      <c r="DC227" s="217" t="str">
        <f t="shared" si="851"/>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20"/>
        <v>PLANEAR PLAN DE PARTO</v>
      </c>
      <c r="DV227" s="226" t="str">
        <f t="shared" si="921"/>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2"/>
        <v>#REF!</v>
      </c>
      <c r="DY227" s="212">
        <f>IF(R227="","",IF(R227&gt;0,MAX(Tabla1[[#This Row],[FECHA C2]:[FECHA C13]],Tabla1[[#This Row],[FECHA CONSULTA PRIMERA VEZ PROGRAMA CPN ]])))</f>
        <v>45139</v>
      </c>
      <c r="DZ227" s="216">
        <f t="shared" si="853"/>
        <v>14</v>
      </c>
      <c r="EA227" s="222">
        <f>IF(R227&gt;0,SUM(COUNTA(DF227:DQ227)+COUNTA(Tabla1[[#This Row],[FECHA CONSULTA PRIMERA VEZ PROGRAMA CPN ]])),"")</f>
        <v>1</v>
      </c>
      <c r="EB227" s="222" t="str">
        <f t="shared" si="854"/>
        <v>NO</v>
      </c>
      <c r="EC227" s="214">
        <f t="shared" si="855"/>
        <v>8</v>
      </c>
      <c r="ED227" s="227">
        <f t="shared" si="856"/>
        <v>0.125</v>
      </c>
      <c r="EE227" s="22">
        <v>45139</v>
      </c>
      <c r="EF227" s="22"/>
      <c r="EG227" s="22">
        <v>45139</v>
      </c>
      <c r="EH227" s="22"/>
      <c r="EI227" s="22">
        <v>45139</v>
      </c>
      <c r="EJ227" s="22"/>
      <c r="EK227" s="22"/>
      <c r="EL227" s="21"/>
      <c r="EM227" s="21">
        <v>12.5</v>
      </c>
      <c r="EN227" s="22">
        <v>45143</v>
      </c>
      <c r="EO227" s="222">
        <f t="shared" si="857"/>
        <v>15.285714285714286</v>
      </c>
      <c r="EP227" s="214" t="str">
        <f t="shared" si="858"/>
        <v>NORMAL- SUMINISTRAR SULFATO FERROSO</v>
      </c>
      <c r="EQ227" s="216" t="str">
        <f t="shared" si="859"/>
        <v>II TRIM</v>
      </c>
      <c r="ER227" s="24"/>
      <c r="ES227" s="22"/>
      <c r="ET227" s="29" t="str">
        <f t="shared" ca="1" si="922"/>
        <v>EN SEMANA 28 TOMA INMEDIATA DE EXAMEN</v>
      </c>
      <c r="EU227" s="25" t="str">
        <f t="shared" si="860"/>
        <v/>
      </c>
      <c r="EV227" s="24" t="s">
        <v>1510</v>
      </c>
      <c r="EW227" s="32">
        <v>45143</v>
      </c>
      <c r="EX227" s="22"/>
      <c r="EY227" s="29">
        <f t="shared" si="1043"/>
        <v>15.285714285714286</v>
      </c>
      <c r="EZ227" s="25" t="str">
        <f t="shared" si="1044"/>
        <v>SIN RIESGO DE ISOINMUNIZACIÓN</v>
      </c>
      <c r="FA227" s="21">
        <v>82</v>
      </c>
      <c r="FB227" s="22">
        <v>45143</v>
      </c>
      <c r="FC227" s="29">
        <f t="shared" si="861"/>
        <v>15.285714285714286</v>
      </c>
      <c r="FD227" s="29"/>
      <c r="FE227" s="29"/>
      <c r="FF227" s="29"/>
      <c r="FG227" s="21" t="str">
        <f t="shared" ca="1" si="862"/>
        <v>TOMAR PTOG</v>
      </c>
      <c r="FH227" s="31"/>
      <c r="FI227" s="29" t="str">
        <f t="shared" si="863"/>
        <v>TOMAR EXAMEN</v>
      </c>
      <c r="FJ227" s="22"/>
      <c r="FK227" s="22"/>
      <c r="FL227" s="29" t="str">
        <f t="shared" ca="1" si="864"/>
        <v>NO APLICA-INGRESO TARDIO</v>
      </c>
      <c r="FM227" s="22" t="s">
        <v>867</v>
      </c>
      <c r="FN227" s="32">
        <v>45143</v>
      </c>
      <c r="FO227" s="29">
        <f t="shared" ca="1" si="923"/>
        <v>15.285714285714286</v>
      </c>
      <c r="FP227" s="22"/>
      <c r="FQ227" s="32"/>
      <c r="FR227" s="29" t="str">
        <f t="shared" ca="1" si="924"/>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5"/>
        <v>TOMAR EXAMEN</v>
      </c>
      <c r="FY227" s="22"/>
      <c r="FZ227" s="22"/>
      <c r="GA227" s="29" t="str">
        <f t="shared" ca="1" si="939"/>
        <v>NO APLICA-INGRESO TARDIO</v>
      </c>
      <c r="GB227" s="22" t="s">
        <v>868</v>
      </c>
      <c r="GC227" s="22">
        <v>45143</v>
      </c>
      <c r="GD227" s="29">
        <f t="shared" ca="1" si="940"/>
        <v>15.285714285714286</v>
      </c>
      <c r="GE227" s="22"/>
      <c r="GF227" s="22"/>
      <c r="GG227" s="29" t="str">
        <f t="shared" ca="1" si="926"/>
        <v>EN RANGO PARA TOMAR EXAMEN</v>
      </c>
      <c r="GH227" s="22"/>
      <c r="GI227" s="29"/>
      <c r="GJ227" s="22"/>
      <c r="GK227" s="22"/>
      <c r="GL227" s="22"/>
      <c r="GM227" s="22"/>
      <c r="GN227" s="28" t="s">
        <v>869</v>
      </c>
      <c r="GO227" s="22">
        <v>45143</v>
      </c>
      <c r="GP227" s="29">
        <f t="shared" si="866"/>
        <v>15.285714285714286</v>
      </c>
      <c r="GQ227" s="28" t="s">
        <v>880</v>
      </c>
      <c r="GR227" s="28" t="s">
        <v>869</v>
      </c>
      <c r="GS227" s="22" t="str">
        <f t="shared" si="1047"/>
        <v>SE EXCLUYE INFECCION</v>
      </c>
      <c r="GT227" s="22">
        <v>45143</v>
      </c>
      <c r="GU227" s="29">
        <f t="shared" si="867"/>
        <v>15.285714285714286</v>
      </c>
      <c r="GV227" s="21" t="str">
        <f t="shared" si="868"/>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9"/>
        <v>#REF!</v>
      </c>
      <c r="HI227" s="22" t="e">
        <f t="shared" ca="1" si="870"/>
        <v>#REF!</v>
      </c>
      <c r="HJ227" s="21" t="str">
        <f t="shared" ca="1" si="871"/>
        <v>**********************MULTIPARIDAD*****************</v>
      </c>
      <c r="HK227" s="21" t="str">
        <f t="shared" si="872"/>
        <v>SIN ANTECEDENTES DE RIESGO</v>
      </c>
      <c r="HL227" s="24" t="str">
        <f t="shared" si="873"/>
        <v>APARENTEMENTE NORMAL</v>
      </c>
      <c r="HM227" s="21" t="e">
        <f t="shared" ca="1" si="874"/>
        <v>#REF!</v>
      </c>
      <c r="HN227" s="30" t="str">
        <f t="shared" si="927"/>
        <v>ACTIVA INGRESO A CPN</v>
      </c>
      <c r="HO227" s="21"/>
      <c r="HP227" s="21"/>
      <c r="HQ227" s="349"/>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5"/>
        <v>PENDIENTE CONSULTA</v>
      </c>
      <c r="IA227" s="26"/>
      <c r="IB227" s="26"/>
      <c r="IC227" s="111"/>
      <c r="ID227" s="22"/>
      <c r="IE227" s="22" t="str">
        <f t="shared" ca="1" si="876"/>
        <v>INASISTENTE</v>
      </c>
      <c r="IF227" s="22"/>
      <c r="IG227" s="22">
        <f t="shared" si="877"/>
        <v>45316</v>
      </c>
      <c r="IH227" s="29">
        <f t="shared" ca="1" si="878"/>
        <v>84</v>
      </c>
      <c r="II227" s="22" t="str">
        <f t="shared" ca="1" si="879"/>
        <v>PENDIENTE</v>
      </c>
      <c r="IJ227" s="22"/>
      <c r="IK227" s="21"/>
      <c r="IL227" s="21"/>
      <c r="IM227" s="34"/>
      <c r="IN227" s="22"/>
      <c r="IO227" s="21"/>
      <c r="IP227" s="29" t="str">
        <f t="shared" si="880"/>
        <v/>
      </c>
      <c r="IQ227" s="35"/>
      <c r="IR227" s="21"/>
      <c r="IS227" s="21"/>
      <c r="IT227" s="21"/>
      <c r="IU227" s="21"/>
      <c r="IV227" s="21"/>
      <c r="IW227" s="21"/>
      <c r="IX227" s="21"/>
      <c r="IY227" s="21"/>
      <c r="IZ227" s="21"/>
      <c r="JA227" s="21"/>
      <c r="JB227" s="30"/>
      <c r="JC227" s="21"/>
      <c r="JD227" s="36"/>
      <c r="JE227" s="21" t="str">
        <f t="shared" si="881"/>
        <v/>
      </c>
      <c r="JF227" s="30"/>
      <c r="JG227" s="21"/>
      <c r="JH227" s="21"/>
      <c r="JI227" s="21"/>
      <c r="JJ227" s="30"/>
      <c r="JK227" s="22"/>
      <c r="JL227" s="22"/>
      <c r="JM227" s="21"/>
      <c r="JN227" s="36"/>
      <c r="JO227" s="21" t="str">
        <f t="shared" si="882"/>
        <v/>
      </c>
      <c r="JP227" s="22"/>
      <c r="JQ227" s="21"/>
      <c r="JR227" s="21"/>
      <c r="JS227" s="21"/>
      <c r="JT227" s="30"/>
      <c r="JU227" s="22"/>
      <c r="JV227" s="22"/>
      <c r="JW227" s="33"/>
      <c r="JX227" s="28" t="str">
        <f t="shared" si="883"/>
        <v/>
      </c>
      <c r="JY227" s="33"/>
      <c r="JZ227" s="28" t="str">
        <f t="shared" si="884"/>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5"/>
        <v>0</v>
      </c>
      <c r="MI227" s="43" t="str">
        <f t="shared" si="929"/>
        <v/>
      </c>
      <c r="MJ227" s="43" t="str">
        <f t="shared" si="887"/>
        <v/>
      </c>
      <c r="MK227" s="43">
        <f t="shared" si="888"/>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30"/>
        <v>14.714285714285714</v>
      </c>
      <c r="MN227" s="43">
        <f t="shared" si="931"/>
        <v>8</v>
      </c>
      <c r="MO227" s="43">
        <f t="shared" si="932"/>
        <v>2023</v>
      </c>
      <c r="MP227" s="43" t="str">
        <f t="shared" si="892"/>
        <v>III TRIMESTRE AÑO</v>
      </c>
      <c r="MQ227" s="43">
        <f t="shared" si="933"/>
        <v>20.332347787998248</v>
      </c>
      <c r="MR227" s="43">
        <f t="shared" si="894"/>
        <v>0</v>
      </c>
      <c r="MS227" s="43" t="str">
        <f t="shared" si="895"/>
        <v xml:space="preserve"> DE 20 A 24 AÑOS</v>
      </c>
      <c r="MT227" s="43">
        <f t="shared" si="896"/>
        <v>0</v>
      </c>
      <c r="MU227" s="43">
        <f t="shared" si="897"/>
        <v>1</v>
      </c>
      <c r="MV227" s="43">
        <f t="shared" si="898"/>
        <v>0</v>
      </c>
      <c r="MW227" s="43">
        <f t="shared" si="899"/>
        <v>0</v>
      </c>
      <c r="MX227" s="43" t="str">
        <f t="shared" si="900"/>
        <v/>
      </c>
      <c r="MY227" s="43" t="str">
        <f t="shared" ca="1" si="901"/>
        <v/>
      </c>
      <c r="MZ227" s="43" t="str">
        <f t="shared" si="902"/>
        <v/>
      </c>
      <c r="NA227" s="43">
        <f t="shared" si="903"/>
        <v>0</v>
      </c>
      <c r="NB227" s="43" t="str">
        <f t="shared" si="904"/>
        <v/>
      </c>
      <c r="NC227" s="43" t="str">
        <f t="shared" si="905"/>
        <v/>
      </c>
      <c r="ND227" s="43">
        <f t="shared" ca="1" si="934"/>
        <v>1</v>
      </c>
      <c r="NE227" s="43">
        <f>IF(OR(O227&gt;0,R227&gt;0),SUM(COUNTIF(Tabla1[[#This Row],[AÑOS AL INICIO5 CPN]],"&gt;=40"),COUNTIF(AS227,"0"),COUNTIF(AR227,"SI"),COUNTIF(CC227,"SI"),COUNTIF(BQ227,"&gt;119"),COUNTIF(CI227,"&gt;=35")),"")</f>
        <v>1</v>
      </c>
      <c r="NF227" s="43" t="str">
        <f t="shared" si="935"/>
        <v/>
      </c>
      <c r="NG227" s="43">
        <f t="shared" si="908"/>
        <v>0</v>
      </c>
      <c r="NH227" s="43">
        <f t="shared" si="909"/>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6"/>
        <v>X</v>
      </c>
      <c r="NM227" s="43" t="str">
        <f t="shared" si="941"/>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12"/>
        <v>II TRIM</v>
      </c>
      <c r="NQ227" s="21" t="str">
        <f t="shared" si="1046"/>
        <v/>
      </c>
      <c r="NR227" s="21">
        <f t="shared" ca="1" si="937"/>
        <v>2</v>
      </c>
      <c r="NS227" s="205">
        <f t="shared" ca="1" si="914"/>
        <v>1</v>
      </c>
      <c r="NT227" s="21">
        <f t="shared" ca="1" si="915"/>
        <v>1</v>
      </c>
      <c r="NU227" s="21" t="str">
        <f t="shared" ca="1" si="916"/>
        <v>INCOMPLETO</v>
      </c>
      <c r="NV227" s="21" t="str">
        <f t="shared" ca="1" si="917"/>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8"/>
        <v>SIN VACUNAR</v>
      </c>
      <c r="NY227" s="43">
        <f>ROW(Tabla1[[#This Row],['# DE TAMIZAJES SIFILIS TOMADOS ]])</f>
        <v>227</v>
      </c>
      <c r="NZ227" s="43">
        <f t="shared" si="942"/>
        <v>14</v>
      </c>
      <c r="OA227" s="43" t="str">
        <f t="shared" si="943"/>
        <v/>
      </c>
      <c r="OB227" s="43" t="str">
        <f t="shared" si="944"/>
        <v/>
      </c>
      <c r="OC227" s="43" t="str">
        <f t="shared" si="945"/>
        <v/>
      </c>
      <c r="OD227" s="43" t="str">
        <f t="shared" si="946"/>
        <v/>
      </c>
      <c r="OE227" s="43" t="str">
        <f t="shared" si="947"/>
        <v/>
      </c>
      <c r="OF227" s="43" t="str">
        <f t="shared" si="948"/>
        <v>NORMAL</v>
      </c>
      <c r="OG227" s="43" t="str">
        <f t="shared" si="949"/>
        <v/>
      </c>
      <c r="OH227" s="43" t="str">
        <f t="shared" si="950"/>
        <v/>
      </c>
      <c r="OI227" s="43" t="str">
        <f t="shared" si="951"/>
        <v/>
      </c>
      <c r="OJ227" s="43" t="str">
        <f t="shared" si="952"/>
        <v/>
      </c>
      <c r="OK227" s="43" t="str">
        <f t="shared" si="953"/>
        <v/>
      </c>
      <c r="OL227" s="43" t="str">
        <f t="shared" si="954"/>
        <v/>
      </c>
      <c r="OM227" s="43" t="str">
        <f t="shared" si="955"/>
        <v/>
      </c>
      <c r="ON227" s="43" t="str">
        <f t="shared" si="956"/>
        <v/>
      </c>
      <c r="OO227" s="43" t="str">
        <f t="shared" si="957"/>
        <v/>
      </c>
      <c r="OP227" s="43" t="str">
        <f t="shared" si="958"/>
        <v/>
      </c>
      <c r="OQ227" s="43" t="str">
        <f t="shared" si="959"/>
        <v/>
      </c>
      <c r="OR227" s="43" t="str">
        <f t="shared" si="960"/>
        <v/>
      </c>
      <c r="OS227" s="43" t="str">
        <f t="shared" si="961"/>
        <v/>
      </c>
      <c r="OT227" s="43" t="str">
        <f t="shared" si="962"/>
        <v/>
      </c>
      <c r="OU227" s="43" t="str">
        <f t="shared" si="963"/>
        <v/>
      </c>
      <c r="OV227" s="110" t="str">
        <f t="shared" si="964"/>
        <v/>
      </c>
      <c r="OW227" s="43" t="str">
        <f t="shared" si="965"/>
        <v/>
      </c>
      <c r="OX227" s="43" t="str">
        <f t="shared" si="966"/>
        <v/>
      </c>
      <c r="OY227" s="43" t="str">
        <f t="shared" si="967"/>
        <v/>
      </c>
      <c r="OZ227" s="43" t="str">
        <f t="shared" si="968"/>
        <v/>
      </c>
      <c r="PA227" s="43" t="str">
        <f t="shared" si="969"/>
        <v/>
      </c>
      <c r="PB227" s="43" t="str">
        <f t="shared" si="970"/>
        <v/>
      </c>
      <c r="PC227" s="43" t="str">
        <f t="shared" si="971"/>
        <v/>
      </c>
      <c r="PD227" s="43" t="str">
        <f t="shared" si="972"/>
        <v/>
      </c>
      <c r="PE227" s="43" t="str">
        <f t="shared" si="973"/>
        <v/>
      </c>
      <c r="PF227" s="43" t="str">
        <f t="shared" si="974"/>
        <v/>
      </c>
      <c r="PG227" s="43" t="str">
        <f t="shared" si="975"/>
        <v/>
      </c>
      <c r="PH227" s="43" t="str">
        <f t="shared" si="976"/>
        <v/>
      </c>
      <c r="PI227" s="43">
        <f t="shared" si="977"/>
        <v>14</v>
      </c>
      <c r="PJ227" s="43" t="str">
        <f t="shared" si="978"/>
        <v/>
      </c>
      <c r="PK227" s="43" t="str">
        <f t="shared" si="979"/>
        <v/>
      </c>
      <c r="PL227" s="43" t="str">
        <f t="shared" si="980"/>
        <v/>
      </c>
      <c r="PM227" s="43" t="str">
        <f t="shared" si="981"/>
        <v/>
      </c>
      <c r="PN227" s="43" t="str">
        <f t="shared" si="982"/>
        <v/>
      </c>
      <c r="PO227" s="43" t="str">
        <f t="shared" si="983"/>
        <v>NORMAL</v>
      </c>
      <c r="PP227" s="43" t="str">
        <f t="shared" si="984"/>
        <v/>
      </c>
      <c r="PQ227" s="43" t="str">
        <f t="shared" si="985"/>
        <v/>
      </c>
      <c r="PR227" s="43" t="str">
        <f t="shared" si="986"/>
        <v/>
      </c>
      <c r="PS227" s="43" t="str">
        <f t="shared" si="987"/>
        <v/>
      </c>
      <c r="PT227" s="43" t="str">
        <f t="shared" si="988"/>
        <v/>
      </c>
      <c r="PU227" s="43" t="str">
        <f t="shared" si="989"/>
        <v/>
      </c>
      <c r="PV227" s="43" t="str">
        <f t="shared" si="990"/>
        <v/>
      </c>
      <c r="PW227" s="43" t="str">
        <f t="shared" si="991"/>
        <v/>
      </c>
      <c r="PX227" s="43" t="str">
        <f t="shared" si="992"/>
        <v/>
      </c>
      <c r="PY227" s="43" t="str">
        <f t="shared" si="993"/>
        <v/>
      </c>
      <c r="PZ227" s="43" t="str">
        <f t="shared" si="994"/>
        <v/>
      </c>
      <c r="QA227" s="43" t="str">
        <f t="shared" si="995"/>
        <v/>
      </c>
      <c r="QB227" s="43" t="str">
        <f t="shared" si="996"/>
        <v/>
      </c>
      <c r="QC227" s="43" t="str">
        <f t="shared" si="997"/>
        <v/>
      </c>
      <c r="QD227" s="43" t="str">
        <f t="shared" si="998"/>
        <v/>
      </c>
      <c r="QE227" s="43" t="str">
        <f t="shared" si="999"/>
        <v/>
      </c>
      <c r="QF227" s="43" t="str">
        <f t="shared" si="1000"/>
        <v/>
      </c>
      <c r="QG227" s="43" t="str">
        <f t="shared" si="1001"/>
        <v/>
      </c>
      <c r="QH227" s="43" t="str">
        <f t="shared" si="1002"/>
        <v/>
      </c>
      <c r="QI227" s="43" t="str">
        <f t="shared" si="1003"/>
        <v/>
      </c>
      <c r="QJ227" s="43" t="str">
        <f t="shared" si="1004"/>
        <v/>
      </c>
      <c r="QK227" s="43" t="str">
        <f t="shared" si="1005"/>
        <v/>
      </c>
      <c r="QL227" s="43" t="str">
        <f t="shared" si="1006"/>
        <v/>
      </c>
      <c r="QM227" s="43" t="str">
        <f t="shared" si="1007"/>
        <v/>
      </c>
      <c r="QN227" s="43" t="str">
        <f t="shared" si="1008"/>
        <v/>
      </c>
      <c r="QO227" s="43" t="str">
        <f t="shared" si="1009"/>
        <v/>
      </c>
      <c r="QP227" s="43" t="str">
        <f t="shared" si="1010"/>
        <v/>
      </c>
      <c r="QQ227" s="43" t="str">
        <f t="shared" si="1011"/>
        <v/>
      </c>
      <c r="QR227" s="43">
        <f t="shared" si="1012"/>
        <v>14</v>
      </c>
      <c r="QS227" s="43"/>
      <c r="QT227" s="21" t="str">
        <f t="shared" si="1013"/>
        <v/>
      </c>
      <c r="QU227" s="21" t="str">
        <f t="shared" si="1014"/>
        <v>ADECUADO PARA EDAD GESTACIONAL</v>
      </c>
      <c r="QV227" s="21" t="str">
        <f t="shared" si="1015"/>
        <v/>
      </c>
      <c r="QW227" s="21" t="str">
        <f t="shared" si="1016"/>
        <v/>
      </c>
      <c r="QX227" s="21" t="str">
        <f t="shared" si="1017"/>
        <v/>
      </c>
      <c r="QY227" s="21" t="str">
        <f t="shared" si="1018"/>
        <v/>
      </c>
      <c r="QZ227" s="21" t="str">
        <f t="shared" si="1019"/>
        <v/>
      </c>
      <c r="RA227" s="21" t="str">
        <f t="shared" si="1020"/>
        <v/>
      </c>
      <c r="RB227" s="21" t="str">
        <f t="shared" si="1021"/>
        <v/>
      </c>
      <c r="RC227" s="21" t="str">
        <f t="shared" si="1022"/>
        <v/>
      </c>
      <c r="RD227" s="21" t="str">
        <f t="shared" si="1023"/>
        <v/>
      </c>
      <c r="RE227" s="21" t="str">
        <f t="shared" si="1024"/>
        <v/>
      </c>
      <c r="RF227" s="21" t="str">
        <f t="shared" si="1025"/>
        <v/>
      </c>
      <c r="RG227" s="21" t="str">
        <f t="shared" si="1026"/>
        <v/>
      </c>
      <c r="RH227" s="21" t="str">
        <f t="shared" si="1027"/>
        <v/>
      </c>
      <c r="RI227" s="21" t="str">
        <f t="shared" si="1028"/>
        <v/>
      </c>
      <c r="RJ227" s="21" t="str">
        <f t="shared" si="1029"/>
        <v/>
      </c>
      <c r="RK227" s="21" t="str">
        <f t="shared" si="1030"/>
        <v/>
      </c>
      <c r="RL227" s="21" t="str">
        <f t="shared" si="1031"/>
        <v/>
      </c>
      <c r="RM227" s="21" t="str">
        <f t="shared" si="1032"/>
        <v/>
      </c>
      <c r="RN227" s="21" t="str">
        <f t="shared" si="1033"/>
        <v/>
      </c>
      <c r="RO227" s="21" t="str">
        <f t="shared" si="1034"/>
        <v/>
      </c>
      <c r="RP227" s="21" t="str">
        <f t="shared" si="1035"/>
        <v/>
      </c>
      <c r="RQ227" s="21" t="str">
        <f t="shared" si="1036"/>
        <v/>
      </c>
      <c r="RR227" s="21" t="str">
        <f t="shared" si="1037"/>
        <v/>
      </c>
      <c r="RS227" s="21" t="str">
        <f t="shared" si="1038"/>
        <v/>
      </c>
      <c r="RT227" s="21" t="str">
        <f t="shared" si="1039"/>
        <v/>
      </c>
      <c r="RU227" s="21" t="str">
        <f t="shared" si="1040"/>
        <v/>
      </c>
      <c r="RV227" s="21">
        <f t="shared" si="1041"/>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42"/>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41"/>
        <v>22.024657534246575</v>
      </c>
      <c r="O228" s="22">
        <v>45146</v>
      </c>
      <c r="P228" s="214" t="str">
        <f t="shared" si="919"/>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2"/>
        <v>18.533333333333335</v>
      </c>
      <c r="BR228" s="223">
        <f t="shared" si="843"/>
        <v>45067.8</v>
      </c>
      <c r="BS228" s="224">
        <f t="shared" si="844"/>
        <v>11.285714285714286</v>
      </c>
      <c r="BT228" s="216" t="str">
        <f t="shared" si="845"/>
        <v>II TRIM</v>
      </c>
      <c r="BU228" s="214">
        <f t="shared" ca="1" si="928"/>
        <v>23.571428571428573</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7"/>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8"/>
        <v>45146</v>
      </c>
      <c r="CL228" s="21">
        <v>52</v>
      </c>
      <c r="CM228" s="214">
        <f t="shared" si="849"/>
        <v>23.422368361785505</v>
      </c>
      <c r="CN228" s="216">
        <f t="shared" si="850"/>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5"/>
        <v/>
      </c>
      <c r="DA228" s="21">
        <v>90</v>
      </c>
      <c r="DB228" s="21">
        <v>70</v>
      </c>
      <c r="DC228" s="217" t="str">
        <f t="shared" si="851"/>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20"/>
        <v>EN ESPERA</v>
      </c>
      <c r="DV228" s="226" t="str">
        <f t="shared" si="921"/>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2"/>
        <v>#REF!</v>
      </c>
      <c r="DY228" s="212">
        <f>IF(R228="","",IF(R228&gt;0,MAX(Tabla1[[#This Row],[FECHA C2]:[FECHA C13]],Tabla1[[#This Row],[FECHA CONSULTA PRIMERA VEZ PROGRAMA CPN ]])))</f>
        <v>45146</v>
      </c>
      <c r="DZ228" s="216">
        <f t="shared" si="853"/>
        <v>11</v>
      </c>
      <c r="EA228" s="222">
        <f>IF(R228&gt;0,SUM(COUNTA(DF228:DQ228)+COUNTA(Tabla1[[#This Row],[FECHA CONSULTA PRIMERA VEZ PROGRAMA CPN ]])),"")</f>
        <v>1</v>
      </c>
      <c r="EB228" s="222" t="str">
        <f t="shared" si="854"/>
        <v>NO</v>
      </c>
      <c r="EC228" s="214">
        <f t="shared" si="855"/>
        <v>9</v>
      </c>
      <c r="ED228" s="227">
        <f t="shared" si="856"/>
        <v>0.1111111111111111</v>
      </c>
      <c r="EE228" s="22">
        <v>45146</v>
      </c>
      <c r="EF228" s="22"/>
      <c r="EG228" s="22">
        <v>45146</v>
      </c>
      <c r="EH228" s="22"/>
      <c r="EI228" s="22">
        <v>45146</v>
      </c>
      <c r="EJ228" s="22"/>
      <c r="EK228" s="22"/>
      <c r="EL228" s="21"/>
      <c r="EM228" s="21">
        <v>14</v>
      </c>
      <c r="EN228" s="22">
        <v>45149</v>
      </c>
      <c r="EO228" s="222">
        <f t="shared" si="857"/>
        <v>11.714285714285714</v>
      </c>
      <c r="EP228" s="214" t="str">
        <f t="shared" si="858"/>
        <v>NORMAL- SUMINISTRAR SULFATO FERROSO</v>
      </c>
      <c r="EQ228" s="216" t="str">
        <f t="shared" si="859"/>
        <v>I TRIM</v>
      </c>
      <c r="ER228" s="24"/>
      <c r="ES228" s="22"/>
      <c r="ET228" s="29" t="str">
        <f t="shared" ca="1" si="922"/>
        <v>PROGRAMAR TOMA HEMOGLOBINA A SEM 28</v>
      </c>
      <c r="EU228" s="25" t="str">
        <f t="shared" si="860"/>
        <v/>
      </c>
      <c r="EV228" s="24" t="s">
        <v>1510</v>
      </c>
      <c r="EW228" s="32">
        <v>45149</v>
      </c>
      <c r="EX228" s="22"/>
      <c r="EY228" s="29">
        <f t="shared" si="1043"/>
        <v>11.714285714285714</v>
      </c>
      <c r="EZ228" s="25" t="str">
        <f t="shared" si="1044"/>
        <v>SIN RIESGO DE ISOINMUNIZACIÓN</v>
      </c>
      <c r="FA228" s="21">
        <v>66</v>
      </c>
      <c r="FB228" s="22">
        <v>45149</v>
      </c>
      <c r="FC228" s="29">
        <f t="shared" si="861"/>
        <v>11.714285714285714</v>
      </c>
      <c r="FD228" s="29"/>
      <c r="FE228" s="29"/>
      <c r="FF228" s="29"/>
      <c r="FG228" s="21" t="str">
        <f t="shared" ca="1" si="862"/>
        <v>PROGRAMAR TOMA PTOG SIGUIENTE CONTROL</v>
      </c>
      <c r="FH228" s="31"/>
      <c r="FI228" s="29" t="str">
        <f t="shared" si="863"/>
        <v>TOMAR EXAMEN</v>
      </c>
      <c r="FJ228" s="22" t="s">
        <v>867</v>
      </c>
      <c r="FK228" s="22">
        <v>45149</v>
      </c>
      <c r="FL228" s="29">
        <f t="shared" ca="1" si="864"/>
        <v>11.714285714285714</v>
      </c>
      <c r="FM228" s="22"/>
      <c r="FN228" s="22"/>
      <c r="FO228" s="29" t="str">
        <f t="shared" ca="1" si="923"/>
        <v>EN RANGO PARA TOMAR EXAMEN</v>
      </c>
      <c r="FP228" s="22"/>
      <c r="FQ228" s="32"/>
      <c r="FR228" s="29" t="str">
        <f t="shared" ca="1" si="924"/>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5"/>
        <v>TOMAR EXAMEN</v>
      </c>
      <c r="FY228" s="22" t="s">
        <v>868</v>
      </c>
      <c r="FZ228" s="22">
        <v>45149</v>
      </c>
      <c r="GA228" s="29">
        <f t="shared" ca="1" si="939"/>
        <v>11.714285714285714</v>
      </c>
      <c r="GB228" s="22"/>
      <c r="GC228" s="22"/>
      <c r="GD228" s="29" t="str">
        <f t="shared" ca="1" si="940"/>
        <v>EN RANGO PARA TOMAR EXAMEN</v>
      </c>
      <c r="GE228" s="22"/>
      <c r="GF228" s="22"/>
      <c r="GG228" s="29" t="str">
        <f t="shared" ca="1" si="926"/>
        <v>EN ESPERA-ESTÁ I TRIM O II TRIM</v>
      </c>
      <c r="GH228" s="22"/>
      <c r="GI228" s="29"/>
      <c r="GJ228" s="22"/>
      <c r="GK228" s="22"/>
      <c r="GL228" s="22"/>
      <c r="GM228" s="22"/>
      <c r="GN228" s="28" t="s">
        <v>869</v>
      </c>
      <c r="GO228" s="22">
        <v>45149</v>
      </c>
      <c r="GP228" s="29">
        <f t="shared" si="866"/>
        <v>11.714285714285714</v>
      </c>
      <c r="GQ228" s="28" t="s">
        <v>869</v>
      </c>
      <c r="GR228" s="28" t="s">
        <v>869</v>
      </c>
      <c r="GS228" s="22" t="str">
        <f t="shared" si="1047"/>
        <v>CONTROL Igm</v>
      </c>
      <c r="GT228" s="22">
        <v>45149</v>
      </c>
      <c r="GU228" s="29">
        <f t="shared" si="867"/>
        <v>11.714285714285714</v>
      </c>
      <c r="GV228" s="21" t="str">
        <f t="shared" si="868"/>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9"/>
        <v>#REF!</v>
      </c>
      <c r="HI228" s="22" t="e">
        <f t="shared" ca="1" si="870"/>
        <v>#REF!</v>
      </c>
      <c r="HJ228" s="21" t="str">
        <f t="shared" ca="1" si="871"/>
        <v>**********************MULTIPARIDAD*****************</v>
      </c>
      <c r="HK228" s="21" t="str">
        <f t="shared" si="872"/>
        <v>SIN ANTECEDENTES DE RIESGO</v>
      </c>
      <c r="HL228" s="24" t="str">
        <f t="shared" si="873"/>
        <v>APARENTEMENTE NORMAL</v>
      </c>
      <c r="HM228" s="21" t="e">
        <f t="shared" ca="1" si="874"/>
        <v>#REF!</v>
      </c>
      <c r="HN228" s="30" t="str">
        <f t="shared" si="927"/>
        <v>ACTIVA INGRESO A CPN</v>
      </c>
      <c r="HO228" s="21"/>
      <c r="HP228" s="21"/>
      <c r="HQ228" s="349"/>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5"/>
        <v>PENDIENTE CONSULTA</v>
      </c>
      <c r="IA228" s="26"/>
      <c r="IB228" s="26"/>
      <c r="IC228" s="111"/>
      <c r="ID228" s="22"/>
      <c r="IE228" s="22" t="str">
        <f t="shared" ca="1" si="876"/>
        <v>PROGRAMAR APLICACION DE VACUNA</v>
      </c>
      <c r="IF228" s="22"/>
      <c r="IG228" s="22">
        <f t="shared" si="877"/>
        <v>45347</v>
      </c>
      <c r="IH228" s="29">
        <f t="shared" ca="1" si="878"/>
        <v>115</v>
      </c>
      <c r="II228" s="22" t="str">
        <f t="shared" ca="1" si="879"/>
        <v>PENDIENTE</v>
      </c>
      <c r="IJ228" s="22"/>
      <c r="IK228" s="21"/>
      <c r="IL228" s="21"/>
      <c r="IM228" s="34"/>
      <c r="IN228" s="22"/>
      <c r="IO228" s="21"/>
      <c r="IP228" s="29" t="str">
        <f t="shared" si="880"/>
        <v/>
      </c>
      <c r="IQ228" s="35"/>
      <c r="IR228" s="21"/>
      <c r="IS228" s="21"/>
      <c r="IT228" s="21"/>
      <c r="IU228" s="21"/>
      <c r="IV228" s="21"/>
      <c r="IW228" s="21"/>
      <c r="IX228" s="21"/>
      <c r="IY228" s="21"/>
      <c r="IZ228" s="21"/>
      <c r="JA228" s="21"/>
      <c r="JB228" s="30"/>
      <c r="JC228" s="21"/>
      <c r="JD228" s="36"/>
      <c r="JE228" s="21" t="str">
        <f t="shared" si="881"/>
        <v/>
      </c>
      <c r="JF228" s="30"/>
      <c r="JG228" s="21"/>
      <c r="JH228" s="21"/>
      <c r="JI228" s="21"/>
      <c r="JJ228" s="30"/>
      <c r="JK228" s="22"/>
      <c r="JL228" s="22"/>
      <c r="JM228" s="21"/>
      <c r="JN228" s="36"/>
      <c r="JO228" s="21" t="str">
        <f t="shared" si="882"/>
        <v/>
      </c>
      <c r="JP228" s="22"/>
      <c r="JQ228" s="21"/>
      <c r="JR228" s="21"/>
      <c r="JS228" s="21"/>
      <c r="JT228" s="30"/>
      <c r="JU228" s="22"/>
      <c r="JV228" s="22"/>
      <c r="JW228" s="33"/>
      <c r="JX228" s="28" t="str">
        <f t="shared" si="883"/>
        <v/>
      </c>
      <c r="JY228" s="159"/>
      <c r="JZ228" s="28" t="str">
        <f t="shared" si="884"/>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5"/>
        <v>0</v>
      </c>
      <c r="MI228" s="43" t="str">
        <f t="shared" si="929"/>
        <v/>
      </c>
      <c r="MJ228" s="43" t="str">
        <f t="shared" si="887"/>
        <v/>
      </c>
      <c r="MK228" s="43">
        <f t="shared" si="888"/>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30"/>
        <v>11.285714285714286</v>
      </c>
      <c r="MN228" s="43">
        <f t="shared" si="931"/>
        <v>8</v>
      </c>
      <c r="MO228" s="43">
        <f t="shared" si="932"/>
        <v>2023</v>
      </c>
      <c r="MP228" s="43" t="str">
        <f t="shared" si="892"/>
        <v>III TRIMESTRE AÑO</v>
      </c>
      <c r="MQ228" s="43">
        <f t="shared" si="933"/>
        <v>21.460249671484888</v>
      </c>
      <c r="MR228" s="43">
        <f t="shared" si="894"/>
        <v>0</v>
      </c>
      <c r="MS228" s="43" t="str">
        <f t="shared" si="895"/>
        <v xml:space="preserve"> DE 20 A 24 AÑOS</v>
      </c>
      <c r="MT228" s="43">
        <f t="shared" si="896"/>
        <v>0</v>
      </c>
      <c r="MU228" s="43">
        <f t="shared" si="897"/>
        <v>1</v>
      </c>
      <c r="MV228" s="43">
        <f t="shared" si="898"/>
        <v>0</v>
      </c>
      <c r="MW228" s="43">
        <f t="shared" si="899"/>
        <v>0</v>
      </c>
      <c r="MX228" s="43" t="str">
        <f t="shared" si="900"/>
        <v/>
      </c>
      <c r="MY228" s="43" t="str">
        <f t="shared" ca="1" si="901"/>
        <v/>
      </c>
      <c r="MZ228" s="43" t="str">
        <f t="shared" si="902"/>
        <v/>
      </c>
      <c r="NA228" s="43">
        <f t="shared" si="903"/>
        <v>0</v>
      </c>
      <c r="NB228" s="43" t="str">
        <f t="shared" si="904"/>
        <v/>
      </c>
      <c r="NC228" s="43" t="str">
        <f t="shared" si="905"/>
        <v/>
      </c>
      <c r="ND228" s="43">
        <f t="shared" ca="1" si="934"/>
        <v>1</v>
      </c>
      <c r="NE228" s="43">
        <f>IF(OR(O228&gt;0,R228&gt;0),SUM(COUNTIF(Tabla1[[#This Row],[AÑOS AL INICIO5 CPN]],"&gt;=40"),COUNTIF(AS228,"0"),COUNTIF(AR228,"SI"),COUNTIF(CC228,"SI"),COUNTIF(BQ228,"&gt;119"),COUNTIF(CI228,"&gt;=35")),"")</f>
        <v>0</v>
      </c>
      <c r="NF228" s="43" t="str">
        <f t="shared" si="935"/>
        <v/>
      </c>
      <c r="NG228" s="43">
        <f t="shared" si="908"/>
        <v>0</v>
      </c>
      <c r="NH228" s="43">
        <f t="shared" si="909"/>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6"/>
        <v>X</v>
      </c>
      <c r="NM228" s="43" t="str">
        <f t="shared" si="941"/>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12"/>
        <v>I TRIM</v>
      </c>
      <c r="NQ228" s="21" t="str">
        <f t="shared" si="1046"/>
        <v/>
      </c>
      <c r="NR228" s="21">
        <f t="shared" ca="1" si="937"/>
        <v>2</v>
      </c>
      <c r="NS228" s="205">
        <f t="shared" ca="1" si="914"/>
        <v>1</v>
      </c>
      <c r="NT228" s="21">
        <f t="shared" ca="1" si="915"/>
        <v>1</v>
      </c>
      <c r="NU228" s="21" t="str">
        <f t="shared" ca="1" si="916"/>
        <v>INCOMPLETO</v>
      </c>
      <c r="NV228" s="21" t="str">
        <f t="shared" ca="1" si="917"/>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8"/>
        <v>SIN VACUNAR</v>
      </c>
      <c r="NY228" s="43">
        <f>ROW(Tabla1[[#This Row],['# DE TAMIZAJES SIFILIS TOMADOS ]])</f>
        <v>228</v>
      </c>
      <c r="NZ228" s="43">
        <f t="shared" si="942"/>
        <v>11</v>
      </c>
      <c r="OA228" s="43" t="str">
        <f t="shared" si="943"/>
        <v/>
      </c>
      <c r="OB228" s="43" t="str">
        <f t="shared" si="944"/>
        <v/>
      </c>
      <c r="OC228" s="43" t="str">
        <f t="shared" si="945"/>
        <v>NORMAL</v>
      </c>
      <c r="OD228" s="43" t="str">
        <f t="shared" si="946"/>
        <v/>
      </c>
      <c r="OE228" s="43" t="str">
        <f t="shared" si="947"/>
        <v/>
      </c>
      <c r="OF228" s="43" t="str">
        <f t="shared" si="948"/>
        <v/>
      </c>
      <c r="OG228" s="43" t="str">
        <f t="shared" si="949"/>
        <v/>
      </c>
      <c r="OH228" s="43" t="str">
        <f t="shared" si="950"/>
        <v/>
      </c>
      <c r="OI228" s="43" t="str">
        <f t="shared" si="951"/>
        <v/>
      </c>
      <c r="OJ228" s="43" t="str">
        <f t="shared" si="952"/>
        <v/>
      </c>
      <c r="OK228" s="43" t="str">
        <f t="shared" si="953"/>
        <v/>
      </c>
      <c r="OL228" s="43" t="str">
        <f t="shared" si="954"/>
        <v/>
      </c>
      <c r="OM228" s="43" t="str">
        <f t="shared" si="955"/>
        <v/>
      </c>
      <c r="ON228" s="43" t="str">
        <f t="shared" si="956"/>
        <v/>
      </c>
      <c r="OO228" s="43" t="str">
        <f t="shared" si="957"/>
        <v/>
      </c>
      <c r="OP228" s="43" t="str">
        <f t="shared" si="958"/>
        <v/>
      </c>
      <c r="OQ228" s="43" t="str">
        <f t="shared" si="959"/>
        <v/>
      </c>
      <c r="OR228" s="43" t="str">
        <f t="shared" si="960"/>
        <v/>
      </c>
      <c r="OS228" s="43" t="str">
        <f t="shared" si="961"/>
        <v/>
      </c>
      <c r="OT228" s="43" t="str">
        <f t="shared" si="962"/>
        <v/>
      </c>
      <c r="OU228" s="43" t="str">
        <f t="shared" si="963"/>
        <v/>
      </c>
      <c r="OV228" s="110" t="str">
        <f t="shared" si="964"/>
        <v/>
      </c>
      <c r="OW228" s="43" t="str">
        <f t="shared" si="965"/>
        <v/>
      </c>
      <c r="OX228" s="43" t="str">
        <f t="shared" si="966"/>
        <v/>
      </c>
      <c r="OY228" s="43" t="str">
        <f t="shared" si="967"/>
        <v/>
      </c>
      <c r="OZ228" s="43" t="str">
        <f t="shared" si="968"/>
        <v/>
      </c>
      <c r="PA228" s="43" t="str">
        <f t="shared" si="969"/>
        <v/>
      </c>
      <c r="PB228" s="43" t="str">
        <f t="shared" si="970"/>
        <v/>
      </c>
      <c r="PC228" s="43" t="str">
        <f t="shared" si="971"/>
        <v/>
      </c>
      <c r="PD228" s="43" t="str">
        <f t="shared" si="972"/>
        <v/>
      </c>
      <c r="PE228" s="43" t="str">
        <f t="shared" si="973"/>
        <v/>
      </c>
      <c r="PF228" s="43" t="str">
        <f t="shared" si="974"/>
        <v/>
      </c>
      <c r="PG228" s="43" t="str">
        <f t="shared" si="975"/>
        <v/>
      </c>
      <c r="PH228" s="43" t="str">
        <f t="shared" si="976"/>
        <v/>
      </c>
      <c r="PI228" s="43">
        <f t="shared" si="977"/>
        <v>11</v>
      </c>
      <c r="PJ228" s="43" t="str">
        <f t="shared" si="978"/>
        <v/>
      </c>
      <c r="PK228" s="43" t="str">
        <f t="shared" si="979"/>
        <v/>
      </c>
      <c r="PL228" s="43" t="str">
        <f t="shared" si="980"/>
        <v>NORMAL</v>
      </c>
      <c r="PM228" s="43" t="str">
        <f t="shared" si="981"/>
        <v/>
      </c>
      <c r="PN228" s="43" t="str">
        <f t="shared" si="982"/>
        <v/>
      </c>
      <c r="PO228" s="43" t="str">
        <f t="shared" si="983"/>
        <v/>
      </c>
      <c r="PP228" s="43" t="str">
        <f t="shared" si="984"/>
        <v/>
      </c>
      <c r="PQ228" s="43" t="str">
        <f t="shared" si="985"/>
        <v/>
      </c>
      <c r="PR228" s="43" t="str">
        <f t="shared" si="986"/>
        <v/>
      </c>
      <c r="PS228" s="43" t="str">
        <f t="shared" si="987"/>
        <v/>
      </c>
      <c r="PT228" s="43" t="str">
        <f t="shared" si="988"/>
        <v/>
      </c>
      <c r="PU228" s="43" t="str">
        <f t="shared" si="989"/>
        <v/>
      </c>
      <c r="PV228" s="43" t="str">
        <f t="shared" si="990"/>
        <v/>
      </c>
      <c r="PW228" s="43" t="str">
        <f t="shared" si="991"/>
        <v/>
      </c>
      <c r="PX228" s="43" t="str">
        <f t="shared" si="992"/>
        <v/>
      </c>
      <c r="PY228" s="43" t="str">
        <f t="shared" si="993"/>
        <v/>
      </c>
      <c r="PZ228" s="43" t="str">
        <f t="shared" si="994"/>
        <v/>
      </c>
      <c r="QA228" s="43" t="str">
        <f t="shared" si="995"/>
        <v/>
      </c>
      <c r="QB228" s="43" t="str">
        <f t="shared" si="996"/>
        <v/>
      </c>
      <c r="QC228" s="43" t="str">
        <f t="shared" si="997"/>
        <v/>
      </c>
      <c r="QD228" s="43" t="str">
        <f t="shared" si="998"/>
        <v/>
      </c>
      <c r="QE228" s="43" t="str">
        <f t="shared" si="999"/>
        <v/>
      </c>
      <c r="QF228" s="43" t="str">
        <f t="shared" si="1000"/>
        <v/>
      </c>
      <c r="QG228" s="43" t="str">
        <f t="shared" si="1001"/>
        <v/>
      </c>
      <c r="QH228" s="43" t="str">
        <f t="shared" si="1002"/>
        <v/>
      </c>
      <c r="QI228" s="43" t="str">
        <f t="shared" si="1003"/>
        <v/>
      </c>
      <c r="QJ228" s="43" t="str">
        <f t="shared" si="1004"/>
        <v/>
      </c>
      <c r="QK228" s="43" t="str">
        <f t="shared" si="1005"/>
        <v/>
      </c>
      <c r="QL228" s="43" t="str">
        <f t="shared" si="1006"/>
        <v/>
      </c>
      <c r="QM228" s="43" t="str">
        <f t="shared" si="1007"/>
        <v/>
      </c>
      <c r="QN228" s="43" t="str">
        <f t="shared" si="1008"/>
        <v/>
      </c>
      <c r="QO228" s="43" t="str">
        <f t="shared" si="1009"/>
        <v/>
      </c>
      <c r="QP228" s="43" t="str">
        <f t="shared" si="1010"/>
        <v/>
      </c>
      <c r="QQ228" s="43" t="str">
        <f t="shared" si="1011"/>
        <v/>
      </c>
      <c r="QR228" s="43" t="str">
        <f t="shared" si="1012"/>
        <v>Menor</v>
      </c>
      <c r="QS228" s="43"/>
      <c r="QT228" s="21" t="str">
        <f t="shared" si="1013"/>
        <v/>
      </c>
      <c r="QU228" s="21" t="str">
        <f t="shared" si="1014"/>
        <v/>
      </c>
      <c r="QV228" s="21" t="str">
        <f t="shared" si="1015"/>
        <v/>
      </c>
      <c r="QW228" s="21" t="str">
        <f t="shared" si="1016"/>
        <v/>
      </c>
      <c r="QX228" s="21" t="str">
        <f t="shared" si="1017"/>
        <v/>
      </c>
      <c r="QY228" s="21" t="str">
        <f t="shared" si="1018"/>
        <v/>
      </c>
      <c r="QZ228" s="21" t="str">
        <f t="shared" si="1019"/>
        <v/>
      </c>
      <c r="RA228" s="21" t="str">
        <f t="shared" si="1020"/>
        <v/>
      </c>
      <c r="RB228" s="21" t="str">
        <f t="shared" si="1021"/>
        <v/>
      </c>
      <c r="RC228" s="21" t="str">
        <f t="shared" si="1022"/>
        <v/>
      </c>
      <c r="RD228" s="21" t="str">
        <f t="shared" si="1023"/>
        <v/>
      </c>
      <c r="RE228" s="21" t="str">
        <f t="shared" si="1024"/>
        <v/>
      </c>
      <c r="RF228" s="21" t="str">
        <f t="shared" si="1025"/>
        <v/>
      </c>
      <c r="RG228" s="21" t="str">
        <f t="shared" si="1026"/>
        <v/>
      </c>
      <c r="RH228" s="21" t="str">
        <f t="shared" si="1027"/>
        <v/>
      </c>
      <c r="RI228" s="21" t="str">
        <f t="shared" si="1028"/>
        <v/>
      </c>
      <c r="RJ228" s="21" t="str">
        <f t="shared" si="1029"/>
        <v/>
      </c>
      <c r="RK228" s="21" t="str">
        <f t="shared" si="1030"/>
        <v/>
      </c>
      <c r="RL228" s="21" t="str">
        <f t="shared" si="1031"/>
        <v/>
      </c>
      <c r="RM228" s="21" t="str">
        <f t="shared" si="1032"/>
        <v/>
      </c>
      <c r="RN228" s="21" t="str">
        <f t="shared" si="1033"/>
        <v/>
      </c>
      <c r="RO228" s="21" t="str">
        <f t="shared" si="1034"/>
        <v/>
      </c>
      <c r="RP228" s="21" t="str">
        <f t="shared" si="1035"/>
        <v/>
      </c>
      <c r="RQ228" s="21" t="str">
        <f t="shared" si="1036"/>
        <v/>
      </c>
      <c r="RR228" s="21" t="str">
        <f t="shared" si="1037"/>
        <v/>
      </c>
      <c r="RS228" s="21" t="str">
        <f t="shared" si="1038"/>
        <v/>
      </c>
      <c r="RT228" s="21" t="str">
        <f t="shared" si="1039"/>
        <v/>
      </c>
      <c r="RU228" s="21" t="str">
        <f t="shared" si="1040"/>
        <v/>
      </c>
      <c r="RV228" s="21">
        <f t="shared" si="1041"/>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42"/>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41"/>
        <v>23.942465753424656</v>
      </c>
      <c r="O229" s="22">
        <v>45143</v>
      </c>
      <c r="P229" s="214" t="str">
        <f t="shared" si="919"/>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2"/>
        <v>21.933333333333334</v>
      </c>
      <c r="BR229" s="223">
        <f t="shared" si="843"/>
        <v>44953</v>
      </c>
      <c r="BS229" s="224">
        <f t="shared" si="844"/>
        <v>28.285714285714285</v>
      </c>
      <c r="BT229" s="216" t="str">
        <f t="shared" si="845"/>
        <v>III TRIM</v>
      </c>
      <c r="BU229" s="214">
        <f t="shared" ca="1" si="928"/>
        <v>41</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7"/>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8"/>
        <v>45143</v>
      </c>
      <c r="CL229" s="21">
        <v>54.5</v>
      </c>
      <c r="CM229" s="214">
        <f t="shared" si="849"/>
        <v>23.902460418402701</v>
      </c>
      <c r="CN229" s="216">
        <f t="shared" si="850"/>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5"/>
        <v/>
      </c>
      <c r="DA229" s="21">
        <v>100</v>
      </c>
      <c r="DB229" s="21">
        <v>60</v>
      </c>
      <c r="DC229" s="217" t="str">
        <f t="shared" si="851"/>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20"/>
        <v>CONCERTAR PLAN DE PARTO INMEDIATO</v>
      </c>
      <c r="DV229" s="226" t="str">
        <f t="shared" si="921"/>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2"/>
        <v>#REF!</v>
      </c>
      <c r="DY229" s="212">
        <f>IF(R229="","",IF(R229&gt;0,MAX(Tabla1[[#This Row],[FECHA C2]:[FECHA C13]],Tabla1[[#This Row],[FECHA CONSULTA PRIMERA VEZ PROGRAMA CPN ]])))</f>
        <v>45143</v>
      </c>
      <c r="DZ229" s="216">
        <f t="shared" si="853"/>
        <v>28</v>
      </c>
      <c r="EA229" s="222">
        <f>IF(R229&gt;0,SUM(COUNTA(DF229:DQ229)+COUNTA(Tabla1[[#This Row],[FECHA CONSULTA PRIMERA VEZ PROGRAMA CPN ]])),"")</f>
        <v>1</v>
      </c>
      <c r="EB229" s="222" t="str">
        <f t="shared" si="854"/>
        <v>NO</v>
      </c>
      <c r="EC229" s="214">
        <f t="shared" si="855"/>
        <v>4</v>
      </c>
      <c r="ED229" s="227">
        <f t="shared" si="856"/>
        <v>0.25</v>
      </c>
      <c r="EE229" s="22">
        <v>45143</v>
      </c>
      <c r="EF229" s="22">
        <v>45146</v>
      </c>
      <c r="EG229" s="22">
        <v>45143</v>
      </c>
      <c r="EH229" s="22"/>
      <c r="EI229" s="22">
        <v>45143</v>
      </c>
      <c r="EJ229" s="22"/>
      <c r="EK229" s="22"/>
      <c r="EL229" s="21"/>
      <c r="EM229" s="21">
        <v>11.7</v>
      </c>
      <c r="EN229" s="22">
        <v>45147</v>
      </c>
      <c r="EO229" s="222">
        <f t="shared" si="857"/>
        <v>28.857142857142858</v>
      </c>
      <c r="EP229" s="214" t="str">
        <f t="shared" si="858"/>
        <v>NORMAL- SUMINISTRAR SULFATO FERROSO</v>
      </c>
      <c r="EQ229" s="216" t="str">
        <f t="shared" si="859"/>
        <v>III TRIM</v>
      </c>
      <c r="ER229" s="24"/>
      <c r="ES229" s="22"/>
      <c r="ET229" s="29" t="str">
        <f t="shared" ca="1" si="922"/>
        <v>TOMA DE HEMOGLOBINA TARDÍA</v>
      </c>
      <c r="EU229" s="25" t="str">
        <f t="shared" si="860"/>
        <v/>
      </c>
      <c r="EV229" s="24" t="s">
        <v>1510</v>
      </c>
      <c r="EW229" s="22">
        <v>45147</v>
      </c>
      <c r="EX229" s="22"/>
      <c r="EY229" s="29">
        <f t="shared" si="1043"/>
        <v>28.857142857142858</v>
      </c>
      <c r="EZ229" s="25" t="str">
        <f t="shared" si="1044"/>
        <v>SIN RIESGO DE ISOINMUNIZACIÓN</v>
      </c>
      <c r="FA229" s="21">
        <v>106</v>
      </c>
      <c r="FB229" s="22">
        <v>45147</v>
      </c>
      <c r="FC229" s="29" t="str">
        <f t="shared" si="861"/>
        <v>NO APLICA &gt; 23 SEM -TOMAR PTOG</v>
      </c>
      <c r="FD229" s="29"/>
      <c r="FE229" s="29"/>
      <c r="FF229" s="29"/>
      <c r="FG229" s="21" t="str">
        <f t="shared" ca="1" si="862"/>
        <v>TOMAR PTOG</v>
      </c>
      <c r="FH229" s="31"/>
      <c r="FI229" s="29" t="str">
        <f t="shared" si="863"/>
        <v>TOMAR EXAMEN</v>
      </c>
      <c r="FJ229" s="22"/>
      <c r="FK229" s="22"/>
      <c r="FL229" s="29" t="str">
        <f t="shared" ca="1" si="864"/>
        <v>NO APLICA-INGRESO TARDIO</v>
      </c>
      <c r="FM229" s="22"/>
      <c r="FN229" s="32"/>
      <c r="FO229" s="29" t="str">
        <f t="shared" ca="1" si="923"/>
        <v>NO APLICA-INGRESO TARDIO</v>
      </c>
      <c r="FP229" s="22" t="s">
        <v>867</v>
      </c>
      <c r="FQ229" s="32">
        <v>45147</v>
      </c>
      <c r="FR229" s="29">
        <f t="shared" ca="1" si="924"/>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5"/>
        <v>TOMAR EXAMEN</v>
      </c>
      <c r="FY229" s="22"/>
      <c r="FZ229" s="22"/>
      <c r="GA229" s="29" t="str">
        <f t="shared" ca="1" si="939"/>
        <v>NO APLICA-INGRESO TARDIO</v>
      </c>
      <c r="GB229" s="22"/>
      <c r="GC229" s="22"/>
      <c r="GD229" s="29" t="str">
        <f t="shared" ca="1" si="940"/>
        <v>NO APLICA-INGRESO TARDIO</v>
      </c>
      <c r="GE229" s="22" t="s">
        <v>868</v>
      </c>
      <c r="GF229" s="22">
        <v>45147</v>
      </c>
      <c r="GG229" s="29">
        <f t="shared" ca="1" si="926"/>
        <v>28.857142857142858</v>
      </c>
      <c r="GH229" s="22"/>
      <c r="GI229" s="29"/>
      <c r="GJ229" s="22"/>
      <c r="GK229" s="22"/>
      <c r="GL229" s="22"/>
      <c r="GM229" s="22"/>
      <c r="GN229" s="28" t="s">
        <v>869</v>
      </c>
      <c r="GO229" s="22">
        <v>45147</v>
      </c>
      <c r="GP229" s="29">
        <f t="shared" si="866"/>
        <v>28.857142857142858</v>
      </c>
      <c r="GQ229" s="28" t="s">
        <v>869</v>
      </c>
      <c r="GR229" s="28" t="s">
        <v>869</v>
      </c>
      <c r="GS229" s="22" t="str">
        <f t="shared" si="1047"/>
        <v>CONTROL Igm</v>
      </c>
      <c r="GT229" s="22">
        <v>45147</v>
      </c>
      <c r="GU229" s="29">
        <f t="shared" si="867"/>
        <v>28.857142857142858</v>
      </c>
      <c r="GV229" s="21" t="str">
        <f t="shared" si="868"/>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9"/>
        <v>#REF!</v>
      </c>
      <c r="HI229" s="22" t="e">
        <f t="shared" ca="1" si="870"/>
        <v>#REF!</v>
      </c>
      <c r="HJ229" s="21" t="str">
        <f t="shared" ca="1" si="871"/>
        <v>***************************EMBARAZO PROLONGADO************</v>
      </c>
      <c r="HK229" s="21" t="str">
        <f t="shared" si="872"/>
        <v>SIN ANTECEDENTES DE RIESGO</v>
      </c>
      <c r="HL229" s="24" t="str">
        <f t="shared" si="873"/>
        <v>APARENTEMENTE NORMAL</v>
      </c>
      <c r="HM229" s="21" t="e">
        <f t="shared" ca="1" si="874"/>
        <v>#REF!</v>
      </c>
      <c r="HN229" s="30" t="str">
        <f t="shared" si="927"/>
        <v>ACTIVA INGRESO A CPN</v>
      </c>
      <c r="HO229" s="21"/>
      <c r="HP229" s="21"/>
      <c r="HQ229" s="349"/>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5"/>
        <v>15.571428571428571</v>
      </c>
      <c r="IA229" s="26"/>
      <c r="IB229" s="26"/>
      <c r="IC229" s="111"/>
      <c r="ID229" s="22"/>
      <c r="IE229" s="22" t="str">
        <f t="shared" ca="1" si="876"/>
        <v>INASISTENTE</v>
      </c>
      <c r="IF229" s="22"/>
      <c r="IG229" s="22">
        <f t="shared" si="877"/>
        <v>45225</v>
      </c>
      <c r="IH229" s="29">
        <f t="shared" ca="1" si="878"/>
        <v>-7</v>
      </c>
      <c r="II229" s="22" t="str">
        <f t="shared" ca="1" si="879"/>
        <v>POSIBLEMENTE NACIO</v>
      </c>
      <c r="IJ229" s="22"/>
      <c r="IK229" s="21"/>
      <c r="IL229" s="21"/>
      <c r="IM229" s="34"/>
      <c r="IN229" s="22"/>
      <c r="IO229" s="21"/>
      <c r="IP229" s="29" t="str">
        <f t="shared" si="880"/>
        <v/>
      </c>
      <c r="IQ229" s="35"/>
      <c r="IR229" s="21"/>
      <c r="IS229" s="21"/>
      <c r="IT229" s="21"/>
      <c r="IU229" s="21"/>
      <c r="IV229" s="21"/>
      <c r="IW229" s="21"/>
      <c r="IX229" s="21"/>
      <c r="IY229" s="21"/>
      <c r="IZ229" s="21"/>
      <c r="JA229" s="21"/>
      <c r="JB229" s="30"/>
      <c r="JC229" s="21"/>
      <c r="JD229" s="36"/>
      <c r="JE229" s="21" t="str">
        <f t="shared" si="881"/>
        <v/>
      </c>
      <c r="JF229" s="30"/>
      <c r="JG229" s="21"/>
      <c r="JH229" s="21"/>
      <c r="JI229" s="21"/>
      <c r="JJ229" s="30"/>
      <c r="JK229" s="22"/>
      <c r="JL229" s="22"/>
      <c r="JM229" s="21"/>
      <c r="JN229" s="36"/>
      <c r="JO229" s="21" t="str">
        <f t="shared" si="882"/>
        <v/>
      </c>
      <c r="JP229" s="22"/>
      <c r="JQ229" s="21"/>
      <c r="JR229" s="21"/>
      <c r="JS229" s="21"/>
      <c r="JT229" s="30"/>
      <c r="JU229" s="22"/>
      <c r="JV229" s="22"/>
      <c r="JW229" s="33"/>
      <c r="JX229" s="28" t="str">
        <f t="shared" si="883"/>
        <v/>
      </c>
      <c r="JY229" s="33"/>
      <c r="JZ229" s="28" t="str">
        <f t="shared" si="884"/>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5"/>
        <v>0</v>
      </c>
      <c r="MI229" s="43" t="str">
        <f t="shared" si="929"/>
        <v/>
      </c>
      <c r="MJ229" s="43" t="str">
        <f t="shared" si="887"/>
        <v/>
      </c>
      <c r="MK229" s="43">
        <f t="shared" si="888"/>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30"/>
        <v>28.285714285714285</v>
      </c>
      <c r="MN229" s="43">
        <f t="shared" si="931"/>
        <v>8</v>
      </c>
      <c r="MO229" s="43">
        <f t="shared" si="932"/>
        <v>2023</v>
      </c>
      <c r="MP229" s="43" t="str">
        <f t="shared" si="892"/>
        <v>III TRIMESTRE AÑO</v>
      </c>
      <c r="MQ229" s="43">
        <f t="shared" si="933"/>
        <v>23.340998685939553</v>
      </c>
      <c r="MR229" s="43">
        <f t="shared" si="894"/>
        <v>0</v>
      </c>
      <c r="MS229" s="43" t="str">
        <f t="shared" si="895"/>
        <v xml:space="preserve"> DE 20 A 24 AÑOS</v>
      </c>
      <c r="MT229" s="43">
        <f t="shared" si="896"/>
        <v>0</v>
      </c>
      <c r="MU229" s="43">
        <f t="shared" si="897"/>
        <v>0</v>
      </c>
      <c r="MV229" s="43">
        <f t="shared" si="898"/>
        <v>0</v>
      </c>
      <c r="MW229" s="43">
        <f t="shared" si="899"/>
        <v>0</v>
      </c>
      <c r="MX229" s="43" t="str">
        <f t="shared" si="900"/>
        <v/>
      </c>
      <c r="MY229" s="43">
        <f t="shared" ca="1" si="901"/>
        <v>1</v>
      </c>
      <c r="MZ229" s="43" t="str">
        <f t="shared" si="902"/>
        <v/>
      </c>
      <c r="NA229" s="43">
        <f t="shared" si="903"/>
        <v>0</v>
      </c>
      <c r="NB229" s="43" t="str">
        <f t="shared" si="904"/>
        <v/>
      </c>
      <c r="NC229" s="43" t="str">
        <f t="shared" si="905"/>
        <v/>
      </c>
      <c r="ND229" s="43">
        <f t="shared" ca="1" si="934"/>
        <v>1</v>
      </c>
      <c r="NE229" s="43">
        <f>IF(OR(O229&gt;0,R229&gt;0),SUM(COUNTIF(Tabla1[[#This Row],[AÑOS AL INICIO5 CPN]],"&gt;=40"),COUNTIF(AS229,"0"),COUNTIF(AR229,"SI"),COUNTIF(CC229,"SI"),COUNTIF(BQ229,"&gt;119"),COUNTIF(CI229,"&gt;=35")),"")</f>
        <v>0</v>
      </c>
      <c r="NF229" s="43" t="str">
        <f t="shared" si="935"/>
        <v/>
      </c>
      <c r="NG229" s="43">
        <f t="shared" si="908"/>
        <v>0</v>
      </c>
      <c r="NH229" s="43">
        <f t="shared" si="909"/>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6"/>
        <v>X</v>
      </c>
      <c r="NM229" s="43" t="str">
        <f t="shared" si="941"/>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12"/>
        <v>III TRIM</v>
      </c>
      <c r="NQ229" s="21" t="str">
        <f t="shared" si="1046"/>
        <v/>
      </c>
      <c r="NR229" s="21">
        <f t="shared" si="937"/>
        <v>1</v>
      </c>
      <c r="NS229" s="205">
        <f t="shared" ca="1" si="914"/>
        <v>1</v>
      </c>
      <c r="NT229" s="21">
        <f t="shared" ca="1" si="915"/>
        <v>1</v>
      </c>
      <c r="NU229" s="21" t="str">
        <f t="shared" ca="1" si="916"/>
        <v>COMPLETO</v>
      </c>
      <c r="NV229" s="21" t="str">
        <f t="shared" ca="1" si="917"/>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8"/>
        <v>SIN VACUNAR</v>
      </c>
      <c r="NY229" s="43">
        <f>ROW(Tabla1[[#This Row],['# DE TAMIZAJES SIFILIS TOMADOS ]])</f>
        <v>229</v>
      </c>
      <c r="NZ229" s="43">
        <f t="shared" si="942"/>
        <v>28</v>
      </c>
      <c r="OA229" s="43" t="str">
        <f t="shared" si="943"/>
        <v/>
      </c>
      <c r="OB229" s="43" t="str">
        <f t="shared" si="944"/>
        <v/>
      </c>
      <c r="OC229" s="43" t="str">
        <f t="shared" si="945"/>
        <v/>
      </c>
      <c r="OD229" s="43" t="str">
        <f t="shared" si="946"/>
        <v/>
      </c>
      <c r="OE229" s="43" t="str">
        <f t="shared" si="947"/>
        <v/>
      </c>
      <c r="OF229" s="43" t="str">
        <f t="shared" si="948"/>
        <v/>
      </c>
      <c r="OG229" s="43" t="str">
        <f t="shared" si="949"/>
        <v/>
      </c>
      <c r="OH229" s="43" t="str">
        <f t="shared" si="950"/>
        <v/>
      </c>
      <c r="OI229" s="43" t="str">
        <f t="shared" si="951"/>
        <v/>
      </c>
      <c r="OJ229" s="43" t="str">
        <f t="shared" si="952"/>
        <v/>
      </c>
      <c r="OK229" s="43" t="str">
        <f t="shared" si="953"/>
        <v/>
      </c>
      <c r="OL229" s="43" t="str">
        <f t="shared" si="954"/>
        <v/>
      </c>
      <c r="OM229" s="43" t="str">
        <f t="shared" si="955"/>
        <v/>
      </c>
      <c r="ON229" s="43" t="str">
        <f t="shared" si="956"/>
        <v/>
      </c>
      <c r="OO229" s="43" t="str">
        <f t="shared" si="957"/>
        <v/>
      </c>
      <c r="OP229" s="43" t="str">
        <f t="shared" si="958"/>
        <v/>
      </c>
      <c r="OQ229" s="43" t="str">
        <f t="shared" si="959"/>
        <v/>
      </c>
      <c r="OR229" s="43" t="str">
        <f t="shared" si="960"/>
        <v/>
      </c>
      <c r="OS229" s="43" t="str">
        <f t="shared" si="961"/>
        <v/>
      </c>
      <c r="OT229" s="43" t="str">
        <f t="shared" si="962"/>
        <v>NORMAL</v>
      </c>
      <c r="OU229" s="43" t="str">
        <f t="shared" si="963"/>
        <v/>
      </c>
      <c r="OV229" s="110" t="str">
        <f t="shared" si="964"/>
        <v/>
      </c>
      <c r="OW229" s="43" t="str">
        <f t="shared" si="965"/>
        <v/>
      </c>
      <c r="OX229" s="43" t="str">
        <f t="shared" si="966"/>
        <v/>
      </c>
      <c r="OY229" s="43" t="str">
        <f t="shared" si="967"/>
        <v/>
      </c>
      <c r="OZ229" s="43" t="str">
        <f t="shared" si="968"/>
        <v/>
      </c>
      <c r="PA229" s="43" t="str">
        <f t="shared" si="969"/>
        <v/>
      </c>
      <c r="PB229" s="43" t="str">
        <f t="shared" si="970"/>
        <v/>
      </c>
      <c r="PC229" s="43" t="str">
        <f t="shared" si="971"/>
        <v/>
      </c>
      <c r="PD229" s="43" t="str">
        <f t="shared" si="972"/>
        <v/>
      </c>
      <c r="PE229" s="43" t="str">
        <f t="shared" si="973"/>
        <v/>
      </c>
      <c r="PF229" s="43" t="str">
        <f t="shared" si="974"/>
        <v/>
      </c>
      <c r="PG229" s="43" t="str">
        <f t="shared" si="975"/>
        <v/>
      </c>
      <c r="PH229" s="43" t="str">
        <f t="shared" si="976"/>
        <v/>
      </c>
      <c r="PI229" s="43">
        <f t="shared" si="977"/>
        <v>28</v>
      </c>
      <c r="PJ229" s="43" t="str">
        <f t="shared" si="978"/>
        <v/>
      </c>
      <c r="PK229" s="43" t="str">
        <f t="shared" si="979"/>
        <v/>
      </c>
      <c r="PL229" s="43" t="str">
        <f t="shared" si="980"/>
        <v/>
      </c>
      <c r="PM229" s="43" t="str">
        <f t="shared" si="981"/>
        <v/>
      </c>
      <c r="PN229" s="43" t="str">
        <f t="shared" si="982"/>
        <v/>
      </c>
      <c r="PO229" s="43" t="str">
        <f t="shared" si="983"/>
        <v/>
      </c>
      <c r="PP229" s="43" t="str">
        <f t="shared" si="984"/>
        <v/>
      </c>
      <c r="PQ229" s="43" t="str">
        <f t="shared" si="985"/>
        <v/>
      </c>
      <c r="PR229" s="43" t="str">
        <f t="shared" si="986"/>
        <v/>
      </c>
      <c r="PS229" s="43" t="str">
        <f t="shared" si="987"/>
        <v/>
      </c>
      <c r="PT229" s="43" t="str">
        <f t="shared" si="988"/>
        <v/>
      </c>
      <c r="PU229" s="43" t="str">
        <f t="shared" si="989"/>
        <v/>
      </c>
      <c r="PV229" s="43" t="str">
        <f t="shared" si="990"/>
        <v/>
      </c>
      <c r="PW229" s="43" t="str">
        <f t="shared" si="991"/>
        <v/>
      </c>
      <c r="PX229" s="43" t="str">
        <f t="shared" si="992"/>
        <v/>
      </c>
      <c r="PY229" s="43" t="str">
        <f t="shared" si="993"/>
        <v/>
      </c>
      <c r="PZ229" s="43" t="str">
        <f t="shared" si="994"/>
        <v/>
      </c>
      <c r="QA229" s="43" t="str">
        <f t="shared" si="995"/>
        <v/>
      </c>
      <c r="QB229" s="43" t="str">
        <f t="shared" si="996"/>
        <v/>
      </c>
      <c r="QC229" s="43" t="str">
        <f t="shared" si="997"/>
        <v>NORMAL</v>
      </c>
      <c r="QD229" s="43" t="str">
        <f t="shared" si="998"/>
        <v/>
      </c>
      <c r="QE229" s="43" t="str">
        <f t="shared" si="999"/>
        <v/>
      </c>
      <c r="QF229" s="43" t="str">
        <f t="shared" si="1000"/>
        <v/>
      </c>
      <c r="QG229" s="43" t="str">
        <f t="shared" si="1001"/>
        <v/>
      </c>
      <c r="QH229" s="43" t="str">
        <f t="shared" si="1002"/>
        <v/>
      </c>
      <c r="QI229" s="43" t="str">
        <f t="shared" si="1003"/>
        <v/>
      </c>
      <c r="QJ229" s="43" t="str">
        <f t="shared" si="1004"/>
        <v/>
      </c>
      <c r="QK229" s="43" t="str">
        <f t="shared" si="1005"/>
        <v/>
      </c>
      <c r="QL229" s="43" t="str">
        <f t="shared" si="1006"/>
        <v/>
      </c>
      <c r="QM229" s="43" t="str">
        <f t="shared" si="1007"/>
        <v/>
      </c>
      <c r="QN229" s="43" t="str">
        <f t="shared" si="1008"/>
        <v/>
      </c>
      <c r="QO229" s="43" t="str">
        <f t="shared" si="1009"/>
        <v/>
      </c>
      <c r="QP229" s="43" t="str">
        <f t="shared" si="1010"/>
        <v/>
      </c>
      <c r="QQ229" s="43" t="str">
        <f t="shared" si="1011"/>
        <v/>
      </c>
      <c r="QR229" s="43">
        <f t="shared" si="1012"/>
        <v>28</v>
      </c>
      <c r="QS229" s="43"/>
      <c r="QT229" s="21" t="str">
        <f t="shared" si="1013"/>
        <v/>
      </c>
      <c r="QU229" s="21" t="str">
        <f t="shared" si="1014"/>
        <v/>
      </c>
      <c r="QV229" s="21" t="str">
        <f t="shared" si="1015"/>
        <v/>
      </c>
      <c r="QW229" s="21" t="str">
        <f t="shared" si="1016"/>
        <v/>
      </c>
      <c r="QX229" s="21" t="str">
        <f t="shared" si="1017"/>
        <v/>
      </c>
      <c r="QY229" s="21" t="str">
        <f t="shared" si="1018"/>
        <v/>
      </c>
      <c r="QZ229" s="21" t="str">
        <f t="shared" si="1019"/>
        <v/>
      </c>
      <c r="RA229" s="21" t="str">
        <f t="shared" si="1020"/>
        <v/>
      </c>
      <c r="RB229" s="21" t="str">
        <f t="shared" si="1021"/>
        <v/>
      </c>
      <c r="RC229" s="21" t="str">
        <f t="shared" si="1022"/>
        <v/>
      </c>
      <c r="RD229" s="21" t="str">
        <f t="shared" si="1023"/>
        <v/>
      </c>
      <c r="RE229" s="21" t="str">
        <f t="shared" si="1024"/>
        <v/>
      </c>
      <c r="RF229" s="21" t="str">
        <f t="shared" si="1025"/>
        <v/>
      </c>
      <c r="RG229" s="21" t="str">
        <f t="shared" si="1026"/>
        <v/>
      </c>
      <c r="RH229" s="21" t="str">
        <f t="shared" si="1027"/>
        <v/>
      </c>
      <c r="RI229" s="21" t="str">
        <f t="shared" si="1028"/>
        <v>ADECUADO PARA EDAD GESTACIONAL</v>
      </c>
      <c r="RJ229" s="21" t="str">
        <f t="shared" si="1029"/>
        <v/>
      </c>
      <c r="RK229" s="21" t="str">
        <f t="shared" si="1030"/>
        <v/>
      </c>
      <c r="RL229" s="21" t="str">
        <f t="shared" si="1031"/>
        <v/>
      </c>
      <c r="RM229" s="21" t="str">
        <f t="shared" si="1032"/>
        <v/>
      </c>
      <c r="RN229" s="21" t="str">
        <f t="shared" si="1033"/>
        <v/>
      </c>
      <c r="RO229" s="21" t="str">
        <f t="shared" si="1034"/>
        <v/>
      </c>
      <c r="RP229" s="21" t="str">
        <f t="shared" si="1035"/>
        <v/>
      </c>
      <c r="RQ229" s="21" t="str">
        <f t="shared" si="1036"/>
        <v/>
      </c>
      <c r="RR229" s="21" t="str">
        <f t="shared" si="1037"/>
        <v/>
      </c>
      <c r="RS229" s="21" t="str">
        <f t="shared" si="1038"/>
        <v/>
      </c>
      <c r="RT229" s="21" t="str">
        <f t="shared" si="1039"/>
        <v/>
      </c>
      <c r="RU229" s="21" t="str">
        <f t="shared" si="1040"/>
        <v/>
      </c>
      <c r="RV229" s="21">
        <f t="shared" si="1041"/>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42"/>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41"/>
        <v>19.019178082191782</v>
      </c>
      <c r="O230" s="22">
        <v>45079</v>
      </c>
      <c r="P230" s="214" t="str">
        <f t="shared" si="919"/>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2"/>
        <v>0</v>
      </c>
      <c r="BR230" s="223">
        <f t="shared" si="843"/>
        <v>44886.5</v>
      </c>
      <c r="BS230" s="224">
        <f t="shared" si="844"/>
        <v>27.571428571428573</v>
      </c>
      <c r="BT230" s="216" t="str">
        <f t="shared" si="845"/>
        <v>III TRIM</v>
      </c>
      <c r="BU230" s="214" t="str">
        <f t="shared" ca="1" si="928"/>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7"/>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8"/>
        <v>45112</v>
      </c>
      <c r="CL230" s="21">
        <v>50.4</v>
      </c>
      <c r="CM230" s="214">
        <f t="shared" si="849"/>
        <v>23.971462544589773</v>
      </c>
      <c r="CN230" s="216">
        <f t="shared" si="850"/>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5"/>
        <v>APARENTEMENTE NORMAL</v>
      </c>
      <c r="DA230" s="21">
        <v>90</v>
      </c>
      <c r="DB230" s="21">
        <v>60</v>
      </c>
      <c r="DC230" s="217" t="str">
        <f t="shared" si="851"/>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20"/>
        <v>SALE SIN PLAN DE PARTO</v>
      </c>
      <c r="DV230" s="226" t="str">
        <f t="shared" si="921"/>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2"/>
        <v>DILIGENCIAR FECHA SALIDA PROGRAMA</v>
      </c>
      <c r="DY230" s="212">
        <f>IF(R230="","",IF(R230&gt;0,MAX(Tabla1[[#This Row],[FECHA C2]:[FECHA C13]],Tabla1[[#This Row],[FECHA CONSULTA PRIMERA VEZ PROGRAMA CPN ]])))</f>
        <v>45112</v>
      </c>
      <c r="DZ230" s="216">
        <f t="shared" si="853"/>
        <v>32</v>
      </c>
      <c r="EA230" s="222">
        <f>IF(R230&gt;0,SUM(COUNTA(DF230:DQ230)+COUNTA(Tabla1[[#This Row],[FECHA CONSULTA PRIMERA VEZ PROGRAMA CPN ]])),"")</f>
        <v>2</v>
      </c>
      <c r="EB230" s="222" t="str">
        <f t="shared" si="854"/>
        <v>NO</v>
      </c>
      <c r="EC230" s="214">
        <f t="shared" si="855"/>
        <v>5</v>
      </c>
      <c r="ED230" s="227">
        <f t="shared" si="856"/>
        <v>0.4</v>
      </c>
      <c r="EE230" s="22">
        <v>45079</v>
      </c>
      <c r="EF230" s="22">
        <v>45079</v>
      </c>
      <c r="EG230" s="22">
        <v>45079</v>
      </c>
      <c r="EH230" s="22"/>
      <c r="EI230" s="22">
        <v>45079</v>
      </c>
      <c r="EJ230" s="22"/>
      <c r="EK230" s="22"/>
      <c r="EL230" s="21"/>
      <c r="EM230" s="21">
        <v>11.8</v>
      </c>
      <c r="EN230" s="22">
        <v>45083</v>
      </c>
      <c r="EO230" s="222">
        <f t="shared" si="857"/>
        <v>28.142857142857142</v>
      </c>
      <c r="EP230" s="214" t="str">
        <f t="shared" si="858"/>
        <v>NORMAL- SUMINISTRAR SULFATO FERROSO</v>
      </c>
      <c r="EQ230" s="216" t="str">
        <f t="shared" si="859"/>
        <v>III TRIM</v>
      </c>
      <c r="ER230" s="24"/>
      <c r="ES230" s="22"/>
      <c r="ET230" s="29" t="str">
        <f t="shared" ca="1" si="922"/>
        <v>TOMA DE HEMOGLOBINA TARDÍA</v>
      </c>
      <c r="EU230" s="25" t="str">
        <f t="shared" si="860"/>
        <v/>
      </c>
      <c r="EV230" s="24" t="s">
        <v>1510</v>
      </c>
      <c r="EW230" s="22"/>
      <c r="EX230" s="22">
        <v>45083</v>
      </c>
      <c r="EY230" s="29" t="str">
        <f t="shared" si="1043"/>
        <v>TOMAR EXAMEN</v>
      </c>
      <c r="EZ230" s="25" t="str">
        <f t="shared" si="1044"/>
        <v>SIN RIESGO DE ISOINMUNIZACIÓN</v>
      </c>
      <c r="FA230" s="21">
        <v>78</v>
      </c>
      <c r="FB230" s="22">
        <v>45083</v>
      </c>
      <c r="FC230" s="29" t="str">
        <f t="shared" si="861"/>
        <v>NO APLICA &gt; 23 SEM -TOMAR PTOG</v>
      </c>
      <c r="FD230" s="29"/>
      <c r="FE230" s="29"/>
      <c r="FF230" s="29"/>
      <c r="FG230" s="21" t="str">
        <f t="shared" ca="1" si="862"/>
        <v/>
      </c>
      <c r="FH230" s="31"/>
      <c r="FI230" s="29" t="str">
        <f t="shared" si="863"/>
        <v>TOMAR EXAMEN</v>
      </c>
      <c r="FJ230" s="22"/>
      <c r="FK230" s="22"/>
      <c r="FL230" s="29" t="str">
        <f t="shared" ca="1" si="864"/>
        <v>NO APLICA-INGRESO TARDIO</v>
      </c>
      <c r="FM230" s="22" t="s">
        <v>867</v>
      </c>
      <c r="FN230" s="32">
        <v>45083</v>
      </c>
      <c r="FO230" s="29" t="str">
        <f t="shared" ca="1" si="923"/>
        <v>REGISTRAR EN III TRIMESTRE</v>
      </c>
      <c r="FP230" s="22"/>
      <c r="FQ230" s="32"/>
      <c r="FR230" s="29" t="str">
        <f t="shared" ca="1" si="924"/>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5"/>
        <v>TOMAR EXAMEN</v>
      </c>
      <c r="FY230" s="22"/>
      <c r="FZ230" s="22"/>
      <c r="GA230" s="29" t="str">
        <f t="shared" ca="1" si="939"/>
        <v>NO APLICA-INGRESO TARDIO</v>
      </c>
      <c r="GB230" s="22"/>
      <c r="GC230" s="22"/>
      <c r="GD230" s="29"/>
      <c r="GE230" s="22" t="s">
        <v>868</v>
      </c>
      <c r="GF230" s="22">
        <v>45083</v>
      </c>
      <c r="GG230" s="29">
        <f t="shared" ca="1" si="926"/>
        <v>28.142857142857142</v>
      </c>
      <c r="GH230" s="22"/>
      <c r="GI230" s="29"/>
      <c r="GJ230" s="22"/>
      <c r="GK230" s="22"/>
      <c r="GL230" s="22"/>
      <c r="GM230" s="22"/>
      <c r="GN230" s="28" t="s">
        <v>869</v>
      </c>
      <c r="GO230" s="22">
        <v>45083</v>
      </c>
      <c r="GP230" s="29">
        <f t="shared" si="866"/>
        <v>28.142857142857142</v>
      </c>
      <c r="GQ230" s="28" t="s">
        <v>869</v>
      </c>
      <c r="GR230" s="28" t="s">
        <v>869</v>
      </c>
      <c r="GS230" s="22" t="str">
        <f t="shared" si="1047"/>
        <v>CONTROL Igm</v>
      </c>
      <c r="GT230" s="22">
        <v>45083</v>
      </c>
      <c r="GU230" s="29">
        <f t="shared" si="867"/>
        <v>28.142857142857142</v>
      </c>
      <c r="GV230" s="21" t="str">
        <f t="shared" si="868"/>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9"/>
        <v>#REF!</v>
      </c>
      <c r="HI230" s="22" t="e">
        <f t="shared" ca="1" si="870"/>
        <v>#REF!</v>
      </c>
      <c r="HJ230" s="21" t="str">
        <f t="shared" ca="1" si="871"/>
        <v>**********************MULTIPARIDAD*****************</v>
      </c>
      <c r="HK230" s="21" t="str">
        <f t="shared" si="872"/>
        <v>SIN ANTECEDENTES DE RIESGO</v>
      </c>
      <c r="HL230" s="24" t="str">
        <f t="shared" si="873"/>
        <v>APARENTEMENTE NORMAL</v>
      </c>
      <c r="HM230" s="21" t="str">
        <f t="shared" ca="1" si="874"/>
        <v>DILIGENCIAR FECHA SALIDA PROGRAMA</v>
      </c>
      <c r="HN230" s="30" t="str">
        <f t="shared" si="927"/>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5"/>
        <v>PENDIENTE CONSULTA</v>
      </c>
      <c r="IA230" s="26"/>
      <c r="IB230" s="26"/>
      <c r="IC230" s="111"/>
      <c r="ID230" s="22"/>
      <c r="IE230" s="22" t="str">
        <f t="shared" ca="1" si="876"/>
        <v>SALE SIN VACUNA</v>
      </c>
      <c r="IF230" s="22"/>
      <c r="IG230" s="22">
        <f t="shared" si="877"/>
        <v>45166</v>
      </c>
      <c r="IH230" s="29">
        <f t="shared" ca="1" si="878"/>
        <v>-66</v>
      </c>
      <c r="II230" s="22" t="str">
        <f t="shared" ca="1" si="879"/>
        <v>POSIBLEMENTE NACIO</v>
      </c>
      <c r="IJ230" s="22"/>
      <c r="IK230" s="21" t="s">
        <v>898</v>
      </c>
      <c r="IL230" s="21"/>
      <c r="IM230" s="34"/>
      <c r="IN230" s="349"/>
      <c r="IO230" s="21"/>
      <c r="IP230" s="29" t="str">
        <f t="shared" si="880"/>
        <v/>
      </c>
      <c r="IQ230" s="35"/>
      <c r="IR230" s="21"/>
      <c r="IS230" s="21"/>
      <c r="IT230" s="21"/>
      <c r="IU230" s="21"/>
      <c r="IV230" s="21"/>
      <c r="IW230" s="21"/>
      <c r="IX230" s="21"/>
      <c r="IY230" s="21"/>
      <c r="IZ230" s="21"/>
      <c r="JA230" s="21"/>
      <c r="JB230" s="30"/>
      <c r="JC230" s="21"/>
      <c r="JD230" s="36"/>
      <c r="JE230" s="21" t="str">
        <f t="shared" si="881"/>
        <v/>
      </c>
      <c r="JF230" s="30"/>
      <c r="JG230" s="21"/>
      <c r="JH230" s="21"/>
      <c r="JI230" s="21"/>
      <c r="JJ230" s="30"/>
      <c r="JK230" s="22"/>
      <c r="JL230" s="22"/>
      <c r="JM230" s="21"/>
      <c r="JN230" s="36"/>
      <c r="JO230" s="21" t="str">
        <f t="shared" si="882"/>
        <v/>
      </c>
      <c r="JP230" s="22"/>
      <c r="JQ230" s="21"/>
      <c r="JR230" s="21"/>
      <c r="JS230" s="21"/>
      <c r="JT230" s="30"/>
      <c r="JU230" s="22"/>
      <c r="JV230" s="22"/>
      <c r="JW230" s="33"/>
      <c r="JX230" s="28" t="str">
        <f t="shared" si="883"/>
        <v/>
      </c>
      <c r="JY230" s="33"/>
      <c r="JZ230" s="28" t="str">
        <f t="shared" si="884"/>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5"/>
        <v>0</v>
      </c>
      <c r="MI230" s="43" t="str">
        <f t="shared" si="929"/>
        <v/>
      </c>
      <c r="MJ230" s="43" t="str">
        <f t="shared" si="887"/>
        <v/>
      </c>
      <c r="MK230" s="43">
        <f t="shared" si="888"/>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30"/>
        <v>27.571428571428573</v>
      </c>
      <c r="MN230" s="43">
        <f t="shared" si="931"/>
        <v>6</v>
      </c>
      <c r="MO230" s="43">
        <f t="shared" si="932"/>
        <v>2023</v>
      </c>
      <c r="MP230" s="43" t="str">
        <f t="shared" si="892"/>
        <v>II TRIMESTRE AÑO</v>
      </c>
      <c r="MQ230" s="43">
        <f t="shared" si="933"/>
        <v>18.320192728865525</v>
      </c>
      <c r="MR230" s="43">
        <f t="shared" si="894"/>
        <v>0</v>
      </c>
      <c r="MS230" s="43" t="str">
        <f t="shared" si="895"/>
        <v>DE 14 A 19AÑOS</v>
      </c>
      <c r="MT230" s="43">
        <f t="shared" si="896"/>
        <v>0</v>
      </c>
      <c r="MU230" s="43">
        <f t="shared" si="897"/>
        <v>1</v>
      </c>
      <c r="MV230" s="43">
        <f t="shared" si="898"/>
        <v>0</v>
      </c>
      <c r="MW230" s="43">
        <f t="shared" si="899"/>
        <v>0</v>
      </c>
      <c r="MX230" s="43" t="str">
        <f t="shared" si="900"/>
        <v/>
      </c>
      <c r="MY230" s="43" t="str">
        <f t="shared" ca="1" si="901"/>
        <v/>
      </c>
      <c r="MZ230" s="43" t="str">
        <f t="shared" si="902"/>
        <v/>
      </c>
      <c r="NA230" s="43">
        <f t="shared" si="903"/>
        <v>0</v>
      </c>
      <c r="NB230" s="43" t="str">
        <f t="shared" si="904"/>
        <v/>
      </c>
      <c r="NC230" s="43" t="str">
        <f t="shared" si="905"/>
        <v/>
      </c>
      <c r="ND230" s="43">
        <f t="shared" ca="1" si="934"/>
        <v>1</v>
      </c>
      <c r="NE230" s="43">
        <f>IF(OR(O230&gt;0,R230&gt;0),SUM(COUNTIF(Tabla1[[#This Row],[AÑOS AL INICIO5 CPN]],"&gt;=40"),COUNTIF(AS230,"0"),COUNTIF(AR230,"SI"),COUNTIF(CC230,"SI"),COUNTIF(BQ230,"&gt;119"),COUNTIF(CI230,"&gt;=35")),"")</f>
        <v>1</v>
      </c>
      <c r="NF230" s="43" t="str">
        <f t="shared" si="935"/>
        <v/>
      </c>
      <c r="NG230" s="43">
        <f t="shared" si="908"/>
        <v>0</v>
      </c>
      <c r="NH230" s="43">
        <f t="shared" si="909"/>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6"/>
        <v>X</v>
      </c>
      <c r="NM230" s="43" t="str">
        <f t="shared" si="941"/>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12"/>
        <v>III TRIM</v>
      </c>
      <c r="NQ230" s="21" t="str">
        <f t="shared" si="1046"/>
        <v/>
      </c>
      <c r="NR230" s="21" t="str">
        <f t="shared" ca="1" si="937"/>
        <v>REVISAR FUM O FECHA SALIDA PROGRAMA</v>
      </c>
      <c r="NS230" s="205">
        <f t="shared" ca="1" si="914"/>
        <v>0</v>
      </c>
      <c r="NT230" s="21">
        <f t="shared" ca="1" si="915"/>
        <v>1</v>
      </c>
      <c r="NU230" s="21" t="str">
        <f t="shared" ca="1" si="916"/>
        <v>POR DEFINIR</v>
      </c>
      <c r="NV230" s="21" t="str">
        <f t="shared" ca="1" si="917"/>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8"/>
        <v>SIN VACUNAR</v>
      </c>
      <c r="NY230" s="43">
        <f>ROW(Tabla1[[#This Row],['# DE TAMIZAJES SIFILIS TOMADOS ]])</f>
        <v>230</v>
      </c>
      <c r="NZ230" s="43">
        <f t="shared" si="942"/>
        <v>27</v>
      </c>
      <c r="OA230" s="43" t="str">
        <f t="shared" si="943"/>
        <v/>
      </c>
      <c r="OB230" s="43" t="str">
        <f t="shared" si="944"/>
        <v/>
      </c>
      <c r="OC230" s="43" t="str">
        <f t="shared" si="945"/>
        <v/>
      </c>
      <c r="OD230" s="43" t="str">
        <f t="shared" si="946"/>
        <v/>
      </c>
      <c r="OE230" s="43" t="str">
        <f t="shared" si="947"/>
        <v/>
      </c>
      <c r="OF230" s="43" t="str">
        <f t="shared" si="948"/>
        <v/>
      </c>
      <c r="OG230" s="43" t="str">
        <f t="shared" si="949"/>
        <v/>
      </c>
      <c r="OH230" s="43" t="str">
        <f t="shared" si="950"/>
        <v/>
      </c>
      <c r="OI230" s="43" t="str">
        <f t="shared" si="951"/>
        <v/>
      </c>
      <c r="OJ230" s="43" t="str">
        <f t="shared" si="952"/>
        <v/>
      </c>
      <c r="OK230" s="43" t="str">
        <f t="shared" si="953"/>
        <v/>
      </c>
      <c r="OL230" s="43" t="str">
        <f t="shared" si="954"/>
        <v/>
      </c>
      <c r="OM230" s="43" t="str">
        <f t="shared" si="955"/>
        <v/>
      </c>
      <c r="ON230" s="43" t="str">
        <f t="shared" si="956"/>
        <v/>
      </c>
      <c r="OO230" s="43" t="str">
        <f t="shared" si="957"/>
        <v/>
      </c>
      <c r="OP230" s="43" t="str">
        <f t="shared" si="958"/>
        <v/>
      </c>
      <c r="OQ230" s="43" t="str">
        <f t="shared" si="959"/>
        <v/>
      </c>
      <c r="OR230" s="43" t="str">
        <f t="shared" si="960"/>
        <v/>
      </c>
      <c r="OS230" s="43" t="str">
        <f t="shared" si="961"/>
        <v>BAJO PESO</v>
      </c>
      <c r="OT230" s="43" t="str">
        <f t="shared" si="962"/>
        <v/>
      </c>
      <c r="OU230" s="43" t="str">
        <f t="shared" si="963"/>
        <v/>
      </c>
      <c r="OV230" s="110" t="str">
        <f t="shared" si="964"/>
        <v/>
      </c>
      <c r="OW230" s="43" t="str">
        <f t="shared" si="965"/>
        <v/>
      </c>
      <c r="OX230" s="43" t="str">
        <f t="shared" si="966"/>
        <v/>
      </c>
      <c r="OY230" s="43" t="str">
        <f t="shared" si="967"/>
        <v/>
      </c>
      <c r="OZ230" s="43" t="str">
        <f t="shared" si="968"/>
        <v/>
      </c>
      <c r="PA230" s="43" t="str">
        <f t="shared" si="969"/>
        <v/>
      </c>
      <c r="PB230" s="43" t="str">
        <f t="shared" si="970"/>
        <v/>
      </c>
      <c r="PC230" s="43" t="str">
        <f t="shared" si="971"/>
        <v/>
      </c>
      <c r="PD230" s="43" t="str">
        <f t="shared" si="972"/>
        <v/>
      </c>
      <c r="PE230" s="43" t="str">
        <f t="shared" si="973"/>
        <v/>
      </c>
      <c r="PF230" s="43" t="str">
        <f t="shared" si="974"/>
        <v/>
      </c>
      <c r="PG230" s="43" t="str">
        <f t="shared" si="975"/>
        <v/>
      </c>
      <c r="PH230" s="43" t="str">
        <f t="shared" si="976"/>
        <v/>
      </c>
      <c r="PI230" s="43">
        <f t="shared" si="977"/>
        <v>32</v>
      </c>
      <c r="PJ230" s="43" t="str">
        <f t="shared" si="978"/>
        <v/>
      </c>
      <c r="PK230" s="43" t="str">
        <f t="shared" si="979"/>
        <v/>
      </c>
      <c r="PL230" s="43" t="str">
        <f t="shared" si="980"/>
        <v/>
      </c>
      <c r="PM230" s="43" t="str">
        <f t="shared" si="981"/>
        <v/>
      </c>
      <c r="PN230" s="43" t="str">
        <f t="shared" si="982"/>
        <v/>
      </c>
      <c r="PO230" s="43" t="str">
        <f t="shared" si="983"/>
        <v/>
      </c>
      <c r="PP230" s="43" t="str">
        <f t="shared" si="984"/>
        <v/>
      </c>
      <c r="PQ230" s="43" t="str">
        <f t="shared" si="985"/>
        <v/>
      </c>
      <c r="PR230" s="43" t="str">
        <f t="shared" si="986"/>
        <v/>
      </c>
      <c r="PS230" s="43" t="str">
        <f t="shared" si="987"/>
        <v/>
      </c>
      <c r="PT230" s="43" t="str">
        <f t="shared" si="988"/>
        <v/>
      </c>
      <c r="PU230" s="43" t="str">
        <f t="shared" si="989"/>
        <v/>
      </c>
      <c r="PV230" s="43" t="str">
        <f t="shared" si="990"/>
        <v/>
      </c>
      <c r="PW230" s="43" t="str">
        <f t="shared" si="991"/>
        <v/>
      </c>
      <c r="PX230" s="43" t="str">
        <f t="shared" si="992"/>
        <v/>
      </c>
      <c r="PY230" s="43" t="str">
        <f t="shared" si="993"/>
        <v/>
      </c>
      <c r="PZ230" s="43" t="str">
        <f t="shared" si="994"/>
        <v/>
      </c>
      <c r="QA230" s="43" t="str">
        <f t="shared" si="995"/>
        <v/>
      </c>
      <c r="QB230" s="43" t="str">
        <f t="shared" si="996"/>
        <v/>
      </c>
      <c r="QC230" s="43" t="str">
        <f t="shared" si="997"/>
        <v/>
      </c>
      <c r="QD230" s="43" t="str">
        <f t="shared" si="998"/>
        <v/>
      </c>
      <c r="QE230" s="43" t="str">
        <f t="shared" si="999"/>
        <v/>
      </c>
      <c r="QF230" s="43" t="str">
        <f t="shared" si="1000"/>
        <v/>
      </c>
      <c r="QG230" s="43" t="str">
        <f t="shared" si="1001"/>
        <v>NORMAL</v>
      </c>
      <c r="QH230" s="43" t="str">
        <f t="shared" si="1002"/>
        <v/>
      </c>
      <c r="QI230" s="43" t="str">
        <f t="shared" si="1003"/>
        <v/>
      </c>
      <c r="QJ230" s="43" t="str">
        <f t="shared" si="1004"/>
        <v/>
      </c>
      <c r="QK230" s="43" t="str">
        <f t="shared" si="1005"/>
        <v/>
      </c>
      <c r="QL230" s="43" t="str">
        <f t="shared" si="1006"/>
        <v/>
      </c>
      <c r="QM230" s="43" t="str">
        <f t="shared" si="1007"/>
        <v/>
      </c>
      <c r="QN230" s="43" t="str">
        <f t="shared" si="1008"/>
        <v/>
      </c>
      <c r="QO230" s="43" t="str">
        <f t="shared" si="1009"/>
        <v/>
      </c>
      <c r="QP230" s="43" t="str">
        <f t="shared" si="1010"/>
        <v/>
      </c>
      <c r="QQ230" s="43" t="str">
        <f t="shared" si="1011"/>
        <v/>
      </c>
      <c r="QR230" s="43">
        <f t="shared" si="1012"/>
        <v>32</v>
      </c>
      <c r="QS230" s="43"/>
      <c r="QT230" s="21" t="str">
        <f t="shared" si="1013"/>
        <v/>
      </c>
      <c r="QU230" s="21" t="str">
        <f t="shared" si="1014"/>
        <v/>
      </c>
      <c r="QV230" s="21" t="str">
        <f t="shared" si="1015"/>
        <v/>
      </c>
      <c r="QW230" s="21" t="str">
        <f t="shared" si="1016"/>
        <v/>
      </c>
      <c r="QX230" s="21" t="str">
        <f t="shared" si="1017"/>
        <v/>
      </c>
      <c r="QY230" s="21" t="str">
        <f t="shared" si="1018"/>
        <v/>
      </c>
      <c r="QZ230" s="21" t="str">
        <f t="shared" si="1019"/>
        <v/>
      </c>
      <c r="RA230" s="21" t="str">
        <f t="shared" si="1020"/>
        <v/>
      </c>
      <c r="RB230" s="21" t="str">
        <f t="shared" si="1021"/>
        <v/>
      </c>
      <c r="RC230" s="21" t="str">
        <f t="shared" si="1022"/>
        <v/>
      </c>
      <c r="RD230" s="21" t="str">
        <f t="shared" si="1023"/>
        <v/>
      </c>
      <c r="RE230" s="21" t="str">
        <f t="shared" si="1024"/>
        <v/>
      </c>
      <c r="RF230" s="21" t="str">
        <f t="shared" si="1025"/>
        <v/>
      </c>
      <c r="RG230" s="21" t="str">
        <f t="shared" si="1026"/>
        <v/>
      </c>
      <c r="RH230" s="21" t="str">
        <f t="shared" si="1027"/>
        <v/>
      </c>
      <c r="RI230" s="21" t="str">
        <f t="shared" si="1028"/>
        <v/>
      </c>
      <c r="RJ230" s="21" t="str">
        <f t="shared" si="1029"/>
        <v/>
      </c>
      <c r="RK230" s="21" t="str">
        <f t="shared" si="1030"/>
        <v/>
      </c>
      <c r="RL230" s="21" t="str">
        <f t="shared" si="1031"/>
        <v/>
      </c>
      <c r="RM230" s="21" t="str">
        <f t="shared" si="1032"/>
        <v>ADECUADO PARA EDAD GESTACIONAL</v>
      </c>
      <c r="RN230" s="21" t="str">
        <f t="shared" si="1033"/>
        <v/>
      </c>
      <c r="RO230" s="21" t="str">
        <f t="shared" si="1034"/>
        <v/>
      </c>
      <c r="RP230" s="21" t="str">
        <f t="shared" si="1035"/>
        <v/>
      </c>
      <c r="RQ230" s="21" t="str">
        <f t="shared" si="1036"/>
        <v/>
      </c>
      <c r="RR230" s="21" t="str">
        <f t="shared" si="1037"/>
        <v/>
      </c>
      <c r="RS230" s="21" t="str">
        <f t="shared" si="1038"/>
        <v/>
      </c>
      <c r="RT230" s="21" t="str">
        <f t="shared" si="1039"/>
        <v/>
      </c>
      <c r="RU230" s="21" t="str">
        <f t="shared" si="1040"/>
        <v/>
      </c>
      <c r="RV230" s="21">
        <f t="shared" si="1041"/>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42"/>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41"/>
        <v>31.720547945205478</v>
      </c>
      <c r="O231" s="22">
        <v>45110</v>
      </c>
      <c r="P231" s="214" t="str">
        <f t="shared" si="919"/>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2"/>
        <v>100.96666666666667</v>
      </c>
      <c r="BR231" s="223">
        <f t="shared" si="843"/>
        <v>45048.2</v>
      </c>
      <c r="BS231" s="224">
        <f t="shared" si="844"/>
        <v>8.8571428571428577</v>
      </c>
      <c r="BT231" s="216" t="str">
        <f t="shared" si="845"/>
        <v>I TRIM</v>
      </c>
      <c r="BU231" s="214">
        <f t="shared" ca="1" si="928"/>
        <v>26.285714285714285</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7"/>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8"/>
        <v>45149</v>
      </c>
      <c r="CL231" s="21">
        <v>44</v>
      </c>
      <c r="CM231" s="214">
        <f t="shared" si="849"/>
        <v>21.219135802469136</v>
      </c>
      <c r="CN231" s="216">
        <f t="shared" si="850"/>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5"/>
        <v/>
      </c>
      <c r="DA231" s="21">
        <v>90</v>
      </c>
      <c r="DB231" s="21">
        <v>60</v>
      </c>
      <c r="DC231" s="217" t="str">
        <f t="shared" si="851"/>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20"/>
        <v>EN ESPERA</v>
      </c>
      <c r="DV231" s="226" t="str">
        <f t="shared" si="921"/>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2"/>
        <v>#REF!</v>
      </c>
      <c r="DY231" s="212">
        <f>IF(R231="","",IF(R231&gt;0,MAX(Tabla1[[#This Row],[FECHA C2]:[FECHA C13]],Tabla1[[#This Row],[FECHA CONSULTA PRIMERA VEZ PROGRAMA CPN ]])))</f>
        <v>45149</v>
      </c>
      <c r="DZ231" s="216">
        <f t="shared" si="853"/>
        <v>14</v>
      </c>
      <c r="EA231" s="222">
        <f>IF(R231&gt;0,SUM(COUNTA(DF231:DQ231)+COUNTA(Tabla1[[#This Row],[FECHA CONSULTA PRIMERA VEZ PROGRAMA CPN ]])),"")</f>
        <v>2</v>
      </c>
      <c r="EB231" s="222" t="str">
        <f t="shared" si="854"/>
        <v>NO</v>
      </c>
      <c r="EC231" s="214">
        <f t="shared" si="855"/>
        <v>9</v>
      </c>
      <c r="ED231" s="227">
        <f t="shared" si="856"/>
        <v>0.22222222222222221</v>
      </c>
      <c r="EE231" s="22">
        <v>45110</v>
      </c>
      <c r="EF231" s="22">
        <v>45149</v>
      </c>
      <c r="EG231" s="22">
        <v>45110</v>
      </c>
      <c r="EH231" s="22">
        <v>45133</v>
      </c>
      <c r="EI231" s="22">
        <v>45110</v>
      </c>
      <c r="EJ231" s="22">
        <v>45134</v>
      </c>
      <c r="EK231" s="22"/>
      <c r="EL231" s="21"/>
      <c r="EM231" s="21">
        <v>12.9</v>
      </c>
      <c r="EN231" s="22">
        <v>45115</v>
      </c>
      <c r="EO231" s="222">
        <f t="shared" si="857"/>
        <v>9.5714285714285712</v>
      </c>
      <c r="EP231" s="214" t="str">
        <f t="shared" si="858"/>
        <v>NORMAL- SUMINISTRAR SULFATO FERROSO</v>
      </c>
      <c r="EQ231" s="216" t="str">
        <f t="shared" si="859"/>
        <v>I TRIM</v>
      </c>
      <c r="ER231" s="24"/>
      <c r="ES231" s="22"/>
      <c r="ET231" s="29" t="str">
        <f t="shared" ca="1" si="922"/>
        <v>TOMA HEMOGLOBINA A SEM 28 EN 1 SEMANA</v>
      </c>
      <c r="EU231" s="25" t="str">
        <f t="shared" si="860"/>
        <v/>
      </c>
      <c r="EV231" s="24" t="s">
        <v>1510</v>
      </c>
      <c r="EW231" s="22">
        <v>45115</v>
      </c>
      <c r="EX231" s="22"/>
      <c r="EY231" s="29">
        <f t="shared" si="1043"/>
        <v>9.5714285714285712</v>
      </c>
      <c r="EZ231" s="25" t="str">
        <f t="shared" si="1044"/>
        <v>SIN RIESGO DE ISOINMUNIZACIÓN</v>
      </c>
      <c r="FA231" s="21">
        <v>37</v>
      </c>
      <c r="FB231" s="22">
        <v>45115</v>
      </c>
      <c r="FC231" s="29">
        <f t="shared" si="861"/>
        <v>9.5714285714285712</v>
      </c>
      <c r="FD231" s="29"/>
      <c r="FE231" s="29"/>
      <c r="FF231" s="29"/>
      <c r="FG231" s="21" t="str">
        <f t="shared" ca="1" si="862"/>
        <v>TOMAR PTOG</v>
      </c>
      <c r="FH231" s="31"/>
      <c r="FI231" s="29" t="str">
        <f t="shared" si="863"/>
        <v>TOMAR EXAMEN</v>
      </c>
      <c r="FJ231" s="22" t="s">
        <v>867</v>
      </c>
      <c r="FK231" s="22">
        <v>45115</v>
      </c>
      <c r="FL231" s="29">
        <f t="shared" ca="1" si="864"/>
        <v>9.5714285714285712</v>
      </c>
      <c r="FM231" s="22"/>
      <c r="FN231" s="32"/>
      <c r="FO231" s="29" t="str">
        <f t="shared" ca="1" si="923"/>
        <v>TOMA INMEDIATA DE TAMIZAJE</v>
      </c>
      <c r="FP231" s="22"/>
      <c r="FQ231" s="32"/>
      <c r="FR231" s="29" t="str">
        <f t="shared" ca="1" si="924"/>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5"/>
        <v>TOMAR EXAMEN</v>
      </c>
      <c r="FY231" s="22" t="s">
        <v>868</v>
      </c>
      <c r="FZ231" s="22">
        <v>45115</v>
      </c>
      <c r="GA231" s="29">
        <f t="shared" ca="1" si="939"/>
        <v>9.5714285714285712</v>
      </c>
      <c r="GB231" s="22"/>
      <c r="GC231" s="22"/>
      <c r="GD231" s="29" t="str">
        <f t="shared" ref="GD231:GD248" ca="1" si="1048">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6"/>
        <v>EN ESPERA-ESTÁ I TRIM O II TRIM</v>
      </c>
      <c r="GH231" s="22"/>
      <c r="GI231" s="29"/>
      <c r="GJ231" s="22"/>
      <c r="GK231" s="22"/>
      <c r="GL231" s="22"/>
      <c r="GM231" s="22"/>
      <c r="GN231" s="28" t="s">
        <v>869</v>
      </c>
      <c r="GO231" s="22">
        <v>45115</v>
      </c>
      <c r="GP231" s="29">
        <f t="shared" si="866"/>
        <v>9.5714285714285712</v>
      </c>
      <c r="GQ231" s="28" t="s">
        <v>869</v>
      </c>
      <c r="GR231" s="28" t="s">
        <v>869</v>
      </c>
      <c r="GS231" s="22" t="str">
        <f t="shared" si="1047"/>
        <v>CONTROL Igm</v>
      </c>
      <c r="GT231" s="22">
        <v>45115</v>
      </c>
      <c r="GU231" s="29">
        <f t="shared" si="867"/>
        <v>9.5714285714285712</v>
      </c>
      <c r="GV231" s="21" t="str">
        <f t="shared" si="868"/>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9"/>
        <v>#REF!</v>
      </c>
      <c r="HI231" s="22" t="e">
        <f t="shared" ca="1" si="870"/>
        <v>#REF!</v>
      </c>
      <c r="HJ231" s="21" t="str">
        <f t="shared" ca="1" si="871"/>
        <v>***************************************</v>
      </c>
      <c r="HK231" s="21" t="str">
        <f t="shared" si="872"/>
        <v>SIN ANTECEDENTES DE RIESGO</v>
      </c>
      <c r="HL231" s="24" t="str">
        <f t="shared" si="873"/>
        <v>APARENTEMENTE NORMAL</v>
      </c>
      <c r="HM231" s="21" t="e">
        <f t="shared" ca="1" si="874"/>
        <v>#REF!</v>
      </c>
      <c r="HN231" s="30" t="str">
        <f t="shared" si="927"/>
        <v>ACTIVA INGRESO A CPN</v>
      </c>
      <c r="HO231" s="21"/>
      <c r="HP231" s="21"/>
      <c r="HQ231" s="349"/>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5"/>
        <v>8.8571428571428577</v>
      </c>
      <c r="IA231" s="26"/>
      <c r="IB231" s="26"/>
      <c r="IC231" s="111"/>
      <c r="ID231" s="22"/>
      <c r="IE231" s="22" t="str">
        <f t="shared" ca="1" si="876"/>
        <v>PROGRAMAR APLICACION DE VACUNA</v>
      </c>
      <c r="IF231" s="22"/>
      <c r="IG231" s="22">
        <f t="shared" si="877"/>
        <v>45328</v>
      </c>
      <c r="IH231" s="29">
        <f t="shared" ca="1" si="878"/>
        <v>96</v>
      </c>
      <c r="II231" s="22" t="str">
        <f t="shared" ca="1" si="879"/>
        <v>PENDIENTE</v>
      </c>
      <c r="IJ231" s="22"/>
      <c r="IK231" s="21"/>
      <c r="IL231" s="21"/>
      <c r="IM231" s="34"/>
      <c r="IN231" s="22"/>
      <c r="IO231" s="21"/>
      <c r="IP231" s="29" t="str">
        <f t="shared" si="880"/>
        <v/>
      </c>
      <c r="IQ231" s="35"/>
      <c r="IR231" s="21"/>
      <c r="IS231" s="21"/>
      <c r="IT231" s="21"/>
      <c r="IU231" s="21"/>
      <c r="IV231" s="21"/>
      <c r="IW231" s="21"/>
      <c r="IX231" s="21"/>
      <c r="IY231" s="21"/>
      <c r="IZ231" s="21"/>
      <c r="JA231" s="21"/>
      <c r="JB231" s="30"/>
      <c r="JC231" s="21"/>
      <c r="JD231" s="36"/>
      <c r="JE231" s="21" t="str">
        <f t="shared" si="881"/>
        <v/>
      </c>
      <c r="JF231" s="30"/>
      <c r="JG231" s="21"/>
      <c r="JH231" s="21"/>
      <c r="JI231" s="21"/>
      <c r="JJ231" s="30"/>
      <c r="JK231" s="22"/>
      <c r="JL231" s="22"/>
      <c r="JM231" s="21"/>
      <c r="JN231" s="36"/>
      <c r="JO231" s="21" t="str">
        <f t="shared" si="882"/>
        <v/>
      </c>
      <c r="JP231" s="22"/>
      <c r="JQ231" s="21"/>
      <c r="JR231" s="21"/>
      <c r="JS231" s="21"/>
      <c r="JT231" s="30"/>
      <c r="JU231" s="22"/>
      <c r="JV231" s="22"/>
      <c r="JW231" s="33"/>
      <c r="JX231" s="28" t="str">
        <f t="shared" si="883"/>
        <v/>
      </c>
      <c r="JY231" s="33"/>
      <c r="JZ231" s="28" t="str">
        <f t="shared" si="884"/>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5"/>
        <v>0</v>
      </c>
      <c r="MI231" s="43" t="str">
        <f t="shared" si="929"/>
        <v/>
      </c>
      <c r="MJ231" s="43" t="str">
        <f t="shared" si="887"/>
        <v/>
      </c>
      <c r="MK231" s="43">
        <f t="shared" si="888"/>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30"/>
        <v>8.8571428571428577</v>
      </c>
      <c r="MN231" s="43">
        <f t="shared" si="931"/>
        <v>7</v>
      </c>
      <c r="MO231" s="43">
        <f t="shared" si="932"/>
        <v>2023</v>
      </c>
      <c r="MP231" s="43" t="str">
        <f t="shared" si="892"/>
        <v>III TRIMESTRE AÑO</v>
      </c>
      <c r="MQ231" s="43">
        <f t="shared" si="933"/>
        <v>30.916009636443274</v>
      </c>
      <c r="MR231" s="43">
        <f t="shared" si="894"/>
        <v>0</v>
      </c>
      <c r="MS231" s="43" t="str">
        <f t="shared" si="895"/>
        <v xml:space="preserve"> DE 30 A 34 AÑOS</v>
      </c>
      <c r="MT231" s="43">
        <f t="shared" si="896"/>
        <v>0</v>
      </c>
      <c r="MU231" s="43">
        <f t="shared" si="897"/>
        <v>0</v>
      </c>
      <c r="MV231" s="43">
        <f t="shared" si="898"/>
        <v>0</v>
      </c>
      <c r="MW231" s="43">
        <f t="shared" si="899"/>
        <v>0</v>
      </c>
      <c r="MX231" s="43" t="str">
        <f t="shared" si="900"/>
        <v/>
      </c>
      <c r="MY231" s="43" t="str">
        <f t="shared" ca="1" si="901"/>
        <v/>
      </c>
      <c r="MZ231" s="43" t="str">
        <f t="shared" si="902"/>
        <v/>
      </c>
      <c r="NA231" s="43">
        <f t="shared" si="903"/>
        <v>0</v>
      </c>
      <c r="NB231" s="43" t="str">
        <f t="shared" si="904"/>
        <v/>
      </c>
      <c r="NC231" s="43" t="str">
        <f t="shared" si="905"/>
        <v/>
      </c>
      <c r="ND231" s="43">
        <f t="shared" ca="1" si="934"/>
        <v>0</v>
      </c>
      <c r="NE231" s="43">
        <f>IF(OR(O231&gt;0,R231&gt;0),SUM(COUNTIF(Tabla1[[#This Row],[AÑOS AL INICIO5 CPN]],"&gt;=40"),COUNTIF(AS231,"0"),COUNTIF(AR231,"SI"),COUNTIF(CC231,"SI"),COUNTIF(BQ231,"&gt;119"),COUNTIF(CI231,"&gt;=35")),"")</f>
        <v>0</v>
      </c>
      <c r="NF231" s="43" t="str">
        <f t="shared" si="935"/>
        <v/>
      </c>
      <c r="NG231" s="43">
        <f t="shared" si="908"/>
        <v>0</v>
      </c>
      <c r="NH231" s="43">
        <f t="shared" si="909"/>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6"/>
        <v>24</v>
      </c>
      <c r="NM231" s="43" t="str">
        <f t="shared" si="941"/>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12"/>
        <v>I TRIM</v>
      </c>
      <c r="NQ231" s="21" t="str">
        <f t="shared" si="1046"/>
        <v/>
      </c>
      <c r="NR231" s="21">
        <f t="shared" ca="1" si="937"/>
        <v>2</v>
      </c>
      <c r="NS231" s="205">
        <f t="shared" ca="1" si="914"/>
        <v>1</v>
      </c>
      <c r="NT231" s="21">
        <f t="shared" ca="1" si="915"/>
        <v>1</v>
      </c>
      <c r="NU231" s="21" t="str">
        <f t="shared" ca="1" si="916"/>
        <v>INCOMPLETO</v>
      </c>
      <c r="NV231" s="21" t="str">
        <f t="shared" ca="1" si="917"/>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8"/>
        <v>SIN VACUNAR</v>
      </c>
      <c r="NY231" s="43">
        <f>ROW(Tabla1[[#This Row],['# DE TAMIZAJES SIFILIS TOMADOS ]])</f>
        <v>231</v>
      </c>
      <c r="NZ231" s="43" t="str">
        <f t="shared" si="942"/>
        <v>Menor</v>
      </c>
      <c r="OA231" s="43" t="str">
        <f t="shared" si="943"/>
        <v>NORMAL</v>
      </c>
      <c r="OB231" s="43" t="str">
        <f t="shared" si="944"/>
        <v/>
      </c>
      <c r="OC231" s="43" t="str">
        <f t="shared" si="945"/>
        <v/>
      </c>
      <c r="OD231" s="43" t="str">
        <f t="shared" si="946"/>
        <v/>
      </c>
      <c r="OE231" s="43" t="str">
        <f t="shared" si="947"/>
        <v/>
      </c>
      <c r="OF231" s="43" t="str">
        <f t="shared" si="948"/>
        <v/>
      </c>
      <c r="OG231" s="43" t="str">
        <f t="shared" si="949"/>
        <v/>
      </c>
      <c r="OH231" s="43" t="str">
        <f t="shared" si="950"/>
        <v/>
      </c>
      <c r="OI231" s="43" t="str">
        <f t="shared" si="951"/>
        <v/>
      </c>
      <c r="OJ231" s="43" t="str">
        <f t="shared" si="952"/>
        <v/>
      </c>
      <c r="OK231" s="43" t="str">
        <f t="shared" si="953"/>
        <v/>
      </c>
      <c r="OL231" s="43" t="str">
        <f t="shared" si="954"/>
        <v/>
      </c>
      <c r="OM231" s="43" t="str">
        <f t="shared" si="955"/>
        <v/>
      </c>
      <c r="ON231" s="43" t="str">
        <f t="shared" si="956"/>
        <v/>
      </c>
      <c r="OO231" s="43" t="str">
        <f t="shared" si="957"/>
        <v/>
      </c>
      <c r="OP231" s="43" t="str">
        <f t="shared" si="958"/>
        <v/>
      </c>
      <c r="OQ231" s="43" t="str">
        <f t="shared" si="959"/>
        <v/>
      </c>
      <c r="OR231" s="43" t="str">
        <f t="shared" si="960"/>
        <v/>
      </c>
      <c r="OS231" s="43" t="str">
        <f t="shared" si="961"/>
        <v/>
      </c>
      <c r="OT231" s="43" t="str">
        <f t="shared" si="962"/>
        <v/>
      </c>
      <c r="OU231" s="43" t="str">
        <f t="shared" si="963"/>
        <v/>
      </c>
      <c r="OV231" s="110" t="str">
        <f t="shared" si="964"/>
        <v/>
      </c>
      <c r="OW231" s="43" t="str">
        <f t="shared" si="965"/>
        <v/>
      </c>
      <c r="OX231" s="43" t="str">
        <f t="shared" si="966"/>
        <v/>
      </c>
      <c r="OY231" s="43" t="str">
        <f t="shared" si="967"/>
        <v/>
      </c>
      <c r="OZ231" s="43" t="str">
        <f t="shared" si="968"/>
        <v/>
      </c>
      <c r="PA231" s="43" t="str">
        <f t="shared" si="969"/>
        <v/>
      </c>
      <c r="PB231" s="43" t="str">
        <f t="shared" si="970"/>
        <v/>
      </c>
      <c r="PC231" s="43" t="str">
        <f t="shared" si="971"/>
        <v/>
      </c>
      <c r="PD231" s="43" t="str">
        <f t="shared" si="972"/>
        <v/>
      </c>
      <c r="PE231" s="43" t="str">
        <f t="shared" si="973"/>
        <v/>
      </c>
      <c r="PF231" s="43" t="str">
        <f t="shared" si="974"/>
        <v/>
      </c>
      <c r="PG231" s="43" t="str">
        <f t="shared" si="975"/>
        <v/>
      </c>
      <c r="PH231" s="43" t="str">
        <f t="shared" si="976"/>
        <v/>
      </c>
      <c r="PI231" s="43">
        <f t="shared" si="977"/>
        <v>14</v>
      </c>
      <c r="PJ231" s="43" t="str">
        <f t="shared" si="978"/>
        <v/>
      </c>
      <c r="PK231" s="43" t="str">
        <f t="shared" si="979"/>
        <v/>
      </c>
      <c r="PL231" s="43" t="str">
        <f t="shared" si="980"/>
        <v/>
      </c>
      <c r="PM231" s="43" t="str">
        <f t="shared" si="981"/>
        <v/>
      </c>
      <c r="PN231" s="43" t="str">
        <f t="shared" si="982"/>
        <v/>
      </c>
      <c r="PO231" s="43" t="str">
        <f t="shared" si="983"/>
        <v>NORMAL</v>
      </c>
      <c r="PP231" s="43" t="str">
        <f t="shared" si="984"/>
        <v/>
      </c>
      <c r="PQ231" s="43" t="str">
        <f t="shared" si="985"/>
        <v/>
      </c>
      <c r="PR231" s="43" t="str">
        <f t="shared" si="986"/>
        <v/>
      </c>
      <c r="PS231" s="43" t="str">
        <f t="shared" si="987"/>
        <v/>
      </c>
      <c r="PT231" s="43" t="str">
        <f t="shared" si="988"/>
        <v/>
      </c>
      <c r="PU231" s="43" t="str">
        <f t="shared" si="989"/>
        <v/>
      </c>
      <c r="PV231" s="43" t="str">
        <f t="shared" si="990"/>
        <v/>
      </c>
      <c r="PW231" s="43" t="str">
        <f t="shared" si="991"/>
        <v/>
      </c>
      <c r="PX231" s="43" t="str">
        <f t="shared" si="992"/>
        <v/>
      </c>
      <c r="PY231" s="43" t="str">
        <f t="shared" si="993"/>
        <v/>
      </c>
      <c r="PZ231" s="43" t="str">
        <f t="shared" si="994"/>
        <v/>
      </c>
      <c r="QA231" s="43" t="str">
        <f t="shared" si="995"/>
        <v/>
      </c>
      <c r="QB231" s="43" t="str">
        <f t="shared" si="996"/>
        <v/>
      </c>
      <c r="QC231" s="43" t="str">
        <f t="shared" si="997"/>
        <v/>
      </c>
      <c r="QD231" s="43" t="str">
        <f t="shared" si="998"/>
        <v/>
      </c>
      <c r="QE231" s="43" t="str">
        <f t="shared" si="999"/>
        <v/>
      </c>
      <c r="QF231" s="43" t="str">
        <f t="shared" si="1000"/>
        <v/>
      </c>
      <c r="QG231" s="43" t="str">
        <f t="shared" si="1001"/>
        <v/>
      </c>
      <c r="QH231" s="43" t="str">
        <f t="shared" si="1002"/>
        <v/>
      </c>
      <c r="QI231" s="43" t="str">
        <f t="shared" si="1003"/>
        <v/>
      </c>
      <c r="QJ231" s="43" t="str">
        <f t="shared" si="1004"/>
        <v/>
      </c>
      <c r="QK231" s="43" t="str">
        <f t="shared" si="1005"/>
        <v/>
      </c>
      <c r="QL231" s="43" t="str">
        <f t="shared" si="1006"/>
        <v/>
      </c>
      <c r="QM231" s="43" t="str">
        <f t="shared" si="1007"/>
        <v/>
      </c>
      <c r="QN231" s="43" t="str">
        <f t="shared" si="1008"/>
        <v/>
      </c>
      <c r="QO231" s="43" t="str">
        <f t="shared" si="1009"/>
        <v/>
      </c>
      <c r="QP231" s="43" t="str">
        <f t="shared" si="1010"/>
        <v/>
      </c>
      <c r="QQ231" s="43" t="str">
        <f t="shared" si="1011"/>
        <v/>
      </c>
      <c r="QR231" s="43">
        <f t="shared" si="1012"/>
        <v>14</v>
      </c>
      <c r="QS231" s="43"/>
      <c r="QT231" s="21" t="str">
        <f t="shared" si="1013"/>
        <v/>
      </c>
      <c r="QU231" s="21" t="str">
        <f t="shared" si="1014"/>
        <v/>
      </c>
      <c r="QV231" s="21" t="str">
        <f t="shared" si="1015"/>
        <v/>
      </c>
      <c r="QW231" s="21" t="str">
        <f t="shared" si="1016"/>
        <v/>
      </c>
      <c r="QX231" s="21" t="str">
        <f t="shared" si="1017"/>
        <v/>
      </c>
      <c r="QY231" s="21" t="str">
        <f t="shared" si="1018"/>
        <v/>
      </c>
      <c r="QZ231" s="21" t="str">
        <f t="shared" si="1019"/>
        <v/>
      </c>
      <c r="RA231" s="21" t="str">
        <f t="shared" si="1020"/>
        <v/>
      </c>
      <c r="RB231" s="21" t="str">
        <f t="shared" si="1021"/>
        <v/>
      </c>
      <c r="RC231" s="21" t="str">
        <f t="shared" si="1022"/>
        <v/>
      </c>
      <c r="RD231" s="21" t="str">
        <f t="shared" si="1023"/>
        <v/>
      </c>
      <c r="RE231" s="21" t="str">
        <f t="shared" si="1024"/>
        <v/>
      </c>
      <c r="RF231" s="21" t="str">
        <f t="shared" si="1025"/>
        <v/>
      </c>
      <c r="RG231" s="21" t="str">
        <f t="shared" si="1026"/>
        <v/>
      </c>
      <c r="RH231" s="21" t="str">
        <f t="shared" si="1027"/>
        <v/>
      </c>
      <c r="RI231" s="21" t="str">
        <f t="shared" si="1028"/>
        <v/>
      </c>
      <c r="RJ231" s="21" t="str">
        <f t="shared" si="1029"/>
        <v/>
      </c>
      <c r="RK231" s="21" t="str">
        <f t="shared" si="1030"/>
        <v/>
      </c>
      <c r="RL231" s="21" t="str">
        <f t="shared" si="1031"/>
        <v/>
      </c>
      <c r="RM231" s="21" t="str">
        <f t="shared" si="1032"/>
        <v/>
      </c>
      <c r="RN231" s="21" t="str">
        <f t="shared" si="1033"/>
        <v/>
      </c>
      <c r="RO231" s="21" t="str">
        <f t="shared" si="1034"/>
        <v/>
      </c>
      <c r="RP231" s="21" t="str">
        <f t="shared" si="1035"/>
        <v/>
      </c>
      <c r="RQ231" s="21" t="str">
        <f t="shared" si="1036"/>
        <v/>
      </c>
      <c r="RR231" s="21" t="str">
        <f t="shared" si="1037"/>
        <v/>
      </c>
      <c r="RS231" s="21" t="str">
        <f t="shared" si="1038"/>
        <v/>
      </c>
      <c r="RT231" s="21" t="str">
        <f t="shared" si="1039"/>
        <v/>
      </c>
      <c r="RU231" s="21" t="str">
        <f t="shared" si="1040"/>
        <v/>
      </c>
      <c r="RV231" s="21">
        <f t="shared" si="1041"/>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42"/>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41"/>
        <v>17.405479452054795</v>
      </c>
      <c r="O232" s="22">
        <v>45149</v>
      </c>
      <c r="P232" s="214" t="str">
        <f t="shared" si="919"/>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2"/>
        <v>0</v>
      </c>
      <c r="BR232" s="223">
        <f t="shared" si="843"/>
        <v>45025.8</v>
      </c>
      <c r="BS232" s="224">
        <f t="shared" si="844"/>
        <v>17.599999999999586</v>
      </c>
      <c r="BT232" s="216" t="str">
        <f t="shared" si="845"/>
        <v>II TRIM</v>
      </c>
      <c r="BU232" s="214">
        <f t="shared" ca="1" si="928"/>
        <v>29.45714285714244</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7"/>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8"/>
        <v>45149</v>
      </c>
      <c r="CL232" s="21">
        <v>59</v>
      </c>
      <c r="CM232" s="214">
        <f t="shared" si="849"/>
        <v>26.935719503287071</v>
      </c>
      <c r="CN232" s="216">
        <f t="shared" si="850"/>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5"/>
        <v/>
      </c>
      <c r="DA232" s="21">
        <v>90</v>
      </c>
      <c r="DB232" s="21">
        <v>60</v>
      </c>
      <c r="DC232" s="217" t="str">
        <f t="shared" si="851"/>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20"/>
        <v>PLANEAR PLAN DE PARTO</v>
      </c>
      <c r="DV232" s="226" t="str">
        <f t="shared" si="921"/>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2"/>
        <v>#REF!</v>
      </c>
      <c r="DY232" s="212">
        <f>IF(R232="","",IF(R232&gt;0,MAX(Tabla1[[#This Row],[FECHA C2]:[FECHA C13]],Tabla1[[#This Row],[FECHA CONSULTA PRIMERA VEZ PROGRAMA CPN ]])))</f>
        <v>45149</v>
      </c>
      <c r="DZ232" s="216">
        <f t="shared" si="853"/>
        <v>17</v>
      </c>
      <c r="EA232" s="222">
        <f>IF(R232&gt;0,SUM(COUNTA(DF232:DQ232)+COUNTA(Tabla1[[#This Row],[FECHA CONSULTA PRIMERA VEZ PROGRAMA CPN ]])),"")</f>
        <v>1</v>
      </c>
      <c r="EB232" s="222" t="str">
        <f t="shared" si="854"/>
        <v>NO</v>
      </c>
      <c r="EC232" s="214">
        <f t="shared" si="855"/>
        <v>7</v>
      </c>
      <c r="ED232" s="227">
        <f t="shared" si="856"/>
        <v>0.14285714285714285</v>
      </c>
      <c r="EE232" s="22">
        <v>45149</v>
      </c>
      <c r="EF232" s="22">
        <v>45149</v>
      </c>
      <c r="EG232" s="22">
        <v>45149</v>
      </c>
      <c r="EH232" s="22"/>
      <c r="EI232" s="22">
        <v>45149</v>
      </c>
      <c r="EJ232" s="22"/>
      <c r="EK232" s="22"/>
      <c r="EL232" s="21"/>
      <c r="EM232" s="21"/>
      <c r="EN232" s="22"/>
      <c r="EO232" s="222" t="str">
        <f t="shared" si="857"/>
        <v>TOMAR EXAMEN</v>
      </c>
      <c r="EP232" s="214" t="str">
        <f t="shared" si="858"/>
        <v/>
      </c>
      <c r="EQ232" s="216" t="str">
        <f t="shared" si="859"/>
        <v>POR DEFINIR</v>
      </c>
      <c r="ER232" s="24"/>
      <c r="ES232" s="22"/>
      <c r="ET232" s="29" t="str">
        <f t="shared" ca="1" si="922"/>
        <v>EN SEMANA 28 TOMA INMEDIATA DE EXAMEN</v>
      </c>
      <c r="EU232" s="25" t="str">
        <f t="shared" si="860"/>
        <v/>
      </c>
      <c r="EV232" s="24"/>
      <c r="EW232" s="24"/>
      <c r="EX232" s="22"/>
      <c r="EY232" s="29" t="str">
        <f t="shared" si="1043"/>
        <v>TOMAR EXAMEN</v>
      </c>
      <c r="EZ232" s="25" t="str">
        <f t="shared" ca="1" si="1044"/>
        <v/>
      </c>
      <c r="FA232" s="21"/>
      <c r="FB232" s="22"/>
      <c r="FC232" s="29" t="str">
        <f t="shared" si="861"/>
        <v>TOMAR EXAMEN</v>
      </c>
      <c r="FD232" s="29"/>
      <c r="FE232" s="29"/>
      <c r="FF232" s="29"/>
      <c r="FG232" s="21" t="str">
        <f t="shared" ca="1" si="862"/>
        <v>TOMAR PTOG</v>
      </c>
      <c r="FH232" s="31"/>
      <c r="FI232" s="29" t="str">
        <f t="shared" si="863"/>
        <v>TOMAR EXAMEN</v>
      </c>
      <c r="FJ232" s="22"/>
      <c r="FK232" s="22"/>
      <c r="FL232" s="29" t="str">
        <f t="shared" ca="1" si="864"/>
        <v>NO APLICA-INGRESO TARDIO</v>
      </c>
      <c r="FM232" s="22"/>
      <c r="FN232" s="32"/>
      <c r="FO232" s="29" t="str">
        <f t="shared" ca="1" si="923"/>
        <v>PIERDE TOMA DE TAMIZAJE</v>
      </c>
      <c r="FP232" s="22"/>
      <c r="FQ232" s="32"/>
      <c r="FR232" s="29" t="str">
        <f t="shared" ca="1" si="924"/>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5"/>
        <v>TOMAR EXAMEN</v>
      </c>
      <c r="FY232" s="22"/>
      <c r="FZ232" s="22"/>
      <c r="GA232" s="29" t="str">
        <f t="shared" ca="1" si="939"/>
        <v>NO APLICA-INGRESO TARDIO</v>
      </c>
      <c r="GB232" s="22"/>
      <c r="GC232" s="22"/>
      <c r="GD232" s="29" t="str">
        <f t="shared" ca="1" si="1048"/>
        <v>PIERDE TOMA DE TAMIZAJE</v>
      </c>
      <c r="GE232" s="22"/>
      <c r="GF232" s="22"/>
      <c r="GG232" s="29" t="str">
        <f t="shared" ca="1" si="926"/>
        <v>EN RANGO PARA TOMAR EXAMEN</v>
      </c>
      <c r="GH232" s="22"/>
      <c r="GI232" s="29"/>
      <c r="GJ232" s="22"/>
      <c r="GK232" s="22"/>
      <c r="GL232" s="22"/>
      <c r="GM232" s="22"/>
      <c r="GN232" s="28"/>
      <c r="GO232" s="22"/>
      <c r="GP232" s="29" t="str">
        <f t="shared" si="866"/>
        <v>TOMAR EXAMEN</v>
      </c>
      <c r="GQ232" s="28"/>
      <c r="GR232" s="28"/>
      <c r="GS232" s="22" t="str">
        <f t="shared" si="1047"/>
        <v/>
      </c>
      <c r="GT232" s="22"/>
      <c r="GU232" s="29" t="str">
        <f t="shared" si="867"/>
        <v>TOMAR EXAMEN</v>
      </c>
      <c r="GV232" s="21" t="str">
        <f t="shared" si="868"/>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9"/>
        <v>#REF!</v>
      </c>
      <c r="HI232" s="22" t="e">
        <f t="shared" ca="1" si="870"/>
        <v>#REF!</v>
      </c>
      <c r="HJ232" s="21" t="str">
        <f t="shared" ca="1" si="871"/>
        <v>**********************MULTIPARIDAD*****************</v>
      </c>
      <c r="HK232" s="21" t="str">
        <f t="shared" si="872"/>
        <v>SIN ANTECEDENTES DE RIESGO</v>
      </c>
      <c r="HL232" s="24" t="str">
        <f t="shared" si="873"/>
        <v>APARENTEMENTE NORMAL</v>
      </c>
      <c r="HM232" s="21" t="e">
        <f t="shared" ca="1" si="874"/>
        <v>#REF!</v>
      </c>
      <c r="HN232" s="30" t="str">
        <f t="shared" si="927"/>
        <v>ACTIVA INGRESO A CPN</v>
      </c>
      <c r="HO232" s="21"/>
      <c r="HP232" s="21"/>
      <c r="HQ232" s="349"/>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40">
        <v>45149</v>
      </c>
      <c r="HZ232" s="28">
        <f t="shared" si="875"/>
        <v>17.599999999999586</v>
      </c>
      <c r="IA232" s="26"/>
      <c r="IB232" s="26"/>
      <c r="IC232" s="111"/>
      <c r="ID232" s="22"/>
      <c r="IE232" s="22" t="str">
        <f t="shared" ca="1" si="876"/>
        <v>INASISTENTE</v>
      </c>
      <c r="IF232" s="22"/>
      <c r="IG232" s="22">
        <f t="shared" si="877"/>
        <v>45305.8</v>
      </c>
      <c r="IH232" s="29">
        <f t="shared" ca="1" si="878"/>
        <v>73.80000000000291</v>
      </c>
      <c r="II232" s="22" t="str">
        <f t="shared" ca="1" si="879"/>
        <v>PENDIENTE</v>
      </c>
      <c r="IJ232" s="22"/>
      <c r="IK232" s="21"/>
      <c r="IL232" s="21"/>
      <c r="IM232" s="34"/>
      <c r="IN232" s="22"/>
      <c r="IO232" s="21"/>
      <c r="IP232" s="29" t="str">
        <f t="shared" si="880"/>
        <v/>
      </c>
      <c r="IQ232" s="35"/>
      <c r="IR232" s="21"/>
      <c r="IS232" s="21"/>
      <c r="IT232" s="21"/>
      <c r="IU232" s="21"/>
      <c r="IV232" s="21"/>
      <c r="IW232" s="21"/>
      <c r="IX232" s="21"/>
      <c r="IY232" s="21"/>
      <c r="IZ232" s="21"/>
      <c r="JA232" s="21"/>
      <c r="JB232" s="30"/>
      <c r="JC232" s="21"/>
      <c r="JD232" s="36"/>
      <c r="JE232" s="21" t="str">
        <f t="shared" si="881"/>
        <v/>
      </c>
      <c r="JF232" s="30"/>
      <c r="JG232" s="21"/>
      <c r="JH232" s="21"/>
      <c r="JI232" s="21"/>
      <c r="JJ232" s="30"/>
      <c r="JK232" s="22"/>
      <c r="JL232" s="22"/>
      <c r="JM232" s="21"/>
      <c r="JN232" s="36"/>
      <c r="JO232" s="21" t="str">
        <f t="shared" si="882"/>
        <v/>
      </c>
      <c r="JP232" s="22"/>
      <c r="JQ232" s="21"/>
      <c r="JR232" s="21"/>
      <c r="JS232" s="21"/>
      <c r="JT232" s="30"/>
      <c r="JU232" s="22"/>
      <c r="JV232" s="22"/>
      <c r="JW232" s="33"/>
      <c r="JX232" s="28" t="str">
        <f t="shared" si="883"/>
        <v/>
      </c>
      <c r="JY232" s="33"/>
      <c r="JZ232" s="28" t="str">
        <f t="shared" si="884"/>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5"/>
        <v>0</v>
      </c>
      <c r="MI232" s="43" t="str">
        <f t="shared" si="929"/>
        <v/>
      </c>
      <c r="MJ232" s="43" t="str">
        <f t="shared" si="887"/>
        <v/>
      </c>
      <c r="MK232" s="43">
        <f t="shared" si="888"/>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30"/>
        <v>17.599999999999586</v>
      </c>
      <c r="MN232" s="43">
        <f t="shared" si="931"/>
        <v>8</v>
      </c>
      <c r="MO232" s="43">
        <f t="shared" si="932"/>
        <v>2023</v>
      </c>
      <c r="MP232" s="43" t="str">
        <f t="shared" si="892"/>
        <v>III TRIMESTRE AÑO</v>
      </c>
      <c r="MQ232" s="43">
        <f t="shared" si="933"/>
        <v>16.918528252299605</v>
      </c>
      <c r="MR232" s="43">
        <f t="shared" si="894"/>
        <v>0</v>
      </c>
      <c r="MS232" s="43" t="str">
        <f t="shared" si="895"/>
        <v>DE 14 A 19AÑOS</v>
      </c>
      <c r="MT232" s="43">
        <f t="shared" si="896"/>
        <v>0</v>
      </c>
      <c r="MU232" s="43">
        <f t="shared" si="897"/>
        <v>1</v>
      </c>
      <c r="MV232" s="43">
        <f t="shared" si="898"/>
        <v>0</v>
      </c>
      <c r="MW232" s="43">
        <f t="shared" si="899"/>
        <v>0</v>
      </c>
      <c r="MX232" s="43" t="str">
        <f t="shared" si="900"/>
        <v/>
      </c>
      <c r="MY232" s="43" t="str">
        <f t="shared" ca="1" si="901"/>
        <v/>
      </c>
      <c r="MZ232" s="43" t="str">
        <f t="shared" si="902"/>
        <v/>
      </c>
      <c r="NA232" s="43">
        <f t="shared" si="903"/>
        <v>0</v>
      </c>
      <c r="NB232" s="43" t="str">
        <f t="shared" si="904"/>
        <v/>
      </c>
      <c r="NC232" s="43" t="str">
        <f t="shared" si="905"/>
        <v/>
      </c>
      <c r="ND232" s="43">
        <f t="shared" ca="1" si="934"/>
        <v>1</v>
      </c>
      <c r="NE232" s="43">
        <f>IF(OR(O232&gt;0,R232&gt;0),SUM(COUNTIF(Tabla1[[#This Row],[AÑOS AL INICIO5 CPN]],"&gt;=40"),COUNTIF(AS232,"0"),COUNTIF(AR232,"SI"),COUNTIF(CC232,"SI"),COUNTIF(BQ232,"&gt;119"),COUNTIF(CI232,"&gt;=35")),"")</f>
        <v>1</v>
      </c>
      <c r="NF232" s="43" t="str">
        <f t="shared" si="935"/>
        <v/>
      </c>
      <c r="NG232" s="43">
        <f t="shared" si="908"/>
        <v>0</v>
      </c>
      <c r="NH232" s="43">
        <f t="shared" si="909"/>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6"/>
        <v>X</v>
      </c>
      <c r="NM232" s="43" t="str">
        <f t="shared" si="941"/>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12"/>
        <v>II TRIM</v>
      </c>
      <c r="NQ232" s="21" t="str">
        <f t="shared" si="1046"/>
        <v/>
      </c>
      <c r="NR232" s="21">
        <f t="shared" ca="1" si="937"/>
        <v>2</v>
      </c>
      <c r="NS232" s="205">
        <f t="shared" ca="1" si="914"/>
        <v>0</v>
      </c>
      <c r="NT232" s="21">
        <f t="shared" ca="1" si="915"/>
        <v>0</v>
      </c>
      <c r="NU232" s="21" t="str">
        <f t="shared" ca="1" si="916"/>
        <v>INCOMPLETO</v>
      </c>
      <c r="NV232" s="21" t="str">
        <f t="shared" ca="1" si="917"/>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8"/>
        <v>SIN VACUNAR</v>
      </c>
      <c r="NY232" s="43">
        <f>ROW(Tabla1[[#This Row],['# DE TAMIZAJES SIFILIS TOMADOS ]])</f>
        <v>232</v>
      </c>
      <c r="NZ232" s="43">
        <f t="shared" si="942"/>
        <v>17</v>
      </c>
      <c r="OA232" s="43" t="str">
        <f t="shared" si="943"/>
        <v/>
      </c>
      <c r="OB232" s="43" t="str">
        <f t="shared" si="944"/>
        <v/>
      </c>
      <c r="OC232" s="43" t="str">
        <f t="shared" si="945"/>
        <v/>
      </c>
      <c r="OD232" s="43" t="str">
        <f t="shared" si="946"/>
        <v/>
      </c>
      <c r="OE232" s="43" t="str">
        <f t="shared" si="947"/>
        <v/>
      </c>
      <c r="OF232" s="43" t="str">
        <f t="shared" si="948"/>
        <v/>
      </c>
      <c r="OG232" s="43" t="str">
        <f t="shared" si="949"/>
        <v/>
      </c>
      <c r="OH232" s="43" t="str">
        <f t="shared" si="950"/>
        <v/>
      </c>
      <c r="OI232" s="43" t="str">
        <f t="shared" si="951"/>
        <v>SOBREPESO</v>
      </c>
      <c r="OJ232" s="43" t="str">
        <f t="shared" si="952"/>
        <v/>
      </c>
      <c r="OK232" s="43" t="str">
        <f t="shared" si="953"/>
        <v/>
      </c>
      <c r="OL232" s="43" t="str">
        <f t="shared" si="954"/>
        <v/>
      </c>
      <c r="OM232" s="43" t="str">
        <f t="shared" si="955"/>
        <v/>
      </c>
      <c r="ON232" s="43" t="str">
        <f t="shared" si="956"/>
        <v/>
      </c>
      <c r="OO232" s="43" t="str">
        <f t="shared" si="957"/>
        <v/>
      </c>
      <c r="OP232" s="43" t="str">
        <f t="shared" si="958"/>
        <v/>
      </c>
      <c r="OQ232" s="43" t="str">
        <f t="shared" si="959"/>
        <v/>
      </c>
      <c r="OR232" s="43" t="str">
        <f t="shared" si="960"/>
        <v/>
      </c>
      <c r="OS232" s="43" t="str">
        <f t="shared" si="961"/>
        <v/>
      </c>
      <c r="OT232" s="43" t="str">
        <f t="shared" si="962"/>
        <v/>
      </c>
      <c r="OU232" s="43" t="str">
        <f t="shared" si="963"/>
        <v/>
      </c>
      <c r="OV232" s="110" t="str">
        <f t="shared" si="964"/>
        <v/>
      </c>
      <c r="OW232" s="43" t="str">
        <f t="shared" si="965"/>
        <v/>
      </c>
      <c r="OX232" s="43" t="str">
        <f t="shared" si="966"/>
        <v/>
      </c>
      <c r="OY232" s="43" t="str">
        <f t="shared" si="967"/>
        <v/>
      </c>
      <c r="OZ232" s="43" t="str">
        <f t="shared" si="968"/>
        <v/>
      </c>
      <c r="PA232" s="43" t="str">
        <f t="shared" si="969"/>
        <v/>
      </c>
      <c r="PB232" s="43" t="str">
        <f t="shared" si="970"/>
        <v/>
      </c>
      <c r="PC232" s="43" t="str">
        <f t="shared" si="971"/>
        <v/>
      </c>
      <c r="PD232" s="43" t="str">
        <f t="shared" si="972"/>
        <v/>
      </c>
      <c r="PE232" s="43" t="str">
        <f t="shared" si="973"/>
        <v/>
      </c>
      <c r="PF232" s="43" t="str">
        <f t="shared" si="974"/>
        <v/>
      </c>
      <c r="PG232" s="43" t="str">
        <f t="shared" si="975"/>
        <v/>
      </c>
      <c r="PH232" s="43" t="str">
        <f t="shared" si="976"/>
        <v/>
      </c>
      <c r="PI232" s="43">
        <f t="shared" si="977"/>
        <v>17</v>
      </c>
      <c r="PJ232" s="43" t="str">
        <f t="shared" si="978"/>
        <v/>
      </c>
      <c r="PK232" s="43" t="str">
        <f t="shared" si="979"/>
        <v/>
      </c>
      <c r="PL232" s="43" t="str">
        <f t="shared" si="980"/>
        <v/>
      </c>
      <c r="PM232" s="43" t="str">
        <f t="shared" si="981"/>
        <v/>
      </c>
      <c r="PN232" s="43" t="str">
        <f t="shared" si="982"/>
        <v/>
      </c>
      <c r="PO232" s="43" t="str">
        <f t="shared" si="983"/>
        <v/>
      </c>
      <c r="PP232" s="43" t="str">
        <f t="shared" si="984"/>
        <v/>
      </c>
      <c r="PQ232" s="43" t="str">
        <f t="shared" si="985"/>
        <v/>
      </c>
      <c r="PR232" s="43" t="str">
        <f t="shared" si="986"/>
        <v>SOBREPESO</v>
      </c>
      <c r="PS232" s="43" t="str">
        <f t="shared" si="987"/>
        <v/>
      </c>
      <c r="PT232" s="43" t="str">
        <f t="shared" si="988"/>
        <v/>
      </c>
      <c r="PU232" s="43" t="str">
        <f t="shared" si="989"/>
        <v/>
      </c>
      <c r="PV232" s="43" t="str">
        <f t="shared" si="990"/>
        <v/>
      </c>
      <c r="PW232" s="43" t="str">
        <f t="shared" si="991"/>
        <v/>
      </c>
      <c r="PX232" s="43" t="str">
        <f t="shared" si="992"/>
        <v/>
      </c>
      <c r="PY232" s="43" t="str">
        <f t="shared" si="993"/>
        <v/>
      </c>
      <c r="PZ232" s="43" t="str">
        <f t="shared" si="994"/>
        <v/>
      </c>
      <c r="QA232" s="43" t="str">
        <f t="shared" si="995"/>
        <v/>
      </c>
      <c r="QB232" s="43" t="str">
        <f t="shared" si="996"/>
        <v/>
      </c>
      <c r="QC232" s="43" t="str">
        <f t="shared" si="997"/>
        <v/>
      </c>
      <c r="QD232" s="43" t="str">
        <f t="shared" si="998"/>
        <v/>
      </c>
      <c r="QE232" s="43" t="str">
        <f t="shared" si="999"/>
        <v/>
      </c>
      <c r="QF232" s="43" t="str">
        <f t="shared" si="1000"/>
        <v/>
      </c>
      <c r="QG232" s="43" t="str">
        <f t="shared" si="1001"/>
        <v/>
      </c>
      <c r="QH232" s="43" t="str">
        <f t="shared" si="1002"/>
        <v/>
      </c>
      <c r="QI232" s="43" t="str">
        <f t="shared" si="1003"/>
        <v/>
      </c>
      <c r="QJ232" s="43" t="str">
        <f t="shared" si="1004"/>
        <v/>
      </c>
      <c r="QK232" s="43" t="str">
        <f t="shared" si="1005"/>
        <v/>
      </c>
      <c r="QL232" s="43" t="str">
        <f t="shared" si="1006"/>
        <v/>
      </c>
      <c r="QM232" s="43" t="str">
        <f t="shared" si="1007"/>
        <v/>
      </c>
      <c r="QN232" s="43" t="str">
        <f t="shared" si="1008"/>
        <v/>
      </c>
      <c r="QO232" s="43" t="str">
        <f t="shared" si="1009"/>
        <v/>
      </c>
      <c r="QP232" s="43" t="str">
        <f t="shared" si="1010"/>
        <v/>
      </c>
      <c r="QQ232" s="43" t="str">
        <f t="shared" si="1011"/>
        <v/>
      </c>
      <c r="QR232" s="43">
        <f t="shared" si="1012"/>
        <v>17</v>
      </c>
      <c r="QS232" s="43"/>
      <c r="QT232" s="21" t="str">
        <f t="shared" si="1013"/>
        <v/>
      </c>
      <c r="QU232" s="21" t="str">
        <f t="shared" si="1014"/>
        <v/>
      </c>
      <c r="QV232" s="21" t="str">
        <f t="shared" si="1015"/>
        <v/>
      </c>
      <c r="QW232" s="21" t="str">
        <f t="shared" si="1016"/>
        <v/>
      </c>
      <c r="QX232" s="21" t="str">
        <f t="shared" si="1017"/>
        <v/>
      </c>
      <c r="QY232" s="21" t="str">
        <f t="shared" si="1018"/>
        <v/>
      </c>
      <c r="QZ232" s="21" t="str">
        <f t="shared" si="1019"/>
        <v/>
      </c>
      <c r="RA232" s="21" t="str">
        <f t="shared" si="1020"/>
        <v/>
      </c>
      <c r="RB232" s="21" t="str">
        <f t="shared" si="1021"/>
        <v/>
      </c>
      <c r="RC232" s="21" t="str">
        <f t="shared" si="1022"/>
        <v/>
      </c>
      <c r="RD232" s="21" t="str">
        <f t="shared" si="1023"/>
        <v/>
      </c>
      <c r="RE232" s="21" t="str">
        <f t="shared" si="1024"/>
        <v/>
      </c>
      <c r="RF232" s="21" t="str">
        <f t="shared" si="1025"/>
        <v/>
      </c>
      <c r="RG232" s="21" t="str">
        <f t="shared" si="1026"/>
        <v/>
      </c>
      <c r="RH232" s="21" t="str">
        <f t="shared" si="1027"/>
        <v/>
      </c>
      <c r="RI232" s="21" t="str">
        <f t="shared" si="1028"/>
        <v/>
      </c>
      <c r="RJ232" s="21" t="str">
        <f t="shared" si="1029"/>
        <v/>
      </c>
      <c r="RK232" s="21" t="str">
        <f t="shared" si="1030"/>
        <v/>
      </c>
      <c r="RL232" s="21" t="str">
        <f t="shared" si="1031"/>
        <v/>
      </c>
      <c r="RM232" s="21" t="str">
        <f t="shared" si="1032"/>
        <v/>
      </c>
      <c r="RN232" s="21" t="str">
        <f t="shared" si="1033"/>
        <v/>
      </c>
      <c r="RO232" s="21" t="str">
        <f t="shared" si="1034"/>
        <v/>
      </c>
      <c r="RP232" s="21" t="str">
        <f t="shared" si="1035"/>
        <v/>
      </c>
      <c r="RQ232" s="21" t="str">
        <f t="shared" si="1036"/>
        <v/>
      </c>
      <c r="RR232" s="21" t="str">
        <f t="shared" si="1037"/>
        <v/>
      </c>
      <c r="RS232" s="21" t="str">
        <f t="shared" si="1038"/>
        <v/>
      </c>
      <c r="RT232" s="21" t="str">
        <f t="shared" si="1039"/>
        <v/>
      </c>
      <c r="RU232" s="21" t="str">
        <f t="shared" si="1040"/>
        <v/>
      </c>
      <c r="RV232" s="21">
        <f t="shared" si="1041"/>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42"/>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41"/>
        <v>41.4986301369863</v>
      </c>
      <c r="O233" s="22">
        <v>45009</v>
      </c>
      <c r="P233" s="214" t="str">
        <f t="shared" si="919"/>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2"/>
        <v>144.69666666666672</v>
      </c>
      <c r="BR233" s="223">
        <f t="shared" si="843"/>
        <v>44929.9</v>
      </c>
      <c r="BS233" s="224">
        <f t="shared" si="844"/>
        <v>11.299999999999793</v>
      </c>
      <c r="BT233" s="216" t="str">
        <f t="shared" si="845"/>
        <v>II TRIM</v>
      </c>
      <c r="BU233" s="214" t="str">
        <f t="shared" ca="1" si="928"/>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7"/>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8"/>
        <v>45149</v>
      </c>
      <c r="CL233" s="21">
        <v>72</v>
      </c>
      <c r="CM233" s="214">
        <f t="shared" si="849"/>
        <v>30.359251138471919</v>
      </c>
      <c r="CN233" s="216">
        <f t="shared" si="850"/>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5"/>
        <v>APARENTEMENTE NORMAL</v>
      </c>
      <c r="DA233" s="21">
        <v>100</v>
      </c>
      <c r="DB233" s="21">
        <v>60</v>
      </c>
      <c r="DC233" s="217" t="str">
        <f t="shared" si="851"/>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20"/>
        <v>CONCERTAR PLAN DE PARTO INMEDIATO</v>
      </c>
      <c r="DV233" s="226" t="str">
        <f t="shared" si="921"/>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2"/>
        <v>#REF!</v>
      </c>
      <c r="DY233" s="212">
        <f>IF(R233="","",IF(R233&gt;0,MAX(Tabla1[[#This Row],[FECHA C2]:[FECHA C13]],Tabla1[[#This Row],[FECHA CONSULTA PRIMERA VEZ PROGRAMA CPN ]])))</f>
        <v>45149</v>
      </c>
      <c r="DZ233" s="216">
        <f t="shared" si="853"/>
        <v>31</v>
      </c>
      <c r="EA233" s="222">
        <f>IF(R233&gt;0,SUM(COUNTA(DF233:DQ233)+COUNTA(Tabla1[[#This Row],[FECHA CONSULTA PRIMERA VEZ PROGRAMA CPN ]])),"")</f>
        <v>3</v>
      </c>
      <c r="EB233" s="222" t="str">
        <f t="shared" si="854"/>
        <v>NO</v>
      </c>
      <c r="EC233" s="214">
        <f t="shared" si="855"/>
        <v>9</v>
      </c>
      <c r="ED233" s="227">
        <f t="shared" si="856"/>
        <v>0.33333333333333331</v>
      </c>
      <c r="EE233" s="22">
        <v>45009</v>
      </c>
      <c r="EF233" s="22">
        <v>45149</v>
      </c>
      <c r="EG233" s="22">
        <v>45009</v>
      </c>
      <c r="EH233" s="22"/>
      <c r="EI233" s="22">
        <v>45009</v>
      </c>
      <c r="EJ233" s="22"/>
      <c r="EK233" s="22"/>
      <c r="EL233" s="21"/>
      <c r="EM233" s="21">
        <v>13.2</v>
      </c>
      <c r="EN233" s="22">
        <v>45108</v>
      </c>
      <c r="EO233" s="222">
        <f t="shared" si="857"/>
        <v>25.442857142856933</v>
      </c>
      <c r="EP233" s="214" t="str">
        <f t="shared" si="858"/>
        <v>NORMAL- SUMINISTRAR SULFATO FERROSO</v>
      </c>
      <c r="EQ233" s="216" t="str">
        <f t="shared" si="859"/>
        <v>II TRIM</v>
      </c>
      <c r="ER233" s="24"/>
      <c r="ES233" s="22"/>
      <c r="ET233" s="29" t="str">
        <f t="shared" ca="1" si="922"/>
        <v>TOMA DE HEMOGLOBINA TARDÍA</v>
      </c>
      <c r="EU233" s="25" t="str">
        <f t="shared" si="860"/>
        <v/>
      </c>
      <c r="EV233" s="24" t="s">
        <v>1510</v>
      </c>
      <c r="EW233" s="22">
        <v>45108</v>
      </c>
      <c r="EX233" s="22"/>
      <c r="EY233" s="29">
        <f t="shared" si="1043"/>
        <v>25.442857142856933</v>
      </c>
      <c r="EZ233" s="25" t="str">
        <f t="shared" si="1044"/>
        <v>SIN RIESGO DE ISOINMUNIZACIÓN</v>
      </c>
      <c r="FA233" s="21">
        <v>64</v>
      </c>
      <c r="FB233" s="22">
        <v>45108</v>
      </c>
      <c r="FC233" s="29" t="str">
        <f t="shared" si="861"/>
        <v>NO APLICA &gt; 23 SEM -TOMAR PTOG</v>
      </c>
      <c r="FD233" s="29"/>
      <c r="FE233" s="29"/>
      <c r="FF233" s="29"/>
      <c r="FG233" s="21" t="str">
        <f t="shared" ca="1" si="862"/>
        <v/>
      </c>
      <c r="FH233" s="31"/>
      <c r="FI233" s="29" t="str">
        <f t="shared" si="863"/>
        <v>TOMAR EXAMEN</v>
      </c>
      <c r="FJ233" s="22"/>
      <c r="FK233" s="22"/>
      <c r="FL233" s="29" t="str">
        <f t="shared" ca="1" si="864"/>
        <v>PIERDE TOMA DE TAMIZAJE</v>
      </c>
      <c r="FM233" s="22" t="s">
        <v>867</v>
      </c>
      <c r="FN233" s="32">
        <v>45108</v>
      </c>
      <c r="FO233" s="29">
        <f t="shared" ca="1" si="923"/>
        <v>25.442857142856933</v>
      </c>
      <c r="FP233" s="22"/>
      <c r="FQ233" s="32"/>
      <c r="FR233" s="29" t="str">
        <f t="shared" ca="1" si="924"/>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5"/>
        <v>TOMAR EXAMEN</v>
      </c>
      <c r="FY233" s="22"/>
      <c r="FZ233" s="22"/>
      <c r="GA233" s="29" t="str">
        <f t="shared" ca="1" si="939"/>
        <v>PIERDE TOMA DE TAMIZAJE</v>
      </c>
      <c r="GB233" s="22" t="s">
        <v>868</v>
      </c>
      <c r="GC233" s="22">
        <v>45108</v>
      </c>
      <c r="GD233" s="29">
        <f t="shared" ca="1" si="1048"/>
        <v>25.442857142856933</v>
      </c>
      <c r="GE233" s="22"/>
      <c r="GF233" s="22"/>
      <c r="GG233" s="29" t="str">
        <f t="shared" ca="1" si="926"/>
        <v>TOMA INMEDIATA DE TAMIZAJE</v>
      </c>
      <c r="GH233" s="22"/>
      <c r="GI233" s="29"/>
      <c r="GJ233" s="22"/>
      <c r="GK233" s="22"/>
      <c r="GL233" s="22"/>
      <c r="GM233" s="22"/>
      <c r="GN233" s="28" t="s">
        <v>869</v>
      </c>
      <c r="GO233" s="22">
        <v>45108</v>
      </c>
      <c r="GP233" s="29">
        <f t="shared" si="866"/>
        <v>25.442857142856933</v>
      </c>
      <c r="GQ233" s="28"/>
      <c r="GR233" s="28" t="s">
        <v>869</v>
      </c>
      <c r="GS233" s="22" t="str">
        <f t="shared" si="1047"/>
        <v/>
      </c>
      <c r="GT233" s="22">
        <v>45108</v>
      </c>
      <c r="GU233" s="29">
        <f t="shared" si="867"/>
        <v>25.571428571428573</v>
      </c>
      <c r="GV233" s="21" t="str">
        <f t="shared" si="868"/>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9"/>
        <v>#REF!</v>
      </c>
      <c r="HI233" s="22" t="str">
        <f t="shared" si="870"/>
        <v>ALTO RIESGO</v>
      </c>
      <c r="HJ233" s="21" t="str">
        <f t="shared" ca="1" si="871"/>
        <v>************************RIESGO POR EDAD***************</v>
      </c>
      <c r="HK233" s="21" t="str">
        <f t="shared" si="872"/>
        <v>RIESGO MODERADO (2 O MAS CRITERIOS) VER MANEJO GUIA SUMINISTRO ASA Y CALCIO</v>
      </c>
      <c r="HL233" s="24" t="str">
        <f t="shared" si="873"/>
        <v>APARENTEMENTE NORMAL</v>
      </c>
      <c r="HM233" s="21" t="e">
        <f t="shared" ca="1" si="874"/>
        <v>#REF!</v>
      </c>
      <c r="HN233" s="30" t="str">
        <f t="shared" si="927"/>
        <v>ACTIVA INGRESO A CPN</v>
      </c>
      <c r="HO233" s="21"/>
      <c r="HP233" s="21"/>
      <c r="HQ233" s="349"/>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5"/>
        <v>31.299999999999791</v>
      </c>
      <c r="IA233" s="26"/>
      <c r="IB233" s="26"/>
      <c r="IC233" s="111">
        <v>45063</v>
      </c>
      <c r="ID233" s="22">
        <v>45094</v>
      </c>
      <c r="IE233" s="22" t="str">
        <f t="shared" ca="1" si="876"/>
        <v>VACUNA APLICADA ENTRE SEMANA 20 Y SEMANA 26</v>
      </c>
      <c r="IF233" s="111">
        <v>45063</v>
      </c>
      <c r="IG233" s="22">
        <f t="shared" si="877"/>
        <v>45209.9</v>
      </c>
      <c r="IH233" s="29">
        <f t="shared" ca="1" si="878"/>
        <v>-22.099999999998545</v>
      </c>
      <c r="II233" s="22" t="str">
        <f t="shared" ca="1" si="879"/>
        <v>POSIBLEMENTE NACIO</v>
      </c>
      <c r="IJ233" s="22"/>
      <c r="IK233" s="21"/>
      <c r="IL233" s="21"/>
      <c r="IM233" s="34"/>
      <c r="IN233" s="22"/>
      <c r="IO233" s="21"/>
      <c r="IP233" s="29" t="str">
        <f t="shared" si="880"/>
        <v/>
      </c>
      <c r="IQ233" s="35"/>
      <c r="IR233" s="21"/>
      <c r="IS233" s="21"/>
      <c r="IT233" s="21"/>
      <c r="IU233" s="21"/>
      <c r="IV233" s="21"/>
      <c r="IW233" s="21"/>
      <c r="IX233" s="21"/>
      <c r="IY233" s="21"/>
      <c r="IZ233" s="21"/>
      <c r="JA233" s="21"/>
      <c r="JB233" s="30"/>
      <c r="JC233" s="21"/>
      <c r="JD233" s="36"/>
      <c r="JE233" s="21" t="str">
        <f t="shared" si="881"/>
        <v/>
      </c>
      <c r="JF233" s="30"/>
      <c r="JG233" s="21"/>
      <c r="JH233" s="21"/>
      <c r="JI233" s="21"/>
      <c r="JJ233" s="30"/>
      <c r="JK233" s="22"/>
      <c r="JL233" s="22"/>
      <c r="JM233" s="21"/>
      <c r="JN233" s="36"/>
      <c r="JO233" s="21" t="str">
        <f t="shared" si="882"/>
        <v/>
      </c>
      <c r="JP233" s="22"/>
      <c r="JQ233" s="21"/>
      <c r="JR233" s="21"/>
      <c r="JS233" s="21"/>
      <c r="JT233" s="30"/>
      <c r="JU233" s="22"/>
      <c r="JV233" s="22"/>
      <c r="JW233" s="33"/>
      <c r="JX233" s="28" t="str">
        <f t="shared" si="883"/>
        <v/>
      </c>
      <c r="JY233" s="33"/>
      <c r="JZ233" s="28" t="str">
        <f t="shared" si="884"/>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5"/>
        <v>0</v>
      </c>
      <c r="MI233" s="43" t="str">
        <f t="shared" si="929"/>
        <v/>
      </c>
      <c r="MJ233" s="43" t="str">
        <f t="shared" si="887"/>
        <v/>
      </c>
      <c r="MK233" s="43">
        <f t="shared" si="888"/>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30"/>
        <v>11.299999999999793</v>
      </c>
      <c r="MN233" s="43">
        <f t="shared" si="931"/>
        <v>3</v>
      </c>
      <c r="MO233" s="43">
        <f t="shared" si="932"/>
        <v>2023</v>
      </c>
      <c r="MP233" s="43" t="str">
        <f t="shared" si="892"/>
        <v>I TRIMESTRE AÑO</v>
      </c>
      <c r="MQ233" s="43">
        <f t="shared" si="933"/>
        <v>40.270477441962328</v>
      </c>
      <c r="MR233" s="43">
        <f t="shared" si="894"/>
        <v>2</v>
      </c>
      <c r="MS233" s="43" t="str">
        <f t="shared" si="895"/>
        <v xml:space="preserve"> DE 40 Y MAS</v>
      </c>
      <c r="MT233" s="43">
        <f t="shared" si="896"/>
        <v>0</v>
      </c>
      <c r="MU233" s="43">
        <f t="shared" si="897"/>
        <v>0</v>
      </c>
      <c r="MV233" s="43">
        <f t="shared" si="898"/>
        <v>0</v>
      </c>
      <c r="MW233" s="43">
        <f t="shared" si="899"/>
        <v>0</v>
      </c>
      <c r="MX233" s="43" t="str">
        <f t="shared" si="900"/>
        <v/>
      </c>
      <c r="MY233" s="43" t="str">
        <f t="shared" ca="1" si="901"/>
        <v/>
      </c>
      <c r="MZ233" s="43" t="str">
        <f t="shared" si="902"/>
        <v/>
      </c>
      <c r="NA233" s="43">
        <f t="shared" si="903"/>
        <v>0</v>
      </c>
      <c r="NB233" s="43" t="str">
        <f t="shared" si="904"/>
        <v/>
      </c>
      <c r="NC233" s="43" t="str">
        <f t="shared" si="905"/>
        <v/>
      </c>
      <c r="ND233" s="43">
        <f t="shared" ca="1" si="934"/>
        <v>2</v>
      </c>
      <c r="NE233" s="43">
        <f>IF(OR(O233&gt;0,R233&gt;0),SUM(COUNTIF(Tabla1[[#This Row],[AÑOS AL INICIO5 CPN]],"&gt;=40"),COUNTIF(AS233,"0"),COUNTIF(AR233,"SI"),COUNTIF(CC233,"SI"),COUNTIF(BQ233,"&gt;119"),COUNTIF(CI233,"&gt;=35")),"")</f>
        <v>2</v>
      </c>
      <c r="NF233" s="43">
        <f t="shared" si="935"/>
        <v>23.442857142856933</v>
      </c>
      <c r="NG233" s="43">
        <f t="shared" si="908"/>
        <v>0</v>
      </c>
      <c r="NH233" s="43">
        <f t="shared" si="909"/>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6"/>
        <v>X</v>
      </c>
      <c r="NM233" s="43" t="str">
        <f t="shared" si="941"/>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12"/>
        <v>I TRIM</v>
      </c>
      <c r="NQ233" s="21" t="str">
        <f t="shared" si="1046"/>
        <v/>
      </c>
      <c r="NR233" s="21" t="str">
        <f t="shared" ca="1" si="937"/>
        <v>REVISAR FUM O FECHA SALIDA PROGRAMA</v>
      </c>
      <c r="NS233" s="205">
        <f t="shared" ca="1" si="914"/>
        <v>1</v>
      </c>
      <c r="NT233" s="21">
        <f t="shared" ca="1" si="915"/>
        <v>1</v>
      </c>
      <c r="NU233" s="21" t="str">
        <f t="shared" ca="1" si="916"/>
        <v>POR DEFINIR</v>
      </c>
      <c r="NV233" s="21" t="str">
        <f t="shared" ca="1" si="917"/>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8"/>
        <v>VACUNADA</v>
      </c>
      <c r="NY233" s="43">
        <f>ROW(Tabla1[[#This Row],['# DE TAMIZAJES SIFILIS TOMADOS ]])</f>
        <v>233</v>
      </c>
      <c r="NZ233" s="43">
        <f t="shared" si="942"/>
        <v>11</v>
      </c>
      <c r="OA233" s="43" t="str">
        <f t="shared" si="943"/>
        <v/>
      </c>
      <c r="OB233" s="43" t="str">
        <f t="shared" si="944"/>
        <v/>
      </c>
      <c r="OC233" s="43" t="str">
        <f t="shared" si="945"/>
        <v>SOBREPESO</v>
      </c>
      <c r="OD233" s="43" t="str">
        <f t="shared" si="946"/>
        <v/>
      </c>
      <c r="OE233" s="43" t="str">
        <f t="shared" si="947"/>
        <v/>
      </c>
      <c r="OF233" s="43" t="str">
        <f t="shared" si="948"/>
        <v/>
      </c>
      <c r="OG233" s="43" t="str">
        <f t="shared" si="949"/>
        <v/>
      </c>
      <c r="OH233" s="43" t="str">
        <f t="shared" si="950"/>
        <v/>
      </c>
      <c r="OI233" s="43" t="str">
        <f t="shared" si="951"/>
        <v/>
      </c>
      <c r="OJ233" s="43" t="str">
        <f t="shared" si="952"/>
        <v/>
      </c>
      <c r="OK233" s="43" t="str">
        <f t="shared" si="953"/>
        <v/>
      </c>
      <c r="OL233" s="43" t="str">
        <f t="shared" si="954"/>
        <v/>
      </c>
      <c r="OM233" s="43" t="str">
        <f t="shared" si="955"/>
        <v/>
      </c>
      <c r="ON233" s="43" t="str">
        <f t="shared" si="956"/>
        <v/>
      </c>
      <c r="OO233" s="43" t="str">
        <f t="shared" si="957"/>
        <v/>
      </c>
      <c r="OP233" s="43" t="str">
        <f t="shared" si="958"/>
        <v/>
      </c>
      <c r="OQ233" s="43" t="str">
        <f t="shared" si="959"/>
        <v/>
      </c>
      <c r="OR233" s="43" t="str">
        <f t="shared" si="960"/>
        <v/>
      </c>
      <c r="OS233" s="43" t="str">
        <f t="shared" si="961"/>
        <v/>
      </c>
      <c r="OT233" s="43" t="str">
        <f t="shared" si="962"/>
        <v/>
      </c>
      <c r="OU233" s="43" t="str">
        <f t="shared" si="963"/>
        <v/>
      </c>
      <c r="OV233" s="110" t="str">
        <f t="shared" si="964"/>
        <v/>
      </c>
      <c r="OW233" s="43" t="str">
        <f t="shared" si="965"/>
        <v/>
      </c>
      <c r="OX233" s="43" t="str">
        <f t="shared" si="966"/>
        <v/>
      </c>
      <c r="OY233" s="43" t="str">
        <f t="shared" si="967"/>
        <v/>
      </c>
      <c r="OZ233" s="43" t="str">
        <f t="shared" si="968"/>
        <v/>
      </c>
      <c r="PA233" s="43" t="str">
        <f t="shared" si="969"/>
        <v/>
      </c>
      <c r="PB233" s="43" t="str">
        <f t="shared" si="970"/>
        <v/>
      </c>
      <c r="PC233" s="43" t="str">
        <f t="shared" si="971"/>
        <v/>
      </c>
      <c r="PD233" s="43" t="str">
        <f t="shared" si="972"/>
        <v/>
      </c>
      <c r="PE233" s="43" t="str">
        <f t="shared" si="973"/>
        <v/>
      </c>
      <c r="PF233" s="43" t="str">
        <f t="shared" si="974"/>
        <v/>
      </c>
      <c r="PG233" s="43" t="str">
        <f t="shared" si="975"/>
        <v/>
      </c>
      <c r="PH233" s="43" t="str">
        <f t="shared" si="976"/>
        <v/>
      </c>
      <c r="PI233" s="43">
        <f t="shared" si="977"/>
        <v>31</v>
      </c>
      <c r="PJ233" s="43" t="str">
        <f t="shared" si="978"/>
        <v/>
      </c>
      <c r="PK233" s="43" t="str">
        <f t="shared" si="979"/>
        <v/>
      </c>
      <c r="PL233" s="43" t="str">
        <f t="shared" si="980"/>
        <v/>
      </c>
      <c r="PM233" s="43" t="str">
        <f t="shared" si="981"/>
        <v/>
      </c>
      <c r="PN233" s="43" t="str">
        <f t="shared" si="982"/>
        <v/>
      </c>
      <c r="PO233" s="43" t="str">
        <f t="shared" si="983"/>
        <v/>
      </c>
      <c r="PP233" s="43" t="str">
        <f t="shared" si="984"/>
        <v/>
      </c>
      <c r="PQ233" s="43" t="str">
        <f t="shared" si="985"/>
        <v/>
      </c>
      <c r="PR233" s="43" t="str">
        <f t="shared" si="986"/>
        <v/>
      </c>
      <c r="PS233" s="43" t="str">
        <f t="shared" si="987"/>
        <v/>
      </c>
      <c r="PT233" s="43" t="str">
        <f t="shared" si="988"/>
        <v/>
      </c>
      <c r="PU233" s="43" t="str">
        <f t="shared" si="989"/>
        <v/>
      </c>
      <c r="PV233" s="43" t="str">
        <f t="shared" si="990"/>
        <v/>
      </c>
      <c r="PW233" s="43" t="str">
        <f t="shared" si="991"/>
        <v/>
      </c>
      <c r="PX233" s="43" t="str">
        <f t="shared" si="992"/>
        <v/>
      </c>
      <c r="PY233" s="43" t="str">
        <f t="shared" si="993"/>
        <v/>
      </c>
      <c r="PZ233" s="43" t="str">
        <f t="shared" si="994"/>
        <v/>
      </c>
      <c r="QA233" s="43" t="str">
        <f t="shared" si="995"/>
        <v/>
      </c>
      <c r="QB233" s="43" t="str">
        <f t="shared" si="996"/>
        <v/>
      </c>
      <c r="QC233" s="43" t="str">
        <f t="shared" si="997"/>
        <v/>
      </c>
      <c r="QD233" s="43" t="str">
        <f t="shared" si="998"/>
        <v/>
      </c>
      <c r="QE233" s="43" t="str">
        <f t="shared" si="999"/>
        <v/>
      </c>
      <c r="QF233" s="43" t="str">
        <f t="shared" si="1000"/>
        <v>SOBREPESO</v>
      </c>
      <c r="QG233" s="43" t="str">
        <f t="shared" si="1001"/>
        <v/>
      </c>
      <c r="QH233" s="43" t="str">
        <f t="shared" si="1002"/>
        <v/>
      </c>
      <c r="QI233" s="43" t="str">
        <f t="shared" si="1003"/>
        <v/>
      </c>
      <c r="QJ233" s="43" t="str">
        <f t="shared" si="1004"/>
        <v/>
      </c>
      <c r="QK233" s="43" t="str">
        <f t="shared" si="1005"/>
        <v/>
      </c>
      <c r="QL233" s="43" t="str">
        <f t="shared" si="1006"/>
        <v/>
      </c>
      <c r="QM233" s="43" t="str">
        <f t="shared" si="1007"/>
        <v/>
      </c>
      <c r="QN233" s="43" t="str">
        <f t="shared" si="1008"/>
        <v/>
      </c>
      <c r="QO233" s="43" t="str">
        <f t="shared" si="1009"/>
        <v/>
      </c>
      <c r="QP233" s="43" t="str">
        <f t="shared" si="1010"/>
        <v/>
      </c>
      <c r="QQ233" s="43" t="str">
        <f t="shared" si="1011"/>
        <v/>
      </c>
      <c r="QR233" s="43">
        <f t="shared" si="1012"/>
        <v>31</v>
      </c>
      <c r="QS233" s="43"/>
      <c r="QT233" s="21" t="str">
        <f t="shared" si="1013"/>
        <v/>
      </c>
      <c r="QU233" s="21" t="str">
        <f t="shared" si="1014"/>
        <v/>
      </c>
      <c r="QV233" s="21" t="str">
        <f t="shared" si="1015"/>
        <v/>
      </c>
      <c r="QW233" s="21" t="str">
        <f t="shared" si="1016"/>
        <v/>
      </c>
      <c r="QX233" s="21" t="str">
        <f t="shared" si="1017"/>
        <v/>
      </c>
      <c r="QY233" s="21" t="str">
        <f t="shared" si="1018"/>
        <v/>
      </c>
      <c r="QZ233" s="21" t="str">
        <f t="shared" si="1019"/>
        <v/>
      </c>
      <c r="RA233" s="21" t="str">
        <f t="shared" si="1020"/>
        <v/>
      </c>
      <c r="RB233" s="21" t="str">
        <f t="shared" si="1021"/>
        <v/>
      </c>
      <c r="RC233" s="21" t="str">
        <f t="shared" si="1022"/>
        <v/>
      </c>
      <c r="RD233" s="21" t="str">
        <f t="shared" si="1023"/>
        <v/>
      </c>
      <c r="RE233" s="21" t="str">
        <f t="shared" si="1024"/>
        <v/>
      </c>
      <c r="RF233" s="21" t="str">
        <f t="shared" si="1025"/>
        <v/>
      </c>
      <c r="RG233" s="21" t="str">
        <f t="shared" si="1026"/>
        <v/>
      </c>
      <c r="RH233" s="21" t="str">
        <f t="shared" si="1027"/>
        <v/>
      </c>
      <c r="RI233" s="21" t="str">
        <f t="shared" si="1028"/>
        <v/>
      </c>
      <c r="RJ233" s="21" t="str">
        <f t="shared" si="1029"/>
        <v/>
      </c>
      <c r="RK233" s="21" t="str">
        <f t="shared" si="1030"/>
        <v/>
      </c>
      <c r="RL233" s="21" t="str">
        <f t="shared" si="1031"/>
        <v>ALTO PARA EDAD GESTACIONAL</v>
      </c>
      <c r="RM233" s="21" t="str">
        <f t="shared" si="1032"/>
        <v/>
      </c>
      <c r="RN233" s="21" t="str">
        <f t="shared" si="1033"/>
        <v/>
      </c>
      <c r="RO233" s="21" t="str">
        <f t="shared" si="1034"/>
        <v/>
      </c>
      <c r="RP233" s="21" t="str">
        <f t="shared" si="1035"/>
        <v/>
      </c>
      <c r="RQ233" s="21" t="str">
        <f t="shared" si="1036"/>
        <v/>
      </c>
      <c r="RR233" s="21" t="str">
        <f t="shared" si="1037"/>
        <v/>
      </c>
      <c r="RS233" s="21" t="str">
        <f t="shared" si="1038"/>
        <v/>
      </c>
      <c r="RT233" s="21" t="str">
        <f t="shared" si="1039"/>
        <v/>
      </c>
      <c r="RU233" s="21" t="str">
        <f t="shared" si="1040"/>
        <v/>
      </c>
      <c r="RV233" s="21">
        <f t="shared" si="1041"/>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42"/>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41"/>
        <v>30.150684931506849</v>
      </c>
      <c r="O234" s="22">
        <v>45112</v>
      </c>
      <c r="P234" s="214" t="str">
        <f t="shared" si="919"/>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2"/>
        <v>0</v>
      </c>
      <c r="BR234" s="223">
        <f t="shared" si="843"/>
        <v>44920.5</v>
      </c>
      <c r="BS234" s="224">
        <f t="shared" si="844"/>
        <v>10.857142857142858</v>
      </c>
      <c r="BT234" s="216" t="str">
        <f t="shared" si="845"/>
        <v>II TRIM</v>
      </c>
      <c r="BU234" s="214">
        <f t="shared" ca="1" si="928"/>
        <v>28</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7"/>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8"/>
        <v>45153</v>
      </c>
      <c r="CL234" s="21">
        <v>61</v>
      </c>
      <c r="CM234" s="214">
        <f t="shared" si="849"/>
        <v>27.476239809017613</v>
      </c>
      <c r="CN234" s="216">
        <f t="shared" si="850"/>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5"/>
        <v/>
      </c>
      <c r="DA234" s="21">
        <v>90</v>
      </c>
      <c r="DB234" s="21">
        <v>60</v>
      </c>
      <c r="DC234" s="217" t="str">
        <f t="shared" si="851"/>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20"/>
        <v>PLANEAR PLAN DE PARTO</v>
      </c>
      <c r="DV234" s="226" t="str">
        <f t="shared" si="921"/>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2"/>
        <v>#REF!</v>
      </c>
      <c r="DY234" s="212">
        <f>IF(R234="","",IF(R234&gt;0,MAX(Tabla1[[#This Row],[FECHA C2]:[FECHA C13]],Tabla1[[#This Row],[FECHA CONSULTA PRIMERA VEZ PROGRAMA CPN ]])))</f>
        <v>45153</v>
      </c>
      <c r="DZ234" s="216">
        <f t="shared" si="853"/>
        <v>16</v>
      </c>
      <c r="EA234" s="222">
        <f>IF(R234&gt;0,SUM(COUNTA(DF234:DQ234)+COUNTA(Tabla1[[#This Row],[FECHA CONSULTA PRIMERA VEZ PROGRAMA CPN ]])),"")</f>
        <v>2</v>
      </c>
      <c r="EB234" s="222" t="str">
        <f t="shared" si="854"/>
        <v>NO</v>
      </c>
      <c r="EC234" s="214">
        <f t="shared" si="855"/>
        <v>9</v>
      </c>
      <c r="ED234" s="227">
        <f t="shared" si="856"/>
        <v>0.22222222222222221</v>
      </c>
      <c r="EE234" s="22">
        <v>45112</v>
      </c>
      <c r="EF234" s="22"/>
      <c r="EG234" s="22">
        <v>45112</v>
      </c>
      <c r="EH234" s="22"/>
      <c r="EI234" s="22">
        <v>45112</v>
      </c>
      <c r="EJ234" s="22"/>
      <c r="EK234" s="22"/>
      <c r="EL234" s="21"/>
      <c r="EM234" s="21"/>
      <c r="EN234" s="22"/>
      <c r="EO234" s="222" t="str">
        <f t="shared" si="857"/>
        <v>TOMAR EXAMEN</v>
      </c>
      <c r="EP234" s="214" t="str">
        <f t="shared" si="858"/>
        <v/>
      </c>
      <c r="EQ234" s="216" t="str">
        <f t="shared" si="859"/>
        <v>POR DEFINIR</v>
      </c>
      <c r="ER234" s="24"/>
      <c r="ES234" s="22"/>
      <c r="ET234" s="29" t="str">
        <f t="shared" ca="1" si="922"/>
        <v>EN SEMANA 28 TOMA INMEDIATA DE EXAMEN</v>
      </c>
      <c r="EU234" s="25" t="str">
        <f t="shared" si="860"/>
        <v/>
      </c>
      <c r="EV234" s="24"/>
      <c r="EW234" s="24"/>
      <c r="EX234" s="22"/>
      <c r="EY234" s="29" t="str">
        <f t="shared" si="1043"/>
        <v>TOMAR EXAMEN</v>
      </c>
      <c r="EZ234" s="25" t="str">
        <f t="shared" ca="1" si="1044"/>
        <v/>
      </c>
      <c r="FA234" s="21"/>
      <c r="FB234" s="22"/>
      <c r="FC234" s="29" t="str">
        <f t="shared" si="861"/>
        <v>TOMAR EXAMEN</v>
      </c>
      <c r="FD234" s="29"/>
      <c r="FE234" s="29"/>
      <c r="FF234" s="29"/>
      <c r="FG234" s="21" t="str">
        <f t="shared" ca="1" si="862"/>
        <v>TOMAR PTOG</v>
      </c>
      <c r="FH234" s="31"/>
      <c r="FI234" s="29" t="str">
        <f t="shared" si="863"/>
        <v>TOMAR EXAMEN</v>
      </c>
      <c r="FJ234" s="22"/>
      <c r="FK234" s="22"/>
      <c r="FL234" s="29" t="str">
        <f t="shared" ca="1" si="864"/>
        <v>PIERDE TOMA DE TAMIZAJE</v>
      </c>
      <c r="FM234" s="22"/>
      <c r="FN234" s="32"/>
      <c r="FO234" s="29" t="str">
        <f t="shared" ca="1" si="923"/>
        <v>PIERDE TOMA DE TAMIZAJE</v>
      </c>
      <c r="FP234" s="22"/>
      <c r="FQ234" s="32"/>
      <c r="FR234" s="29" t="str">
        <f t="shared" ca="1" si="924"/>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5"/>
        <v>TOMAR EXAMEN</v>
      </c>
      <c r="FY234" s="22"/>
      <c r="FZ234" s="22"/>
      <c r="GA234" s="29" t="str">
        <f t="shared" ca="1" si="939"/>
        <v>PIERDE TOMA DE TAMIZAJE</v>
      </c>
      <c r="GB234" s="22"/>
      <c r="GC234" s="22"/>
      <c r="GD234" s="29" t="str">
        <f t="shared" ca="1" si="1048"/>
        <v>PIERDE TOMA DE TAMIZAJE</v>
      </c>
      <c r="GE234" s="22"/>
      <c r="GF234" s="22"/>
      <c r="GG234" s="29" t="str">
        <f t="shared" ca="1" si="926"/>
        <v>EN RANGO PARA TOMAR EXAMEN</v>
      </c>
      <c r="GH234" s="22"/>
      <c r="GI234" s="29"/>
      <c r="GJ234" s="22"/>
      <c r="GK234" s="22"/>
      <c r="GL234" s="22"/>
      <c r="GM234" s="22"/>
      <c r="GN234" s="28"/>
      <c r="GO234" s="22"/>
      <c r="GP234" s="29" t="str">
        <f t="shared" si="866"/>
        <v>TOMAR EXAMEN</v>
      </c>
      <c r="GQ234" s="28"/>
      <c r="GR234" s="28"/>
      <c r="GS234" s="22" t="str">
        <f t="shared" si="1047"/>
        <v/>
      </c>
      <c r="GT234" s="22"/>
      <c r="GU234" s="29" t="str">
        <f t="shared" si="867"/>
        <v>TOMAR EXAMEN</v>
      </c>
      <c r="GV234" s="21" t="str">
        <f t="shared" si="868"/>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9"/>
        <v>#REF!</v>
      </c>
      <c r="HI234" s="22" t="e">
        <f t="shared" ca="1" si="870"/>
        <v>#REF!</v>
      </c>
      <c r="HJ234" s="21" t="str">
        <f t="shared" ca="1" si="871"/>
        <v>***************************************</v>
      </c>
      <c r="HK234" s="21" t="str">
        <f t="shared" si="872"/>
        <v>SIN ANTECEDENTES DE RIESGO</v>
      </c>
      <c r="HL234" s="24" t="str">
        <f t="shared" si="873"/>
        <v>APARENTEMENTE NORMAL</v>
      </c>
      <c r="HM234" s="21" t="e">
        <f t="shared" ca="1" si="874"/>
        <v>#REF!</v>
      </c>
      <c r="HN234" s="30" t="str">
        <f t="shared" si="927"/>
        <v>ACTIVA INGRESO A CPN</v>
      </c>
      <c r="HO234" s="21"/>
      <c r="HP234" s="21"/>
      <c r="HQ234" s="349"/>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5"/>
        <v>16.857142857142858</v>
      </c>
      <c r="IA234" s="26"/>
      <c r="IB234" s="26"/>
      <c r="IC234" s="111"/>
      <c r="ID234" s="22"/>
      <c r="IE234" s="22" t="str">
        <f t="shared" ca="1" si="876"/>
        <v>INASISTENTE</v>
      </c>
      <c r="IF234" s="22"/>
      <c r="IG234" s="22">
        <f t="shared" si="877"/>
        <v>45316</v>
      </c>
      <c r="IH234" s="29">
        <f t="shared" ca="1" si="878"/>
        <v>84</v>
      </c>
      <c r="II234" s="22" t="str">
        <f t="shared" ca="1" si="879"/>
        <v>PENDIENTE</v>
      </c>
      <c r="IJ234" s="22"/>
      <c r="IK234" s="21"/>
      <c r="IL234" s="21"/>
      <c r="IM234" s="34"/>
      <c r="IN234" s="22"/>
      <c r="IO234" s="21"/>
      <c r="IP234" s="29" t="str">
        <f t="shared" si="880"/>
        <v/>
      </c>
      <c r="IQ234" s="35"/>
      <c r="IR234" s="21"/>
      <c r="IS234" s="21"/>
      <c r="IT234" s="21"/>
      <c r="IU234" s="21"/>
      <c r="IV234" s="21"/>
      <c r="IW234" s="21"/>
      <c r="IX234" s="21"/>
      <c r="IY234" s="21"/>
      <c r="IZ234" s="21"/>
      <c r="JA234" s="21"/>
      <c r="JB234" s="30"/>
      <c r="JC234" s="21"/>
      <c r="JD234" s="36"/>
      <c r="JE234" s="21" t="str">
        <f t="shared" si="881"/>
        <v/>
      </c>
      <c r="JF234" s="30"/>
      <c r="JG234" s="21"/>
      <c r="JH234" s="21"/>
      <c r="JI234" s="21"/>
      <c r="JJ234" s="30"/>
      <c r="JK234" s="22"/>
      <c r="JL234" s="22"/>
      <c r="JM234" s="21"/>
      <c r="JN234" s="36"/>
      <c r="JO234" s="21" t="str">
        <f t="shared" si="882"/>
        <v/>
      </c>
      <c r="JP234" s="22"/>
      <c r="JQ234" s="21"/>
      <c r="JR234" s="21"/>
      <c r="JS234" s="21"/>
      <c r="JT234" s="30"/>
      <c r="JU234" s="22"/>
      <c r="JV234" s="22"/>
      <c r="JW234" s="33"/>
      <c r="JX234" s="28" t="str">
        <f t="shared" si="883"/>
        <v/>
      </c>
      <c r="JY234" s="159"/>
      <c r="JZ234" s="28" t="str">
        <f t="shared" si="884"/>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5"/>
        <v>0</v>
      </c>
      <c r="MI234" s="43" t="str">
        <f t="shared" si="929"/>
        <v/>
      </c>
      <c r="MJ234" s="43" t="str">
        <f t="shared" si="887"/>
        <v/>
      </c>
      <c r="MK234" s="43">
        <f t="shared" si="888"/>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30"/>
        <v>10.857142857142858</v>
      </c>
      <c r="MN234" s="43">
        <f t="shared" si="931"/>
        <v>7</v>
      </c>
      <c r="MO234" s="43">
        <f t="shared" si="932"/>
        <v>2023</v>
      </c>
      <c r="MP234" s="43" t="str">
        <f t="shared" si="892"/>
        <v>III TRIMESTRE AÑO</v>
      </c>
      <c r="MQ234" s="43">
        <f t="shared" si="933"/>
        <v>29.374726237406918</v>
      </c>
      <c r="MR234" s="43">
        <f t="shared" si="894"/>
        <v>0</v>
      </c>
      <c r="MS234" s="43" t="str">
        <f t="shared" si="895"/>
        <v xml:space="preserve"> DE 25 A 29 AÑOS</v>
      </c>
      <c r="MT234" s="43" t="str">
        <f t="shared" si="896"/>
        <v/>
      </c>
      <c r="MU234" s="43">
        <f t="shared" si="897"/>
        <v>0</v>
      </c>
      <c r="MV234" s="43">
        <f t="shared" si="898"/>
        <v>0</v>
      </c>
      <c r="MW234" s="43">
        <f t="shared" si="899"/>
        <v>0</v>
      </c>
      <c r="MX234" s="43" t="str">
        <f t="shared" si="900"/>
        <v/>
      </c>
      <c r="MY234" s="43" t="str">
        <f t="shared" ca="1" si="901"/>
        <v/>
      </c>
      <c r="MZ234" s="43" t="str">
        <f t="shared" si="902"/>
        <v/>
      </c>
      <c r="NA234" s="43" t="str">
        <f t="shared" si="903"/>
        <v/>
      </c>
      <c r="NB234" s="43" t="str">
        <f t="shared" si="904"/>
        <v/>
      </c>
      <c r="NC234" s="43" t="str">
        <f t="shared" si="905"/>
        <v/>
      </c>
      <c r="ND234" s="43">
        <f t="shared" ca="1" si="934"/>
        <v>0</v>
      </c>
      <c r="NE234" s="43">
        <f>IF(OR(O234&gt;0,R234&gt;0),SUM(COUNTIF(Tabla1[[#This Row],[AÑOS AL INICIO5 CPN]],"&gt;=40"),COUNTIF(AS234,"0"),COUNTIF(AR234,"SI"),COUNTIF(CC234,"SI"),COUNTIF(BQ234,"&gt;119"),COUNTIF(CI234,"&gt;=35")),"")</f>
        <v>0</v>
      </c>
      <c r="NF234" s="43" t="str">
        <f t="shared" si="935"/>
        <v/>
      </c>
      <c r="NG234" s="43">
        <f t="shared" si="908"/>
        <v>0</v>
      </c>
      <c r="NH234" s="43">
        <f t="shared" si="909"/>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6"/>
        <v>X</v>
      </c>
      <c r="NM234" s="43" t="str">
        <f t="shared" si="941"/>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12"/>
        <v>I TRIM</v>
      </c>
      <c r="NQ234" s="21" t="str">
        <f t="shared" si="1046"/>
        <v/>
      </c>
      <c r="NR234" s="21">
        <f t="shared" ca="1" si="937"/>
        <v>3</v>
      </c>
      <c r="NS234" s="205">
        <f t="shared" ca="1" si="914"/>
        <v>0</v>
      </c>
      <c r="NT234" s="21">
        <f t="shared" ca="1" si="915"/>
        <v>0</v>
      </c>
      <c r="NU234" s="21" t="str">
        <f t="shared" ca="1" si="916"/>
        <v>INCOMPLETO</v>
      </c>
      <c r="NV234" s="21" t="str">
        <f t="shared" ca="1" si="917"/>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8"/>
        <v>SIN VACUNAR</v>
      </c>
      <c r="NY234" s="43">
        <f>ROW(Tabla1[[#This Row],['# DE TAMIZAJES SIFILIS TOMADOS ]])</f>
        <v>234</v>
      </c>
      <c r="NZ234" s="43">
        <f t="shared" si="942"/>
        <v>10</v>
      </c>
      <c r="OA234" s="43" t="str">
        <f t="shared" si="943"/>
        <v/>
      </c>
      <c r="OB234" s="43" t="str">
        <f t="shared" si="944"/>
        <v>SOBREPESO</v>
      </c>
      <c r="OC234" s="43" t="str">
        <f t="shared" si="945"/>
        <v/>
      </c>
      <c r="OD234" s="43" t="str">
        <f t="shared" si="946"/>
        <v/>
      </c>
      <c r="OE234" s="43" t="str">
        <f t="shared" si="947"/>
        <v/>
      </c>
      <c r="OF234" s="43" t="str">
        <f t="shared" si="948"/>
        <v/>
      </c>
      <c r="OG234" s="43" t="str">
        <f t="shared" si="949"/>
        <v/>
      </c>
      <c r="OH234" s="43" t="str">
        <f t="shared" si="950"/>
        <v/>
      </c>
      <c r="OI234" s="43" t="str">
        <f t="shared" si="951"/>
        <v/>
      </c>
      <c r="OJ234" s="43" t="str">
        <f t="shared" si="952"/>
        <v/>
      </c>
      <c r="OK234" s="43" t="str">
        <f t="shared" si="953"/>
        <v/>
      </c>
      <c r="OL234" s="43" t="str">
        <f t="shared" si="954"/>
        <v/>
      </c>
      <c r="OM234" s="43" t="str">
        <f t="shared" si="955"/>
        <v/>
      </c>
      <c r="ON234" s="43" t="str">
        <f t="shared" si="956"/>
        <v/>
      </c>
      <c r="OO234" s="43" t="str">
        <f t="shared" si="957"/>
        <v/>
      </c>
      <c r="OP234" s="43" t="str">
        <f t="shared" si="958"/>
        <v/>
      </c>
      <c r="OQ234" s="43" t="str">
        <f t="shared" si="959"/>
        <v/>
      </c>
      <c r="OR234" s="43" t="str">
        <f t="shared" si="960"/>
        <v/>
      </c>
      <c r="OS234" s="43" t="str">
        <f t="shared" si="961"/>
        <v/>
      </c>
      <c r="OT234" s="43" t="str">
        <f t="shared" si="962"/>
        <v/>
      </c>
      <c r="OU234" s="43" t="str">
        <f t="shared" si="963"/>
        <v/>
      </c>
      <c r="OV234" s="110" t="str">
        <f t="shared" si="964"/>
        <v/>
      </c>
      <c r="OW234" s="43" t="str">
        <f t="shared" si="965"/>
        <v/>
      </c>
      <c r="OX234" s="43" t="str">
        <f t="shared" si="966"/>
        <v/>
      </c>
      <c r="OY234" s="43" t="str">
        <f t="shared" si="967"/>
        <v/>
      </c>
      <c r="OZ234" s="43" t="str">
        <f t="shared" si="968"/>
        <v/>
      </c>
      <c r="PA234" s="43" t="str">
        <f t="shared" si="969"/>
        <v/>
      </c>
      <c r="PB234" s="43" t="str">
        <f t="shared" si="970"/>
        <v/>
      </c>
      <c r="PC234" s="43" t="str">
        <f t="shared" si="971"/>
        <v/>
      </c>
      <c r="PD234" s="43" t="str">
        <f t="shared" si="972"/>
        <v/>
      </c>
      <c r="PE234" s="43" t="str">
        <f t="shared" si="973"/>
        <v/>
      </c>
      <c r="PF234" s="43" t="str">
        <f t="shared" si="974"/>
        <v/>
      </c>
      <c r="PG234" s="43" t="str">
        <f t="shared" si="975"/>
        <v/>
      </c>
      <c r="PH234" s="43" t="str">
        <f t="shared" si="976"/>
        <v/>
      </c>
      <c r="PI234" s="43">
        <f t="shared" si="977"/>
        <v>16</v>
      </c>
      <c r="PJ234" s="43" t="str">
        <f t="shared" si="978"/>
        <v/>
      </c>
      <c r="PK234" s="43" t="str">
        <f t="shared" si="979"/>
        <v/>
      </c>
      <c r="PL234" s="43" t="str">
        <f t="shared" si="980"/>
        <v/>
      </c>
      <c r="PM234" s="43" t="str">
        <f t="shared" si="981"/>
        <v/>
      </c>
      <c r="PN234" s="43" t="str">
        <f t="shared" si="982"/>
        <v/>
      </c>
      <c r="PO234" s="43" t="str">
        <f t="shared" si="983"/>
        <v/>
      </c>
      <c r="PP234" s="43" t="str">
        <f t="shared" si="984"/>
        <v/>
      </c>
      <c r="PQ234" s="43" t="str">
        <f t="shared" si="985"/>
        <v>SOBREPESO</v>
      </c>
      <c r="PR234" s="43" t="str">
        <f t="shared" si="986"/>
        <v/>
      </c>
      <c r="PS234" s="43" t="str">
        <f t="shared" si="987"/>
        <v/>
      </c>
      <c r="PT234" s="43" t="str">
        <f t="shared" si="988"/>
        <v/>
      </c>
      <c r="PU234" s="43" t="str">
        <f t="shared" si="989"/>
        <v/>
      </c>
      <c r="PV234" s="43" t="str">
        <f t="shared" si="990"/>
        <v/>
      </c>
      <c r="PW234" s="43" t="str">
        <f t="shared" si="991"/>
        <v/>
      </c>
      <c r="PX234" s="43" t="str">
        <f t="shared" si="992"/>
        <v/>
      </c>
      <c r="PY234" s="43" t="str">
        <f t="shared" si="993"/>
        <v/>
      </c>
      <c r="PZ234" s="43" t="str">
        <f t="shared" si="994"/>
        <v/>
      </c>
      <c r="QA234" s="43" t="str">
        <f t="shared" si="995"/>
        <v/>
      </c>
      <c r="QB234" s="43" t="str">
        <f t="shared" si="996"/>
        <v/>
      </c>
      <c r="QC234" s="43" t="str">
        <f t="shared" si="997"/>
        <v/>
      </c>
      <c r="QD234" s="43" t="str">
        <f t="shared" si="998"/>
        <v/>
      </c>
      <c r="QE234" s="43" t="str">
        <f t="shared" si="999"/>
        <v/>
      </c>
      <c r="QF234" s="43" t="str">
        <f t="shared" si="1000"/>
        <v/>
      </c>
      <c r="QG234" s="43" t="str">
        <f t="shared" si="1001"/>
        <v/>
      </c>
      <c r="QH234" s="43" t="str">
        <f t="shared" si="1002"/>
        <v/>
      </c>
      <c r="QI234" s="43" t="str">
        <f t="shared" si="1003"/>
        <v/>
      </c>
      <c r="QJ234" s="43" t="str">
        <f t="shared" si="1004"/>
        <v/>
      </c>
      <c r="QK234" s="43" t="str">
        <f t="shared" si="1005"/>
        <v/>
      </c>
      <c r="QL234" s="43" t="str">
        <f t="shared" si="1006"/>
        <v/>
      </c>
      <c r="QM234" s="43" t="str">
        <f t="shared" si="1007"/>
        <v/>
      </c>
      <c r="QN234" s="43" t="str">
        <f t="shared" si="1008"/>
        <v/>
      </c>
      <c r="QO234" s="43" t="str">
        <f t="shared" si="1009"/>
        <v/>
      </c>
      <c r="QP234" s="43" t="str">
        <f t="shared" si="1010"/>
        <v/>
      </c>
      <c r="QQ234" s="43" t="str">
        <f t="shared" si="1011"/>
        <v/>
      </c>
      <c r="QR234" s="43">
        <f t="shared" si="1012"/>
        <v>16</v>
      </c>
      <c r="QS234" s="43"/>
      <c r="QT234" s="21" t="str">
        <f t="shared" si="1013"/>
        <v/>
      </c>
      <c r="QU234" s="21" t="str">
        <f t="shared" si="1014"/>
        <v/>
      </c>
      <c r="QV234" s="21" t="str">
        <f t="shared" si="1015"/>
        <v/>
      </c>
      <c r="QW234" s="21" t="str">
        <f t="shared" si="1016"/>
        <v/>
      </c>
      <c r="QX234" s="21" t="str">
        <f t="shared" si="1017"/>
        <v/>
      </c>
      <c r="QY234" s="21" t="str">
        <f t="shared" si="1018"/>
        <v/>
      </c>
      <c r="QZ234" s="21" t="str">
        <f t="shared" si="1019"/>
        <v/>
      </c>
      <c r="RA234" s="21" t="str">
        <f t="shared" si="1020"/>
        <v/>
      </c>
      <c r="RB234" s="21" t="str">
        <f t="shared" si="1021"/>
        <v/>
      </c>
      <c r="RC234" s="21" t="str">
        <f t="shared" si="1022"/>
        <v/>
      </c>
      <c r="RD234" s="21" t="str">
        <f t="shared" si="1023"/>
        <v/>
      </c>
      <c r="RE234" s="21" t="str">
        <f t="shared" si="1024"/>
        <v/>
      </c>
      <c r="RF234" s="21" t="str">
        <f t="shared" si="1025"/>
        <v/>
      </c>
      <c r="RG234" s="21" t="str">
        <f t="shared" si="1026"/>
        <v/>
      </c>
      <c r="RH234" s="21" t="str">
        <f t="shared" si="1027"/>
        <v/>
      </c>
      <c r="RI234" s="21" t="str">
        <f t="shared" si="1028"/>
        <v/>
      </c>
      <c r="RJ234" s="21" t="str">
        <f t="shared" si="1029"/>
        <v/>
      </c>
      <c r="RK234" s="21" t="str">
        <f t="shared" si="1030"/>
        <v/>
      </c>
      <c r="RL234" s="21" t="str">
        <f t="shared" si="1031"/>
        <v/>
      </c>
      <c r="RM234" s="21" t="str">
        <f t="shared" si="1032"/>
        <v/>
      </c>
      <c r="RN234" s="21" t="str">
        <f t="shared" si="1033"/>
        <v/>
      </c>
      <c r="RO234" s="21" t="str">
        <f t="shared" si="1034"/>
        <v/>
      </c>
      <c r="RP234" s="21" t="str">
        <f t="shared" si="1035"/>
        <v/>
      </c>
      <c r="RQ234" s="21" t="str">
        <f t="shared" si="1036"/>
        <v/>
      </c>
      <c r="RR234" s="21" t="str">
        <f t="shared" si="1037"/>
        <v/>
      </c>
      <c r="RS234" s="21" t="str">
        <f t="shared" si="1038"/>
        <v/>
      </c>
      <c r="RT234" s="21" t="str">
        <f t="shared" si="1039"/>
        <v/>
      </c>
      <c r="RU234" s="21" t="str">
        <f t="shared" si="1040"/>
        <v/>
      </c>
      <c r="RV234" s="21">
        <f t="shared" si="1041"/>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42"/>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41"/>
        <v>28.572602739726026</v>
      </c>
      <c r="O235" s="22">
        <v>45112</v>
      </c>
      <c r="P235" s="214" t="str">
        <f t="shared" si="919"/>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2"/>
        <v>66.266666666666666</v>
      </c>
      <c r="BR235" s="223" t="str">
        <f t="shared" si="843"/>
        <v/>
      </c>
      <c r="BS235" s="224">
        <f t="shared" si="844"/>
        <v>8.7142857142857135</v>
      </c>
      <c r="BT235" s="216" t="str">
        <f t="shared" si="845"/>
        <v>I TRIM</v>
      </c>
      <c r="BU235" s="214">
        <f t="shared" ca="1" si="928"/>
        <v>25.857142857142858</v>
      </c>
      <c r="BV235" s="25"/>
      <c r="BW235" s="22"/>
      <c r="BX235" s="28"/>
      <c r="BY235" s="28"/>
      <c r="BZ235" s="22"/>
      <c r="CA235" s="21"/>
      <c r="CB235" s="26"/>
      <c r="CC235" s="26"/>
      <c r="CD235" s="26"/>
      <c r="CE235" s="26"/>
      <c r="CF235" s="22" t="s">
        <v>1517</v>
      </c>
      <c r="CG235" s="21">
        <v>1.44</v>
      </c>
      <c r="CH235" s="21">
        <v>48.3</v>
      </c>
      <c r="CI235" s="214">
        <f t="shared" si="847"/>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8"/>
        <v>45112</v>
      </c>
      <c r="CL235" s="21">
        <v>48.3</v>
      </c>
      <c r="CM235" s="214">
        <f t="shared" si="849"/>
        <v>23.292824074074073</v>
      </c>
      <c r="CN235" s="216">
        <f t="shared" si="850"/>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5"/>
        <v/>
      </c>
      <c r="DA235" s="21">
        <v>90</v>
      </c>
      <c r="DB235" s="21">
        <v>60</v>
      </c>
      <c r="DC235" s="217" t="str">
        <f t="shared" si="851"/>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20"/>
        <v>EN ESPERA</v>
      </c>
      <c r="DV235" s="226" t="str">
        <f t="shared" si="921"/>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2"/>
        <v>#REF!</v>
      </c>
      <c r="DY235" s="212">
        <f>IF(R235="","",IF(R235&gt;0,MAX(Tabla1[[#This Row],[FECHA C2]:[FECHA C13]],Tabla1[[#This Row],[FECHA CONSULTA PRIMERA VEZ PROGRAMA CPN ]])))</f>
        <v>45112</v>
      </c>
      <c r="DZ235" s="216">
        <f t="shared" si="853"/>
        <v>8</v>
      </c>
      <c r="EA235" s="222">
        <f>IF(R235&gt;0,SUM(COUNTA(DF235:DQ235)+COUNTA(Tabla1[[#This Row],[FECHA CONSULTA PRIMERA VEZ PROGRAMA CPN ]])),"")</f>
        <v>1</v>
      </c>
      <c r="EB235" s="222" t="str">
        <f t="shared" si="854"/>
        <v>NO</v>
      </c>
      <c r="EC235" s="214">
        <f t="shared" si="855"/>
        <v>9</v>
      </c>
      <c r="ED235" s="227">
        <f t="shared" si="856"/>
        <v>0.1111111111111111</v>
      </c>
      <c r="EE235" s="22">
        <v>45112</v>
      </c>
      <c r="EF235" s="22"/>
      <c r="EG235" s="22">
        <v>45112</v>
      </c>
      <c r="EH235" s="22"/>
      <c r="EI235" s="22">
        <v>45112</v>
      </c>
      <c r="EJ235" s="22"/>
      <c r="EK235" s="22"/>
      <c r="EL235" s="21"/>
      <c r="EM235" s="21">
        <v>12.8</v>
      </c>
      <c r="EN235" s="22">
        <v>45112</v>
      </c>
      <c r="EO235" s="222">
        <f t="shared" si="857"/>
        <v>8.7142857142857135</v>
      </c>
      <c r="EP235" s="214" t="str">
        <f t="shared" si="858"/>
        <v>NORMAL- SUMINISTRAR SULFATO FERROSO</v>
      </c>
      <c r="EQ235" s="216" t="str">
        <f t="shared" si="859"/>
        <v>I TRIM</v>
      </c>
      <c r="ER235" s="24"/>
      <c r="ES235" s="22"/>
      <c r="ET235" s="29" t="str">
        <f t="shared" ca="1" si="922"/>
        <v>PROGRAMAR TOMA HEMOGLOBINA A SEM 28</v>
      </c>
      <c r="EU235" s="25" t="str">
        <f t="shared" si="860"/>
        <v/>
      </c>
      <c r="EV235" s="24" t="s">
        <v>1510</v>
      </c>
      <c r="EW235" s="32">
        <v>45112</v>
      </c>
      <c r="EX235" s="22"/>
      <c r="EY235" s="29">
        <f t="shared" si="1043"/>
        <v>8.7142857142857135</v>
      </c>
      <c r="EZ235" s="25" t="str">
        <f t="shared" si="1044"/>
        <v>SIN RIESGO DE ISOINMUNIZACIÓN</v>
      </c>
      <c r="FA235" s="21">
        <v>65</v>
      </c>
      <c r="FB235" s="32">
        <v>45112</v>
      </c>
      <c r="FC235" s="29">
        <f t="shared" si="861"/>
        <v>8.7142857142857135</v>
      </c>
      <c r="FD235" s="29"/>
      <c r="FE235" s="29"/>
      <c r="FF235" s="29"/>
      <c r="FG235" s="21" t="str">
        <f t="shared" ca="1" si="862"/>
        <v>TOMAR PTOG</v>
      </c>
      <c r="FH235" s="31"/>
      <c r="FI235" s="29" t="str">
        <f t="shared" si="863"/>
        <v>TOMAR EXAMEN</v>
      </c>
      <c r="FJ235" s="22" t="s">
        <v>867</v>
      </c>
      <c r="FK235" s="32">
        <v>45112</v>
      </c>
      <c r="FL235" s="29">
        <f t="shared" ca="1" si="864"/>
        <v>8.7142857142857135</v>
      </c>
      <c r="FM235" s="22"/>
      <c r="FN235" s="32"/>
      <c r="FO235" s="29" t="str">
        <f t="shared" ca="1" si="923"/>
        <v>TOMA INMEDIATA DE TAMIZAJE</v>
      </c>
      <c r="FP235" s="22"/>
      <c r="FQ235" s="32"/>
      <c r="FR235" s="29" t="str">
        <f t="shared" ca="1" si="924"/>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5"/>
        <v>TOMAR EXAMEN</v>
      </c>
      <c r="FY235" s="22" t="s">
        <v>868</v>
      </c>
      <c r="FZ235" s="32">
        <v>45112</v>
      </c>
      <c r="GA235" s="29">
        <f t="shared" ca="1" si="939"/>
        <v>8.7142857142857135</v>
      </c>
      <c r="GB235" s="22"/>
      <c r="GC235" s="22"/>
      <c r="GD235" s="29" t="str">
        <f t="shared" ca="1" si="1048"/>
        <v>TOMA INMEDIATA DE TAMIZAJE</v>
      </c>
      <c r="GE235" s="22"/>
      <c r="GF235" s="22"/>
      <c r="GG235" s="29" t="str">
        <f t="shared" ca="1" si="926"/>
        <v>EN ESPERA-ESTÁ I TRIM O II TRIM</v>
      </c>
      <c r="GH235" s="22"/>
      <c r="GI235" s="29"/>
      <c r="GJ235" s="22"/>
      <c r="GK235" s="22"/>
      <c r="GL235" s="22"/>
      <c r="GM235" s="22"/>
      <c r="GN235" s="28" t="s">
        <v>869</v>
      </c>
      <c r="GO235" s="32">
        <v>45112</v>
      </c>
      <c r="GP235" s="29">
        <f t="shared" si="866"/>
        <v>8.7142857142857135</v>
      </c>
      <c r="GQ235" s="28" t="s">
        <v>880</v>
      </c>
      <c r="GR235" s="28" t="s">
        <v>869</v>
      </c>
      <c r="GS235" s="22" t="str">
        <f t="shared" si="1047"/>
        <v>SE EXCLUYE INFECCION</v>
      </c>
      <c r="GT235" s="32">
        <v>45112</v>
      </c>
      <c r="GU235" s="29">
        <f t="shared" si="867"/>
        <v>8.7142857142857135</v>
      </c>
      <c r="GV235" s="21" t="str">
        <f t="shared" si="868"/>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9"/>
        <v>#REF!</v>
      </c>
      <c r="HI235" s="22" t="e">
        <f t="shared" ca="1" si="870"/>
        <v>#REF!</v>
      </c>
      <c r="HJ235" s="21" t="str">
        <f t="shared" ca="1" si="871"/>
        <v>***************************************</v>
      </c>
      <c r="HK235" s="21" t="str">
        <f t="shared" si="872"/>
        <v>SIN ANTECEDENTES DE RIESGO</v>
      </c>
      <c r="HL235" s="24" t="str">
        <f t="shared" si="873"/>
        <v>APARENTEMENTE NORMAL</v>
      </c>
      <c r="HM235" s="21" t="e">
        <f t="shared" ca="1" si="874"/>
        <v>#REF!</v>
      </c>
      <c r="HN235" s="30" t="str">
        <f t="shared" si="927"/>
        <v>ACTIVA INGRESO A CPN</v>
      </c>
      <c r="HO235" s="21"/>
      <c r="HP235" s="21"/>
      <c r="HQ235" s="349"/>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5"/>
        <v>8.7142857142857135</v>
      </c>
      <c r="IA235" s="26"/>
      <c r="IB235" s="26"/>
      <c r="IC235" s="111"/>
      <c r="ID235" s="22"/>
      <c r="IE235" s="22" t="str">
        <f t="shared" ca="1" si="876"/>
        <v>PROGRAMAR APLICACION DE VACUNA</v>
      </c>
      <c r="IF235" s="22"/>
      <c r="IG235" s="22">
        <f t="shared" si="877"/>
        <v>45331</v>
      </c>
      <c r="IH235" s="29">
        <f t="shared" ca="1" si="878"/>
        <v>99</v>
      </c>
      <c r="II235" s="22" t="str">
        <f t="shared" ca="1" si="879"/>
        <v>PENDIENTE</v>
      </c>
      <c r="IJ235" s="22"/>
      <c r="IK235" s="21"/>
      <c r="IL235" s="21"/>
      <c r="IM235" s="34"/>
      <c r="IN235" s="22"/>
      <c r="IO235" s="21"/>
      <c r="IP235" s="29" t="str">
        <f t="shared" si="880"/>
        <v/>
      </c>
      <c r="IQ235" s="35"/>
      <c r="IR235" s="21"/>
      <c r="IS235" s="21"/>
      <c r="IT235" s="21"/>
      <c r="IU235" s="21"/>
      <c r="IV235" s="21"/>
      <c r="IW235" s="21"/>
      <c r="IX235" s="21"/>
      <c r="IY235" s="21"/>
      <c r="IZ235" s="21"/>
      <c r="JA235" s="21"/>
      <c r="JB235" s="30"/>
      <c r="JC235" s="21"/>
      <c r="JD235" s="36"/>
      <c r="JE235" s="21" t="str">
        <f t="shared" si="881"/>
        <v/>
      </c>
      <c r="JF235" s="30"/>
      <c r="JG235" s="21"/>
      <c r="JH235" s="21"/>
      <c r="JI235" s="21"/>
      <c r="JJ235" s="30"/>
      <c r="JK235" s="22"/>
      <c r="JL235" s="22"/>
      <c r="JM235" s="21"/>
      <c r="JN235" s="36"/>
      <c r="JO235" s="21" t="str">
        <f t="shared" si="882"/>
        <v/>
      </c>
      <c r="JP235" s="22"/>
      <c r="JQ235" s="21"/>
      <c r="JR235" s="21"/>
      <c r="JS235" s="21"/>
      <c r="JT235" s="30"/>
      <c r="JU235" s="22"/>
      <c r="JV235" s="22"/>
      <c r="JW235" s="33"/>
      <c r="JX235" s="28" t="str">
        <f t="shared" si="883"/>
        <v/>
      </c>
      <c r="JY235" s="33"/>
      <c r="JZ235" s="28" t="str">
        <f t="shared" si="884"/>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5"/>
        <v>0</v>
      </c>
      <c r="MI235" s="43" t="str">
        <f t="shared" si="929"/>
        <v/>
      </c>
      <c r="MJ235" s="43" t="str">
        <f t="shared" si="887"/>
        <v/>
      </c>
      <c r="MK235" s="43">
        <f t="shared" si="888"/>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30"/>
        <v>8.7142857142857135</v>
      </c>
      <c r="MN235" s="43">
        <f t="shared" si="931"/>
        <v>7</v>
      </c>
      <c r="MO235" s="43">
        <f t="shared" si="932"/>
        <v>2023</v>
      </c>
      <c r="MP235" s="43" t="str">
        <f t="shared" si="892"/>
        <v>III TRIMESTRE AÑO</v>
      </c>
      <c r="MQ235" s="43">
        <f t="shared" si="933"/>
        <v>27.817017082785807</v>
      </c>
      <c r="MR235" s="43">
        <f t="shared" si="894"/>
        <v>0</v>
      </c>
      <c r="MS235" s="43" t="str">
        <f t="shared" si="895"/>
        <v xml:space="preserve"> DE 25 A 29 AÑOS</v>
      </c>
      <c r="MT235" s="43" t="str">
        <f t="shared" si="896"/>
        <v/>
      </c>
      <c r="MU235" s="43">
        <f t="shared" si="897"/>
        <v>0</v>
      </c>
      <c r="MV235" s="43">
        <f t="shared" si="898"/>
        <v>0</v>
      </c>
      <c r="MW235" s="43">
        <f t="shared" si="899"/>
        <v>0</v>
      </c>
      <c r="MX235" s="43" t="str">
        <f t="shared" si="900"/>
        <v/>
      </c>
      <c r="MY235" s="43" t="str">
        <f t="shared" ca="1" si="901"/>
        <v/>
      </c>
      <c r="MZ235" s="43" t="str">
        <f t="shared" si="902"/>
        <v/>
      </c>
      <c r="NA235" s="43" t="str">
        <f t="shared" si="903"/>
        <v/>
      </c>
      <c r="NB235" s="43" t="str">
        <f t="shared" si="904"/>
        <v/>
      </c>
      <c r="NC235" s="43" t="str">
        <f t="shared" si="905"/>
        <v/>
      </c>
      <c r="ND235" s="43">
        <f t="shared" ca="1" si="934"/>
        <v>0</v>
      </c>
      <c r="NE235" s="43">
        <f>IF(OR(O235&gt;0,R235&gt;0),SUM(COUNTIF(Tabla1[[#This Row],[AÑOS AL INICIO5 CPN]],"&gt;=40"),COUNTIF(AS235,"0"),COUNTIF(AR235,"SI"),COUNTIF(CC235,"SI"),COUNTIF(BQ235,"&gt;119"),COUNTIF(CI235,"&gt;=35")),"")</f>
        <v>0</v>
      </c>
      <c r="NF235" s="43" t="str">
        <f t="shared" si="935"/>
        <v/>
      </c>
      <c r="NG235" s="43">
        <f t="shared" si="908"/>
        <v>0</v>
      </c>
      <c r="NH235" s="43" t="str">
        <f t="shared" si="909"/>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6"/>
        <v>X</v>
      </c>
      <c r="NM235" s="43" t="str">
        <f t="shared" si="941"/>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12"/>
        <v>I TRIM</v>
      </c>
      <c r="NQ235" s="21" t="str">
        <f t="shared" si="1046"/>
        <v/>
      </c>
      <c r="NR235" s="21">
        <f t="shared" ca="1" si="937"/>
        <v>2</v>
      </c>
      <c r="NS235" s="205">
        <f t="shared" ca="1" si="914"/>
        <v>1</v>
      </c>
      <c r="NT235" s="21">
        <f t="shared" ca="1" si="915"/>
        <v>1</v>
      </c>
      <c r="NU235" s="21" t="str">
        <f t="shared" ca="1" si="916"/>
        <v>INCOMPLETO</v>
      </c>
      <c r="NV235" s="21" t="str">
        <f t="shared" ca="1" si="917"/>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8"/>
        <v>SIN VACUNAR</v>
      </c>
      <c r="NY235" s="43">
        <f>ROW(Tabla1[[#This Row],['# DE TAMIZAJES SIFILIS TOMADOS ]])</f>
        <v>235</v>
      </c>
      <c r="NZ235" s="43" t="str">
        <f t="shared" si="942"/>
        <v>Menor</v>
      </c>
      <c r="OA235" s="43" t="str">
        <f t="shared" si="943"/>
        <v>NORMAL</v>
      </c>
      <c r="OB235" s="43" t="str">
        <f t="shared" si="944"/>
        <v/>
      </c>
      <c r="OC235" s="43" t="str">
        <f t="shared" si="945"/>
        <v/>
      </c>
      <c r="OD235" s="43" t="str">
        <f t="shared" si="946"/>
        <v/>
      </c>
      <c r="OE235" s="43" t="str">
        <f t="shared" si="947"/>
        <v/>
      </c>
      <c r="OF235" s="43" t="str">
        <f t="shared" si="948"/>
        <v/>
      </c>
      <c r="OG235" s="43" t="str">
        <f t="shared" si="949"/>
        <v/>
      </c>
      <c r="OH235" s="43" t="str">
        <f t="shared" si="950"/>
        <v/>
      </c>
      <c r="OI235" s="43" t="str">
        <f t="shared" si="951"/>
        <v/>
      </c>
      <c r="OJ235" s="43" t="str">
        <f t="shared" si="952"/>
        <v/>
      </c>
      <c r="OK235" s="43" t="str">
        <f t="shared" si="953"/>
        <v/>
      </c>
      <c r="OL235" s="43" t="str">
        <f t="shared" si="954"/>
        <v/>
      </c>
      <c r="OM235" s="43" t="str">
        <f t="shared" si="955"/>
        <v/>
      </c>
      <c r="ON235" s="43" t="str">
        <f t="shared" si="956"/>
        <v/>
      </c>
      <c r="OO235" s="43" t="str">
        <f t="shared" si="957"/>
        <v/>
      </c>
      <c r="OP235" s="43" t="str">
        <f t="shared" si="958"/>
        <v/>
      </c>
      <c r="OQ235" s="43" t="str">
        <f t="shared" si="959"/>
        <v/>
      </c>
      <c r="OR235" s="43" t="str">
        <f t="shared" si="960"/>
        <v/>
      </c>
      <c r="OS235" s="43" t="str">
        <f t="shared" si="961"/>
        <v/>
      </c>
      <c r="OT235" s="43" t="str">
        <f t="shared" si="962"/>
        <v/>
      </c>
      <c r="OU235" s="43" t="str">
        <f t="shared" si="963"/>
        <v/>
      </c>
      <c r="OV235" s="110" t="str">
        <f t="shared" si="964"/>
        <v/>
      </c>
      <c r="OW235" s="43" t="str">
        <f t="shared" si="965"/>
        <v/>
      </c>
      <c r="OX235" s="43" t="str">
        <f t="shared" si="966"/>
        <v/>
      </c>
      <c r="OY235" s="43" t="str">
        <f t="shared" si="967"/>
        <v/>
      </c>
      <c r="OZ235" s="43" t="str">
        <f t="shared" si="968"/>
        <v/>
      </c>
      <c r="PA235" s="43" t="str">
        <f t="shared" si="969"/>
        <v/>
      </c>
      <c r="PB235" s="43" t="str">
        <f t="shared" si="970"/>
        <v/>
      </c>
      <c r="PC235" s="43" t="str">
        <f t="shared" si="971"/>
        <v/>
      </c>
      <c r="PD235" s="43" t="str">
        <f t="shared" si="972"/>
        <v/>
      </c>
      <c r="PE235" s="43" t="str">
        <f t="shared" si="973"/>
        <v/>
      </c>
      <c r="PF235" s="43" t="str">
        <f t="shared" si="974"/>
        <v/>
      </c>
      <c r="PG235" s="43" t="str">
        <f t="shared" si="975"/>
        <v/>
      </c>
      <c r="PH235" s="43" t="str">
        <f t="shared" si="976"/>
        <v/>
      </c>
      <c r="PI235" s="43" t="str">
        <f t="shared" si="977"/>
        <v>Menor</v>
      </c>
      <c r="PJ235" s="43" t="str">
        <f t="shared" si="978"/>
        <v>NORMAL</v>
      </c>
      <c r="PK235" s="43" t="str">
        <f t="shared" si="979"/>
        <v/>
      </c>
      <c r="PL235" s="43" t="str">
        <f t="shared" si="980"/>
        <v/>
      </c>
      <c r="PM235" s="43" t="str">
        <f t="shared" si="981"/>
        <v/>
      </c>
      <c r="PN235" s="43" t="str">
        <f t="shared" si="982"/>
        <v/>
      </c>
      <c r="PO235" s="43" t="str">
        <f t="shared" si="983"/>
        <v/>
      </c>
      <c r="PP235" s="43" t="str">
        <f t="shared" si="984"/>
        <v/>
      </c>
      <c r="PQ235" s="43" t="str">
        <f t="shared" si="985"/>
        <v/>
      </c>
      <c r="PR235" s="43" t="str">
        <f t="shared" si="986"/>
        <v/>
      </c>
      <c r="PS235" s="43" t="str">
        <f t="shared" si="987"/>
        <v/>
      </c>
      <c r="PT235" s="43" t="str">
        <f t="shared" si="988"/>
        <v/>
      </c>
      <c r="PU235" s="43" t="str">
        <f t="shared" si="989"/>
        <v/>
      </c>
      <c r="PV235" s="43" t="str">
        <f t="shared" si="990"/>
        <v/>
      </c>
      <c r="PW235" s="43" t="str">
        <f t="shared" si="991"/>
        <v/>
      </c>
      <c r="PX235" s="43" t="str">
        <f t="shared" si="992"/>
        <v/>
      </c>
      <c r="PY235" s="43" t="str">
        <f t="shared" si="993"/>
        <v/>
      </c>
      <c r="PZ235" s="43" t="str">
        <f t="shared" si="994"/>
        <v/>
      </c>
      <c r="QA235" s="43" t="str">
        <f t="shared" si="995"/>
        <v/>
      </c>
      <c r="QB235" s="43" t="str">
        <f t="shared" si="996"/>
        <v/>
      </c>
      <c r="QC235" s="43" t="str">
        <f t="shared" si="997"/>
        <v/>
      </c>
      <c r="QD235" s="43" t="str">
        <f t="shared" si="998"/>
        <v/>
      </c>
      <c r="QE235" s="43" t="str">
        <f t="shared" si="999"/>
        <v/>
      </c>
      <c r="QF235" s="43" t="str">
        <f t="shared" si="1000"/>
        <v/>
      </c>
      <c r="QG235" s="43" t="str">
        <f t="shared" si="1001"/>
        <v/>
      </c>
      <c r="QH235" s="43" t="str">
        <f t="shared" si="1002"/>
        <v/>
      </c>
      <c r="QI235" s="43" t="str">
        <f t="shared" si="1003"/>
        <v/>
      </c>
      <c r="QJ235" s="43" t="str">
        <f t="shared" si="1004"/>
        <v/>
      </c>
      <c r="QK235" s="43" t="str">
        <f t="shared" si="1005"/>
        <v/>
      </c>
      <c r="QL235" s="43" t="str">
        <f t="shared" si="1006"/>
        <v/>
      </c>
      <c r="QM235" s="43" t="str">
        <f t="shared" si="1007"/>
        <v/>
      </c>
      <c r="QN235" s="43" t="str">
        <f t="shared" si="1008"/>
        <v/>
      </c>
      <c r="QO235" s="43" t="str">
        <f t="shared" si="1009"/>
        <v/>
      </c>
      <c r="QP235" s="43" t="str">
        <f t="shared" si="1010"/>
        <v/>
      </c>
      <c r="QQ235" s="43" t="str">
        <f t="shared" si="1011"/>
        <v/>
      </c>
      <c r="QR235" s="43" t="str">
        <f t="shared" si="1012"/>
        <v>Menor</v>
      </c>
      <c r="QS235" s="43"/>
      <c r="QT235" s="21" t="str">
        <f t="shared" si="1013"/>
        <v/>
      </c>
      <c r="QU235" s="21" t="str">
        <f t="shared" si="1014"/>
        <v/>
      </c>
      <c r="QV235" s="21" t="str">
        <f t="shared" si="1015"/>
        <v/>
      </c>
      <c r="QW235" s="21" t="str">
        <f t="shared" si="1016"/>
        <v/>
      </c>
      <c r="QX235" s="21" t="str">
        <f t="shared" si="1017"/>
        <v/>
      </c>
      <c r="QY235" s="21" t="str">
        <f t="shared" si="1018"/>
        <v/>
      </c>
      <c r="QZ235" s="21" t="str">
        <f t="shared" si="1019"/>
        <v/>
      </c>
      <c r="RA235" s="21" t="str">
        <f t="shared" si="1020"/>
        <v/>
      </c>
      <c r="RB235" s="21" t="str">
        <f t="shared" si="1021"/>
        <v/>
      </c>
      <c r="RC235" s="21" t="str">
        <f t="shared" si="1022"/>
        <v/>
      </c>
      <c r="RD235" s="21" t="str">
        <f t="shared" si="1023"/>
        <v/>
      </c>
      <c r="RE235" s="21" t="str">
        <f t="shared" si="1024"/>
        <v/>
      </c>
      <c r="RF235" s="21" t="str">
        <f t="shared" si="1025"/>
        <v/>
      </c>
      <c r="RG235" s="21" t="str">
        <f t="shared" si="1026"/>
        <v/>
      </c>
      <c r="RH235" s="21" t="str">
        <f t="shared" si="1027"/>
        <v/>
      </c>
      <c r="RI235" s="21" t="str">
        <f t="shared" si="1028"/>
        <v/>
      </c>
      <c r="RJ235" s="21" t="str">
        <f t="shared" si="1029"/>
        <v/>
      </c>
      <c r="RK235" s="21" t="str">
        <f t="shared" si="1030"/>
        <v/>
      </c>
      <c r="RL235" s="21" t="str">
        <f t="shared" si="1031"/>
        <v/>
      </c>
      <c r="RM235" s="21" t="str">
        <f t="shared" si="1032"/>
        <v/>
      </c>
      <c r="RN235" s="21" t="str">
        <f t="shared" si="1033"/>
        <v/>
      </c>
      <c r="RO235" s="21" t="str">
        <f t="shared" si="1034"/>
        <v/>
      </c>
      <c r="RP235" s="21" t="str">
        <f t="shared" si="1035"/>
        <v/>
      </c>
      <c r="RQ235" s="21" t="str">
        <f t="shared" si="1036"/>
        <v/>
      </c>
      <c r="RR235" s="21" t="str">
        <f t="shared" si="1037"/>
        <v/>
      </c>
      <c r="RS235" s="21" t="str">
        <f t="shared" si="1038"/>
        <v/>
      </c>
      <c r="RT235" s="21" t="str">
        <f t="shared" si="1039"/>
        <v/>
      </c>
      <c r="RU235" s="21" t="str">
        <f t="shared" si="1040"/>
        <v/>
      </c>
      <c r="RV235" s="21">
        <f t="shared" si="1041"/>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42"/>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41"/>
        <v>20.167123287671235</v>
      </c>
      <c r="O236" s="22">
        <v>45125</v>
      </c>
      <c r="P236" s="214" t="str">
        <f t="shared" si="919"/>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2"/>
        <v>0</v>
      </c>
      <c r="BR236" s="223" t="str">
        <f t="shared" si="843"/>
        <v/>
      </c>
      <c r="BS236" s="224">
        <f t="shared" si="844"/>
        <v>20.857142857142858</v>
      </c>
      <c r="BT236" s="216" t="str">
        <f t="shared" si="845"/>
        <v>II TRIM</v>
      </c>
      <c r="BU236" s="214">
        <f t="shared" ca="1" si="928"/>
        <v>36.142857142857146</v>
      </c>
      <c r="BV236" s="25"/>
      <c r="BW236" s="22"/>
      <c r="BX236" s="28"/>
      <c r="BY236" s="28"/>
      <c r="BZ236" s="22"/>
      <c r="CA236" s="21"/>
      <c r="CB236" s="26"/>
      <c r="CC236" s="26"/>
      <c r="CD236" s="26"/>
      <c r="CE236" s="26"/>
      <c r="CF236" s="22" t="s">
        <v>1517</v>
      </c>
      <c r="CG236" s="21">
        <v>1.51</v>
      </c>
      <c r="CH236" s="21">
        <v>51</v>
      </c>
      <c r="CI236" s="214">
        <f t="shared" si="847"/>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8"/>
        <v>45156</v>
      </c>
      <c r="CL236" s="21">
        <v>53</v>
      </c>
      <c r="CM236" s="214">
        <f t="shared" si="849"/>
        <v>23.244594535327398</v>
      </c>
      <c r="CN236" s="216">
        <f t="shared" si="850"/>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5"/>
        <v/>
      </c>
      <c r="DA236" s="21">
        <v>90</v>
      </c>
      <c r="DB236" s="21">
        <v>60</v>
      </c>
      <c r="DC236" s="217" t="str">
        <f t="shared" si="851"/>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20"/>
        <v>CONCERTAR PLAN DE PARTO INMEDIATO</v>
      </c>
      <c r="DV236" s="226" t="str">
        <f t="shared" si="921"/>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2"/>
        <v>#REF!</v>
      </c>
      <c r="DY236" s="212">
        <f>IF(R236="","",IF(R236&gt;0,MAX(Tabla1[[#This Row],[FECHA C2]:[FECHA C13]],Tabla1[[#This Row],[FECHA CONSULTA PRIMERA VEZ PROGRAMA CPN ]])))</f>
        <v>45156</v>
      </c>
      <c r="DZ236" s="216">
        <f t="shared" si="853"/>
        <v>25</v>
      </c>
      <c r="EA236" s="222">
        <f>IF(R236&gt;0,SUM(COUNTA(DF236:DQ236)+COUNTA(Tabla1[[#This Row],[FECHA CONSULTA PRIMERA VEZ PROGRAMA CPN ]])),"")</f>
        <v>2</v>
      </c>
      <c r="EB236" s="222" t="str">
        <f t="shared" si="854"/>
        <v>NO</v>
      </c>
      <c r="EC236" s="214">
        <f t="shared" si="855"/>
        <v>6</v>
      </c>
      <c r="ED236" s="227">
        <f t="shared" si="856"/>
        <v>0.33333333333333331</v>
      </c>
      <c r="EE236" s="22">
        <v>45125</v>
      </c>
      <c r="EF236" s="22">
        <v>45156</v>
      </c>
      <c r="EG236" s="22">
        <v>45125</v>
      </c>
      <c r="EH236" s="22"/>
      <c r="EI236" s="22">
        <v>45125</v>
      </c>
      <c r="EJ236" s="22"/>
      <c r="EK236" s="22"/>
      <c r="EL236" s="21"/>
      <c r="EM236" s="21">
        <v>12.6</v>
      </c>
      <c r="EN236" s="22">
        <v>45129</v>
      </c>
      <c r="EO236" s="222">
        <f t="shared" si="857"/>
        <v>21.428571428571427</v>
      </c>
      <c r="EP236" s="214" t="str">
        <f t="shared" si="858"/>
        <v>NORMAL- SUMINISTRAR SULFATO FERROSO</v>
      </c>
      <c r="EQ236" s="216" t="str">
        <f t="shared" si="859"/>
        <v>II TRIM</v>
      </c>
      <c r="ER236" s="24">
        <v>63</v>
      </c>
      <c r="ES236" s="22">
        <v>45129</v>
      </c>
      <c r="ET236" s="29">
        <f t="shared" ca="1" si="922"/>
        <v>21.428571428571427</v>
      </c>
      <c r="EU236" s="25" t="str">
        <f t="shared" si="860"/>
        <v/>
      </c>
      <c r="EV236" s="24" t="s">
        <v>1510</v>
      </c>
      <c r="EW236" s="32">
        <v>45129</v>
      </c>
      <c r="EX236" s="22"/>
      <c r="EY236" s="29">
        <f t="shared" si="1043"/>
        <v>21.428571428571427</v>
      </c>
      <c r="EZ236" s="25" t="str">
        <f t="shared" si="1044"/>
        <v>SIN RIESGO DE ISOINMUNIZACIÓN</v>
      </c>
      <c r="FA236" s="21">
        <v>63</v>
      </c>
      <c r="FB236" s="32">
        <v>45129</v>
      </c>
      <c r="FC236" s="29">
        <f t="shared" si="861"/>
        <v>21.428571428571427</v>
      </c>
      <c r="FD236" s="29"/>
      <c r="FE236" s="29"/>
      <c r="FF236" s="29"/>
      <c r="FG236" s="21" t="str">
        <f t="shared" ca="1" si="862"/>
        <v>TOMAR PTOG</v>
      </c>
      <c r="FH236" s="31"/>
      <c r="FI236" s="29" t="str">
        <f t="shared" si="863"/>
        <v>TOMAR EXAMEN</v>
      </c>
      <c r="FJ236" s="22"/>
      <c r="FK236" s="22"/>
      <c r="FL236" s="29" t="str">
        <f t="shared" ca="1" si="864"/>
        <v>NO APLICA-INGRESO TARDIO</v>
      </c>
      <c r="FM236" s="22" t="s">
        <v>867</v>
      </c>
      <c r="FN236" s="22">
        <v>45129</v>
      </c>
      <c r="FO236" s="29">
        <f t="shared" ca="1" si="923"/>
        <v>21.428571428571427</v>
      </c>
      <c r="FP236" s="22"/>
      <c r="FQ236" s="32"/>
      <c r="FR236" s="29" t="str">
        <f t="shared" ca="1" si="924"/>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5"/>
        <v>TOMAR EXAMEN</v>
      </c>
      <c r="FY236" s="22"/>
      <c r="FZ236" s="22"/>
      <c r="GA236" s="29" t="str">
        <f t="shared" ca="1" si="939"/>
        <v>NO APLICA-INGRESO TARDIO</v>
      </c>
      <c r="GB236" s="22" t="s">
        <v>868</v>
      </c>
      <c r="GC236" s="22">
        <v>45129</v>
      </c>
      <c r="GD236" s="29">
        <f t="shared" ca="1" si="1048"/>
        <v>21.428571428571427</v>
      </c>
      <c r="GE236" s="22"/>
      <c r="GF236" s="22"/>
      <c r="GG236" s="29" t="str">
        <f t="shared" ca="1" si="926"/>
        <v>TOMA INMEDIATA DE TAMIZAJE</v>
      </c>
      <c r="GH236" s="22"/>
      <c r="GI236" s="29"/>
      <c r="GJ236" s="22"/>
      <c r="GK236" s="22"/>
      <c r="GL236" s="22"/>
      <c r="GM236" s="22"/>
      <c r="GN236" s="28" t="s">
        <v>869</v>
      </c>
      <c r="GO236" s="22">
        <v>45129</v>
      </c>
      <c r="GP236" s="29">
        <f t="shared" si="866"/>
        <v>21.428571428571427</v>
      </c>
      <c r="GQ236" s="28" t="s">
        <v>880</v>
      </c>
      <c r="GR236" s="28"/>
      <c r="GS236" s="22" t="str">
        <f t="shared" si="1047"/>
        <v/>
      </c>
      <c r="GT236" s="22">
        <v>45129</v>
      </c>
      <c r="GU236" s="29">
        <f t="shared" si="867"/>
        <v>21.428571428571427</v>
      </c>
      <c r="GV236" s="21" t="str">
        <f t="shared" si="868"/>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9"/>
        <v>#REF!</v>
      </c>
      <c r="HI236" s="22" t="e">
        <f t="shared" ca="1" si="870"/>
        <v>#REF!</v>
      </c>
      <c r="HJ236" s="21" t="str">
        <f t="shared" ca="1" si="871"/>
        <v>**********************MULTIPARIDAD*****************</v>
      </c>
      <c r="HK236" s="21" t="str">
        <f t="shared" si="872"/>
        <v>SIN ANTECEDENTES DE RIESGO</v>
      </c>
      <c r="HL236" s="24" t="str">
        <f t="shared" si="873"/>
        <v>APARENTEMENTE NORMAL</v>
      </c>
      <c r="HM236" s="21" t="e">
        <f t="shared" ca="1" si="874"/>
        <v>#REF!</v>
      </c>
      <c r="HN236" s="30" t="str">
        <f t="shared" si="927"/>
        <v>ACTIVA INGRESO A CPN</v>
      </c>
      <c r="HO236" s="21"/>
      <c r="HP236" s="21"/>
      <c r="HQ236" s="349"/>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5"/>
        <v>PENDIENTE CONSULTA</v>
      </c>
      <c r="IA236" s="26"/>
      <c r="IB236" s="26"/>
      <c r="IC236" s="111"/>
      <c r="ID236" s="22"/>
      <c r="IE236" s="22" t="str">
        <f t="shared" ca="1" si="876"/>
        <v>INASISTENTE</v>
      </c>
      <c r="IF236" s="22"/>
      <c r="IG236" s="22">
        <f t="shared" si="877"/>
        <v>45259</v>
      </c>
      <c r="IH236" s="29">
        <f t="shared" ca="1" si="878"/>
        <v>27</v>
      </c>
      <c r="II236" s="22" t="str">
        <f t="shared" ca="1" si="879"/>
        <v>MENOS DE 4 SEMANAS</v>
      </c>
      <c r="IJ236" s="22"/>
      <c r="IK236" s="21"/>
      <c r="IL236" s="21"/>
      <c r="IM236" s="34"/>
      <c r="IN236" s="22"/>
      <c r="IO236" s="21"/>
      <c r="IP236" s="29" t="str">
        <f t="shared" si="880"/>
        <v/>
      </c>
      <c r="IQ236" s="35"/>
      <c r="IR236" s="21"/>
      <c r="IS236" s="21"/>
      <c r="IT236" s="21"/>
      <c r="IU236" s="21"/>
      <c r="IV236" s="21"/>
      <c r="IW236" s="21"/>
      <c r="IX236" s="21"/>
      <c r="IY236" s="21"/>
      <c r="IZ236" s="21"/>
      <c r="JA236" s="21"/>
      <c r="JB236" s="30"/>
      <c r="JC236" s="21"/>
      <c r="JD236" s="36"/>
      <c r="JE236" s="21" t="str">
        <f t="shared" si="881"/>
        <v/>
      </c>
      <c r="JF236" s="30"/>
      <c r="JG236" s="21"/>
      <c r="JH236" s="21"/>
      <c r="JI236" s="21"/>
      <c r="JJ236" s="30"/>
      <c r="JK236" s="22"/>
      <c r="JL236" s="22"/>
      <c r="JM236" s="21"/>
      <c r="JN236" s="36"/>
      <c r="JO236" s="21" t="str">
        <f t="shared" si="882"/>
        <v/>
      </c>
      <c r="JP236" s="22"/>
      <c r="JQ236" s="21"/>
      <c r="JR236" s="21"/>
      <c r="JS236" s="21"/>
      <c r="JT236" s="30"/>
      <c r="JU236" s="22"/>
      <c r="JV236" s="22"/>
      <c r="JW236" s="33"/>
      <c r="JX236" s="28" t="str">
        <f t="shared" si="883"/>
        <v/>
      </c>
      <c r="JY236" s="33"/>
      <c r="JZ236" s="28" t="str">
        <f t="shared" si="884"/>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5"/>
        <v>0</v>
      </c>
      <c r="MI236" s="43" t="str">
        <f t="shared" si="929"/>
        <v/>
      </c>
      <c r="MJ236" s="43" t="str">
        <f t="shared" si="887"/>
        <v/>
      </c>
      <c r="MK236" s="43">
        <f t="shared" si="888"/>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30"/>
        <v>20.857142857142858</v>
      </c>
      <c r="MN236" s="43">
        <f t="shared" si="931"/>
        <v>7</v>
      </c>
      <c r="MO236" s="43">
        <f t="shared" si="932"/>
        <v>2023</v>
      </c>
      <c r="MP236" s="43" t="str">
        <f t="shared" si="892"/>
        <v>III TRIMESTRE AÑO</v>
      </c>
      <c r="MQ236" s="43">
        <f t="shared" si="933"/>
        <v>19.576763031099429</v>
      </c>
      <c r="MR236" s="43">
        <f t="shared" si="894"/>
        <v>0</v>
      </c>
      <c r="MS236" s="43" t="str">
        <f t="shared" si="895"/>
        <v>DE 14 A 19AÑOS</v>
      </c>
      <c r="MT236" s="43">
        <f t="shared" si="896"/>
        <v>0</v>
      </c>
      <c r="MU236" s="43">
        <f t="shared" si="897"/>
        <v>1</v>
      </c>
      <c r="MV236" s="43">
        <f t="shared" si="898"/>
        <v>0</v>
      </c>
      <c r="MW236" s="43">
        <f t="shared" si="899"/>
        <v>0</v>
      </c>
      <c r="MX236" s="43" t="str">
        <f t="shared" si="900"/>
        <v/>
      </c>
      <c r="MY236" s="43" t="str">
        <f t="shared" ca="1" si="901"/>
        <v/>
      </c>
      <c r="MZ236" s="43" t="str">
        <f t="shared" si="902"/>
        <v/>
      </c>
      <c r="NA236" s="43" t="str">
        <f t="shared" si="903"/>
        <v/>
      </c>
      <c r="NB236" s="43" t="str">
        <f t="shared" si="904"/>
        <v/>
      </c>
      <c r="NC236" s="43" t="str">
        <f t="shared" si="905"/>
        <v/>
      </c>
      <c r="ND236" s="43">
        <f t="shared" ca="1" si="934"/>
        <v>1</v>
      </c>
      <c r="NE236" s="43">
        <f>IF(OR(O236&gt;0,R236&gt;0),SUM(COUNTIF(Tabla1[[#This Row],[AÑOS AL INICIO5 CPN]],"&gt;=40"),COUNTIF(AS236,"0"),COUNTIF(AR236,"SI"),COUNTIF(CC236,"SI"),COUNTIF(BQ236,"&gt;119"),COUNTIF(CI236,"&gt;=35")),"")</f>
        <v>1</v>
      </c>
      <c r="NF236" s="43" t="str">
        <f t="shared" si="935"/>
        <v/>
      </c>
      <c r="NG236" s="43">
        <f t="shared" si="908"/>
        <v>0</v>
      </c>
      <c r="NH236" s="43" t="str">
        <f t="shared" si="909"/>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6"/>
        <v>X</v>
      </c>
      <c r="NM236" s="43" t="str">
        <f t="shared" si="941"/>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12"/>
        <v>II TRIM</v>
      </c>
      <c r="NQ236" s="21" t="str">
        <f t="shared" si="1046"/>
        <v/>
      </c>
      <c r="NR236" s="21">
        <f t="shared" ca="1" si="937"/>
        <v>2</v>
      </c>
      <c r="NS236" s="205">
        <f t="shared" ca="1" si="914"/>
        <v>1</v>
      </c>
      <c r="NT236" s="21">
        <f t="shared" ca="1" si="915"/>
        <v>1</v>
      </c>
      <c r="NU236" s="21" t="str">
        <f t="shared" ca="1" si="916"/>
        <v>INCOMPLETO</v>
      </c>
      <c r="NV236" s="21" t="str">
        <f t="shared" ca="1" si="917"/>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8"/>
        <v>SIN VACUNAR</v>
      </c>
      <c r="NY236" s="43">
        <f>ROW(Tabla1[[#This Row],['# DE TAMIZAJES SIFILIS TOMADOS ]])</f>
        <v>236</v>
      </c>
      <c r="NZ236" s="43">
        <f t="shared" si="942"/>
        <v>20</v>
      </c>
      <c r="OA236" s="43" t="str">
        <f t="shared" si="943"/>
        <v/>
      </c>
      <c r="OB236" s="43" t="str">
        <f t="shared" si="944"/>
        <v/>
      </c>
      <c r="OC236" s="43" t="str">
        <f t="shared" si="945"/>
        <v/>
      </c>
      <c r="OD236" s="43" t="str">
        <f t="shared" si="946"/>
        <v/>
      </c>
      <c r="OE236" s="43" t="str">
        <f t="shared" si="947"/>
        <v/>
      </c>
      <c r="OF236" s="43" t="str">
        <f t="shared" si="948"/>
        <v/>
      </c>
      <c r="OG236" s="43" t="str">
        <f t="shared" si="949"/>
        <v/>
      </c>
      <c r="OH236" s="43" t="str">
        <f t="shared" si="950"/>
        <v/>
      </c>
      <c r="OI236" s="43" t="str">
        <f t="shared" si="951"/>
        <v/>
      </c>
      <c r="OJ236" s="43" t="str">
        <f t="shared" si="952"/>
        <v/>
      </c>
      <c r="OK236" s="43" t="str">
        <f t="shared" si="953"/>
        <v/>
      </c>
      <c r="OL236" s="43" t="str">
        <f t="shared" si="954"/>
        <v>NORMAL</v>
      </c>
      <c r="OM236" s="43" t="str">
        <f t="shared" si="955"/>
        <v/>
      </c>
      <c r="ON236" s="43" t="str">
        <f t="shared" si="956"/>
        <v/>
      </c>
      <c r="OO236" s="43" t="str">
        <f t="shared" si="957"/>
        <v/>
      </c>
      <c r="OP236" s="43" t="str">
        <f t="shared" si="958"/>
        <v/>
      </c>
      <c r="OQ236" s="43" t="str">
        <f t="shared" si="959"/>
        <v/>
      </c>
      <c r="OR236" s="43" t="str">
        <f t="shared" si="960"/>
        <v/>
      </c>
      <c r="OS236" s="43" t="str">
        <f t="shared" si="961"/>
        <v/>
      </c>
      <c r="OT236" s="43" t="str">
        <f t="shared" si="962"/>
        <v/>
      </c>
      <c r="OU236" s="43" t="str">
        <f t="shared" si="963"/>
        <v/>
      </c>
      <c r="OV236" s="110" t="str">
        <f t="shared" si="964"/>
        <v/>
      </c>
      <c r="OW236" s="43" t="str">
        <f t="shared" si="965"/>
        <v/>
      </c>
      <c r="OX236" s="43" t="str">
        <f t="shared" si="966"/>
        <v/>
      </c>
      <c r="OY236" s="43" t="str">
        <f t="shared" si="967"/>
        <v/>
      </c>
      <c r="OZ236" s="43" t="str">
        <f t="shared" si="968"/>
        <v/>
      </c>
      <c r="PA236" s="43" t="str">
        <f t="shared" si="969"/>
        <v/>
      </c>
      <c r="PB236" s="43" t="str">
        <f t="shared" si="970"/>
        <v/>
      </c>
      <c r="PC236" s="43" t="str">
        <f t="shared" si="971"/>
        <v/>
      </c>
      <c r="PD236" s="43" t="str">
        <f t="shared" si="972"/>
        <v/>
      </c>
      <c r="PE236" s="43" t="str">
        <f t="shared" si="973"/>
        <v/>
      </c>
      <c r="PF236" s="43" t="str">
        <f t="shared" si="974"/>
        <v/>
      </c>
      <c r="PG236" s="43" t="str">
        <f t="shared" si="975"/>
        <v/>
      </c>
      <c r="PH236" s="43" t="str">
        <f t="shared" si="976"/>
        <v/>
      </c>
      <c r="PI236" s="43">
        <f t="shared" si="977"/>
        <v>25</v>
      </c>
      <c r="PJ236" s="43" t="str">
        <f t="shared" si="978"/>
        <v/>
      </c>
      <c r="PK236" s="43" t="str">
        <f t="shared" si="979"/>
        <v/>
      </c>
      <c r="PL236" s="43" t="str">
        <f t="shared" si="980"/>
        <v/>
      </c>
      <c r="PM236" s="43" t="str">
        <f t="shared" si="981"/>
        <v/>
      </c>
      <c r="PN236" s="43" t="str">
        <f t="shared" si="982"/>
        <v/>
      </c>
      <c r="PO236" s="43" t="str">
        <f t="shared" si="983"/>
        <v/>
      </c>
      <c r="PP236" s="43" t="str">
        <f t="shared" si="984"/>
        <v/>
      </c>
      <c r="PQ236" s="43" t="str">
        <f t="shared" si="985"/>
        <v/>
      </c>
      <c r="PR236" s="43" t="str">
        <f t="shared" si="986"/>
        <v/>
      </c>
      <c r="PS236" s="43" t="str">
        <f t="shared" si="987"/>
        <v/>
      </c>
      <c r="PT236" s="43" t="str">
        <f t="shared" si="988"/>
        <v/>
      </c>
      <c r="PU236" s="43" t="str">
        <f t="shared" si="989"/>
        <v/>
      </c>
      <c r="PV236" s="43" t="str">
        <f t="shared" si="990"/>
        <v/>
      </c>
      <c r="PW236" s="43" t="str">
        <f t="shared" si="991"/>
        <v/>
      </c>
      <c r="PX236" s="43" t="str">
        <f t="shared" si="992"/>
        <v/>
      </c>
      <c r="PY236" s="43" t="str">
        <f t="shared" si="993"/>
        <v/>
      </c>
      <c r="PZ236" s="43" t="str">
        <f t="shared" si="994"/>
        <v>NORMAL</v>
      </c>
      <c r="QA236" s="43" t="str">
        <f t="shared" si="995"/>
        <v/>
      </c>
      <c r="QB236" s="43" t="str">
        <f t="shared" si="996"/>
        <v/>
      </c>
      <c r="QC236" s="43" t="str">
        <f t="shared" si="997"/>
        <v/>
      </c>
      <c r="QD236" s="43" t="str">
        <f t="shared" si="998"/>
        <v/>
      </c>
      <c r="QE236" s="43" t="str">
        <f t="shared" si="999"/>
        <v/>
      </c>
      <c r="QF236" s="43" t="str">
        <f t="shared" si="1000"/>
        <v/>
      </c>
      <c r="QG236" s="43" t="str">
        <f t="shared" si="1001"/>
        <v/>
      </c>
      <c r="QH236" s="43" t="str">
        <f t="shared" si="1002"/>
        <v/>
      </c>
      <c r="QI236" s="43" t="str">
        <f t="shared" si="1003"/>
        <v/>
      </c>
      <c r="QJ236" s="43" t="str">
        <f t="shared" si="1004"/>
        <v/>
      </c>
      <c r="QK236" s="43" t="str">
        <f t="shared" si="1005"/>
        <v/>
      </c>
      <c r="QL236" s="43" t="str">
        <f t="shared" si="1006"/>
        <v/>
      </c>
      <c r="QM236" s="43" t="str">
        <f t="shared" si="1007"/>
        <v/>
      </c>
      <c r="QN236" s="43" t="str">
        <f t="shared" si="1008"/>
        <v/>
      </c>
      <c r="QO236" s="43" t="str">
        <f t="shared" si="1009"/>
        <v/>
      </c>
      <c r="QP236" s="43" t="str">
        <f t="shared" si="1010"/>
        <v/>
      </c>
      <c r="QQ236" s="43" t="str">
        <f t="shared" si="1011"/>
        <v/>
      </c>
      <c r="QR236" s="43">
        <f t="shared" si="1012"/>
        <v>25</v>
      </c>
      <c r="QS236" s="43"/>
      <c r="QT236" s="21" t="str">
        <f t="shared" si="1013"/>
        <v/>
      </c>
      <c r="QU236" s="21" t="str">
        <f t="shared" si="1014"/>
        <v/>
      </c>
      <c r="QV236" s="21" t="str">
        <f t="shared" si="1015"/>
        <v/>
      </c>
      <c r="QW236" s="21" t="str">
        <f t="shared" si="1016"/>
        <v/>
      </c>
      <c r="QX236" s="21" t="str">
        <f t="shared" si="1017"/>
        <v/>
      </c>
      <c r="QY236" s="21" t="str">
        <f t="shared" si="1018"/>
        <v/>
      </c>
      <c r="QZ236" s="21" t="str">
        <f t="shared" si="1019"/>
        <v/>
      </c>
      <c r="RA236" s="21" t="str">
        <f t="shared" si="1020"/>
        <v/>
      </c>
      <c r="RB236" s="21" t="str">
        <f t="shared" si="1021"/>
        <v/>
      </c>
      <c r="RC236" s="21" t="str">
        <f t="shared" si="1022"/>
        <v/>
      </c>
      <c r="RD236" s="21" t="str">
        <f t="shared" si="1023"/>
        <v/>
      </c>
      <c r="RE236" s="21" t="str">
        <f t="shared" si="1024"/>
        <v/>
      </c>
      <c r="RF236" s="21" t="str">
        <f t="shared" si="1025"/>
        <v>ADECUADO PARA EDAD GESTACIONAL</v>
      </c>
      <c r="RG236" s="21" t="str">
        <f t="shared" si="1026"/>
        <v/>
      </c>
      <c r="RH236" s="21" t="str">
        <f t="shared" si="1027"/>
        <v/>
      </c>
      <c r="RI236" s="21" t="str">
        <f t="shared" si="1028"/>
        <v/>
      </c>
      <c r="RJ236" s="21" t="str">
        <f t="shared" si="1029"/>
        <v/>
      </c>
      <c r="RK236" s="21" t="str">
        <f t="shared" si="1030"/>
        <v/>
      </c>
      <c r="RL236" s="21" t="str">
        <f t="shared" si="1031"/>
        <v/>
      </c>
      <c r="RM236" s="21" t="str">
        <f t="shared" si="1032"/>
        <v/>
      </c>
      <c r="RN236" s="21" t="str">
        <f t="shared" si="1033"/>
        <v/>
      </c>
      <c r="RO236" s="21" t="str">
        <f t="shared" si="1034"/>
        <v/>
      </c>
      <c r="RP236" s="21" t="str">
        <f t="shared" si="1035"/>
        <v/>
      </c>
      <c r="RQ236" s="21" t="str">
        <f t="shared" si="1036"/>
        <v/>
      </c>
      <c r="RR236" s="21" t="str">
        <f t="shared" si="1037"/>
        <v/>
      </c>
      <c r="RS236" s="21" t="str">
        <f t="shared" si="1038"/>
        <v/>
      </c>
      <c r="RT236" s="21" t="str">
        <f t="shared" si="1039"/>
        <v/>
      </c>
      <c r="RU236" s="21" t="str">
        <f t="shared" si="1040"/>
        <v/>
      </c>
      <c r="RV236" s="21">
        <f t="shared" si="1041"/>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42"/>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41"/>
        <v>36.865753424657534</v>
      </c>
      <c r="O237" s="22">
        <v>45139</v>
      </c>
      <c r="P237" s="214" t="str">
        <f t="shared" si="919"/>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2"/>
        <v>0</v>
      </c>
      <c r="BR237" s="223" t="str">
        <f t="shared" si="843"/>
        <v/>
      </c>
      <c r="BS237" s="224">
        <f t="shared" si="844"/>
        <v>5.4285714285714288</v>
      </c>
      <c r="BT237" s="216" t="str">
        <f t="shared" si="845"/>
        <v>DEFINIR CON ECO</v>
      </c>
      <c r="BU237" s="214">
        <f t="shared" ca="1" si="928"/>
        <v>18.714285714285715</v>
      </c>
      <c r="BV237" s="25"/>
      <c r="BW237" s="22"/>
      <c r="BX237" s="28"/>
      <c r="BY237" s="28"/>
      <c r="BZ237" s="22"/>
      <c r="CA237" s="21"/>
      <c r="CB237" s="26"/>
      <c r="CC237" s="26"/>
      <c r="CD237" s="26"/>
      <c r="CE237" s="26"/>
      <c r="CF237" s="22" t="s">
        <v>1517</v>
      </c>
      <c r="CG237" s="21">
        <v>1.52</v>
      </c>
      <c r="CH237" s="21">
        <v>52.6</v>
      </c>
      <c r="CI237" s="214">
        <f t="shared" si="847"/>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8"/>
        <v>45171</v>
      </c>
      <c r="CL237" s="21">
        <v>52.6</v>
      </c>
      <c r="CM237" s="214">
        <f t="shared" si="849"/>
        <v>22.766620498614959</v>
      </c>
      <c r="CN237" s="216">
        <f t="shared" si="850"/>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5"/>
        <v/>
      </c>
      <c r="DA237" s="21">
        <v>90</v>
      </c>
      <c r="DB237" s="21">
        <v>60</v>
      </c>
      <c r="DC237" s="217" t="str">
        <f t="shared" si="851"/>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20"/>
        <v>EN ESPERA</v>
      </c>
      <c r="DV237" s="226" t="str">
        <f t="shared" si="921"/>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2"/>
        <v>#REF!</v>
      </c>
      <c r="DY237" s="212">
        <f>IF(R237="","",IF(R237&gt;0,MAX(Tabla1[[#This Row],[FECHA C2]:[FECHA C13]],Tabla1[[#This Row],[FECHA CONSULTA PRIMERA VEZ PROGRAMA CPN ]])))</f>
        <v>45171</v>
      </c>
      <c r="DZ237" s="216">
        <f t="shared" si="853"/>
        <v>10</v>
      </c>
      <c r="EA237" s="222">
        <f>IF(R237&gt;0,SUM(COUNTA(DF237:DQ237)+COUNTA(Tabla1[[#This Row],[FECHA CONSULTA PRIMERA VEZ PROGRAMA CPN ]])),"")</f>
        <v>2</v>
      </c>
      <c r="EB237" s="222" t="str">
        <f t="shared" si="854"/>
        <v>NO</v>
      </c>
      <c r="EC237" s="214">
        <f t="shared" si="855"/>
        <v>10</v>
      </c>
      <c r="ED237" s="227">
        <f t="shared" si="856"/>
        <v>0.2</v>
      </c>
      <c r="EE237" s="22">
        <v>45139</v>
      </c>
      <c r="EF237" s="22">
        <v>45154</v>
      </c>
      <c r="EG237" s="22">
        <v>45139</v>
      </c>
      <c r="EH237" s="22"/>
      <c r="EI237" s="22">
        <v>45139</v>
      </c>
      <c r="EJ237" s="22"/>
      <c r="EK237" s="22"/>
      <c r="EL237" s="21"/>
      <c r="EM237" s="21">
        <v>12.8</v>
      </c>
      <c r="EN237" s="22">
        <v>45171</v>
      </c>
      <c r="EO237" s="222">
        <f t="shared" si="857"/>
        <v>10</v>
      </c>
      <c r="EP237" s="214" t="str">
        <f t="shared" si="858"/>
        <v>NORMAL- SUMINISTRAR SULFATO FERROSO</v>
      </c>
      <c r="EQ237" s="216" t="str">
        <f t="shared" si="859"/>
        <v>I TRIM</v>
      </c>
      <c r="ER237" s="24"/>
      <c r="ES237" s="22"/>
      <c r="ET237" s="29" t="str">
        <f t="shared" ca="1" si="922"/>
        <v>EN ESPERA PARA TOMA EXAMEN</v>
      </c>
      <c r="EU237" s="25" t="str">
        <f t="shared" si="860"/>
        <v/>
      </c>
      <c r="EV237" s="24" t="s">
        <v>1510</v>
      </c>
      <c r="EW237" s="32">
        <v>45171</v>
      </c>
      <c r="EX237" s="22"/>
      <c r="EY237" s="29">
        <f t="shared" si="1043"/>
        <v>10</v>
      </c>
      <c r="EZ237" s="25" t="str">
        <f t="shared" si="1044"/>
        <v>SIN RIESGO DE ISOINMUNIZACIÓN</v>
      </c>
      <c r="FA237" s="21">
        <v>66</v>
      </c>
      <c r="FB237" s="22">
        <v>45171</v>
      </c>
      <c r="FC237" s="29">
        <f t="shared" si="861"/>
        <v>10</v>
      </c>
      <c r="FD237" s="29"/>
      <c r="FE237" s="29"/>
      <c r="FF237" s="29"/>
      <c r="FG237" s="21" t="str">
        <f t="shared" ca="1" si="862"/>
        <v/>
      </c>
      <c r="FH237" s="31"/>
      <c r="FI237" s="29" t="str">
        <f t="shared" si="863"/>
        <v>TOMAR EXAMEN</v>
      </c>
      <c r="FJ237" s="22" t="s">
        <v>867</v>
      </c>
      <c r="FK237" s="22">
        <v>45171</v>
      </c>
      <c r="FL237" s="29">
        <f t="shared" ca="1" si="864"/>
        <v>10</v>
      </c>
      <c r="FM237" s="22"/>
      <c r="FN237" s="32"/>
      <c r="FO237" s="29" t="str">
        <f t="shared" ca="1" si="923"/>
        <v>EN RANGO PARA TOMAR EXAMEN</v>
      </c>
      <c r="FP237" s="22"/>
      <c r="FQ237" s="32"/>
      <c r="FR237" s="29" t="str">
        <f t="shared" ca="1" si="924"/>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5"/>
        <v>TOMAR EXAMEN</v>
      </c>
      <c r="FY237" s="22" t="s">
        <v>868</v>
      </c>
      <c r="FZ237" s="22">
        <v>45171</v>
      </c>
      <c r="GA237" s="29">
        <f t="shared" ca="1" si="939"/>
        <v>10</v>
      </c>
      <c r="GB237" s="22"/>
      <c r="GC237" s="22"/>
      <c r="GD237" s="29" t="str">
        <f t="shared" ca="1" si="1048"/>
        <v>EN RANGO PARA TOMAR EXAMEN</v>
      </c>
      <c r="GE237" s="22"/>
      <c r="GF237" s="22"/>
      <c r="GG237" s="29" t="str">
        <f t="shared" ca="1" si="926"/>
        <v>EN ESPERA-ESTÁ I TRIM O II TRIM</v>
      </c>
      <c r="GH237" s="22"/>
      <c r="GI237" s="29"/>
      <c r="GJ237" s="22"/>
      <c r="GK237" s="22"/>
      <c r="GL237" s="22"/>
      <c r="GM237" s="22"/>
      <c r="GN237" s="28" t="s">
        <v>869</v>
      </c>
      <c r="GO237" s="22">
        <v>45171</v>
      </c>
      <c r="GP237" s="29">
        <f t="shared" si="866"/>
        <v>10</v>
      </c>
      <c r="GQ237" s="28" t="s">
        <v>869</v>
      </c>
      <c r="GR237" s="28" t="s">
        <v>869</v>
      </c>
      <c r="GS237" s="22" t="str">
        <f t="shared" si="1047"/>
        <v>CONTROL Igm</v>
      </c>
      <c r="GT237" s="22">
        <v>45171</v>
      </c>
      <c r="GU237" s="29">
        <f t="shared" si="867"/>
        <v>10</v>
      </c>
      <c r="GV237" s="21" t="str">
        <f t="shared" si="868"/>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9"/>
        <v>#REF!</v>
      </c>
      <c r="HI237" s="22" t="e">
        <f t="shared" ca="1" si="870"/>
        <v>#REF!</v>
      </c>
      <c r="HJ237" s="21" t="str">
        <f t="shared" ca="1" si="871"/>
        <v>************************RIESGO POR EDAD***************</v>
      </c>
      <c r="HK237" s="21" t="str">
        <f t="shared" si="872"/>
        <v>SIN ANTECEDENTES DE RIESGO</v>
      </c>
      <c r="HL237" s="24" t="str">
        <f t="shared" si="873"/>
        <v>APARENTEMENTE NORMAL</v>
      </c>
      <c r="HM237" s="21" t="e">
        <f t="shared" ca="1" si="874"/>
        <v>#REF!</v>
      </c>
      <c r="HN237" s="30" t="str">
        <f t="shared" si="927"/>
        <v>ACTIVA INGRESO A CPN</v>
      </c>
      <c r="HO237" s="21"/>
      <c r="HP237" s="21"/>
      <c r="HQ237" s="349"/>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5"/>
        <v>PENDIENTE CONSULTA</v>
      </c>
      <c r="IA237" s="26"/>
      <c r="IB237" s="26"/>
      <c r="IC237" s="111"/>
      <c r="ID237" s="22"/>
      <c r="IE237" s="22" t="str">
        <f t="shared" ca="1" si="876"/>
        <v>EN ESPERA PARA VACUNAR</v>
      </c>
      <c r="IF237" s="22"/>
      <c r="IG237" s="22">
        <f t="shared" si="877"/>
        <v>45381</v>
      </c>
      <c r="IH237" s="29">
        <f t="shared" ca="1" si="878"/>
        <v>149</v>
      </c>
      <c r="II237" s="22" t="str">
        <f t="shared" ca="1" si="879"/>
        <v>PENDIENTE</v>
      </c>
      <c r="IJ237" s="22"/>
      <c r="IK237" s="21"/>
      <c r="IL237" s="21"/>
      <c r="IM237" s="34"/>
      <c r="IN237" s="22"/>
      <c r="IO237" s="21"/>
      <c r="IP237" s="29" t="str">
        <f t="shared" si="880"/>
        <v/>
      </c>
      <c r="IQ237" s="35"/>
      <c r="IR237" s="21"/>
      <c r="IS237" s="21"/>
      <c r="IT237" s="21"/>
      <c r="IU237" s="21"/>
      <c r="IV237" s="21"/>
      <c r="IW237" s="21"/>
      <c r="IX237" s="21"/>
      <c r="IY237" s="21"/>
      <c r="IZ237" s="21"/>
      <c r="JA237" s="21"/>
      <c r="JB237" s="30"/>
      <c r="JC237" s="21"/>
      <c r="JD237" s="36"/>
      <c r="JE237" s="21" t="str">
        <f t="shared" si="881"/>
        <v/>
      </c>
      <c r="JF237" s="30"/>
      <c r="JG237" s="21"/>
      <c r="JH237" s="21"/>
      <c r="JI237" s="21"/>
      <c r="JJ237" s="30"/>
      <c r="JK237" s="22"/>
      <c r="JL237" s="22"/>
      <c r="JM237" s="21"/>
      <c r="JN237" s="36"/>
      <c r="JO237" s="21" t="str">
        <f t="shared" si="882"/>
        <v/>
      </c>
      <c r="JP237" s="22"/>
      <c r="JQ237" s="21"/>
      <c r="JR237" s="21"/>
      <c r="JS237" s="21"/>
      <c r="JT237" s="30"/>
      <c r="JU237" s="22"/>
      <c r="JV237" s="22"/>
      <c r="JW237" s="33"/>
      <c r="JX237" s="28" t="str">
        <f t="shared" si="883"/>
        <v/>
      </c>
      <c r="JY237" s="159"/>
      <c r="JZ237" s="28" t="str">
        <f t="shared" si="884"/>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5"/>
        <v>0</v>
      </c>
      <c r="MI237" s="43" t="str">
        <f t="shared" si="929"/>
        <v/>
      </c>
      <c r="MJ237" s="43" t="str">
        <f t="shared" si="887"/>
        <v/>
      </c>
      <c r="MK237" s="43">
        <f t="shared" si="888"/>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30"/>
        <v>5.4285714285714288</v>
      </c>
      <c r="MN237" s="43">
        <f t="shared" si="931"/>
        <v>8</v>
      </c>
      <c r="MO237" s="43">
        <f t="shared" si="932"/>
        <v>2023</v>
      </c>
      <c r="MP237" s="43" t="str">
        <f t="shared" si="892"/>
        <v>III TRIMESTRE AÑO</v>
      </c>
      <c r="MQ237" s="43">
        <f t="shared" si="933"/>
        <v>36.057271134472181</v>
      </c>
      <c r="MR237" s="43">
        <f t="shared" si="894"/>
        <v>2</v>
      </c>
      <c r="MS237" s="43" t="str">
        <f t="shared" si="895"/>
        <v xml:space="preserve"> DE 35 A 39 AÑOS</v>
      </c>
      <c r="MT237" s="43">
        <f t="shared" si="896"/>
        <v>0</v>
      </c>
      <c r="MU237" s="43">
        <f t="shared" si="897"/>
        <v>0</v>
      </c>
      <c r="MV237" s="43">
        <f t="shared" si="898"/>
        <v>0</v>
      </c>
      <c r="MW237" s="43">
        <f t="shared" si="899"/>
        <v>0</v>
      </c>
      <c r="MX237" s="43" t="str">
        <f t="shared" si="900"/>
        <v/>
      </c>
      <c r="MY237" s="43" t="str">
        <f t="shared" ca="1" si="901"/>
        <v/>
      </c>
      <c r="MZ237" s="43" t="str">
        <f t="shared" si="902"/>
        <v/>
      </c>
      <c r="NA237" s="43" t="str">
        <f t="shared" si="903"/>
        <v/>
      </c>
      <c r="NB237" s="43" t="str">
        <f t="shared" si="904"/>
        <v/>
      </c>
      <c r="NC237" s="43" t="str">
        <f t="shared" si="905"/>
        <v/>
      </c>
      <c r="ND237" s="43">
        <f t="shared" ca="1" si="934"/>
        <v>2</v>
      </c>
      <c r="NE237" s="43">
        <f>IF(OR(O237&gt;0,R237&gt;0),SUM(COUNTIF(Tabla1[[#This Row],[AÑOS AL INICIO5 CPN]],"&gt;=40"),COUNTIF(AS237,"0"),COUNTIF(AR237,"SI"),COUNTIF(CC237,"SI"),COUNTIF(BQ237,"&gt;119"),COUNTIF(CI237,"&gt;=35")),"")</f>
        <v>0</v>
      </c>
      <c r="NF237" s="43" t="str">
        <f t="shared" si="935"/>
        <v/>
      </c>
      <c r="NG237" s="43">
        <f t="shared" si="908"/>
        <v>0</v>
      </c>
      <c r="NH237" s="43" t="str">
        <f t="shared" si="909"/>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6"/>
        <v>X</v>
      </c>
      <c r="NM237" s="43" t="str">
        <f t="shared" si="941"/>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12"/>
        <v>DEFINIR CON ECO</v>
      </c>
      <c r="NQ237" s="21" t="str">
        <f t="shared" si="1046"/>
        <v/>
      </c>
      <c r="NR237" s="21">
        <f t="shared" ca="1" si="937"/>
        <v>2</v>
      </c>
      <c r="NS237" s="205">
        <f t="shared" ca="1" si="914"/>
        <v>1</v>
      </c>
      <c r="NT237" s="21">
        <f t="shared" ca="1" si="915"/>
        <v>1</v>
      </c>
      <c r="NU237" s="21" t="str">
        <f t="shared" ca="1" si="916"/>
        <v>INCOMPLETO</v>
      </c>
      <c r="NV237" s="21" t="str">
        <f t="shared" ca="1" si="917"/>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8"/>
        <v>SIN VACUNAR</v>
      </c>
      <c r="NY237" s="43">
        <f>ROW(Tabla1[[#This Row],['# DE TAMIZAJES SIFILIS TOMADOS ]])</f>
        <v>237</v>
      </c>
      <c r="NZ237" s="43" t="str">
        <f t="shared" si="942"/>
        <v>Menor</v>
      </c>
      <c r="OA237" s="43" t="str">
        <f t="shared" si="943"/>
        <v>NORMAL</v>
      </c>
      <c r="OB237" s="43" t="str">
        <f t="shared" si="944"/>
        <v/>
      </c>
      <c r="OC237" s="43" t="str">
        <f t="shared" si="945"/>
        <v/>
      </c>
      <c r="OD237" s="43" t="str">
        <f t="shared" si="946"/>
        <v/>
      </c>
      <c r="OE237" s="43" t="str">
        <f t="shared" si="947"/>
        <v/>
      </c>
      <c r="OF237" s="43" t="str">
        <f t="shared" si="948"/>
        <v/>
      </c>
      <c r="OG237" s="43" t="str">
        <f t="shared" si="949"/>
        <v/>
      </c>
      <c r="OH237" s="43" t="str">
        <f t="shared" si="950"/>
        <v/>
      </c>
      <c r="OI237" s="43" t="str">
        <f t="shared" si="951"/>
        <v/>
      </c>
      <c r="OJ237" s="43" t="str">
        <f t="shared" si="952"/>
        <v/>
      </c>
      <c r="OK237" s="43" t="str">
        <f t="shared" si="953"/>
        <v/>
      </c>
      <c r="OL237" s="43" t="str">
        <f t="shared" si="954"/>
        <v/>
      </c>
      <c r="OM237" s="43" t="str">
        <f t="shared" si="955"/>
        <v/>
      </c>
      <c r="ON237" s="43" t="str">
        <f t="shared" si="956"/>
        <v/>
      </c>
      <c r="OO237" s="43" t="str">
        <f t="shared" si="957"/>
        <v/>
      </c>
      <c r="OP237" s="43" t="str">
        <f t="shared" si="958"/>
        <v/>
      </c>
      <c r="OQ237" s="43" t="str">
        <f t="shared" si="959"/>
        <v/>
      </c>
      <c r="OR237" s="43" t="str">
        <f t="shared" si="960"/>
        <v/>
      </c>
      <c r="OS237" s="43" t="str">
        <f t="shared" si="961"/>
        <v/>
      </c>
      <c r="OT237" s="43" t="str">
        <f t="shared" si="962"/>
        <v/>
      </c>
      <c r="OU237" s="43" t="str">
        <f t="shared" si="963"/>
        <v/>
      </c>
      <c r="OV237" s="110" t="str">
        <f t="shared" si="964"/>
        <v/>
      </c>
      <c r="OW237" s="43" t="str">
        <f t="shared" si="965"/>
        <v/>
      </c>
      <c r="OX237" s="43" t="str">
        <f t="shared" si="966"/>
        <v/>
      </c>
      <c r="OY237" s="43" t="str">
        <f t="shared" si="967"/>
        <v/>
      </c>
      <c r="OZ237" s="43" t="str">
        <f t="shared" si="968"/>
        <v/>
      </c>
      <c r="PA237" s="43" t="str">
        <f t="shared" si="969"/>
        <v/>
      </c>
      <c r="PB237" s="43" t="str">
        <f t="shared" si="970"/>
        <v/>
      </c>
      <c r="PC237" s="43" t="str">
        <f t="shared" si="971"/>
        <v/>
      </c>
      <c r="PD237" s="43" t="str">
        <f t="shared" si="972"/>
        <v/>
      </c>
      <c r="PE237" s="43" t="str">
        <f t="shared" si="973"/>
        <v/>
      </c>
      <c r="PF237" s="43" t="str">
        <f t="shared" si="974"/>
        <v/>
      </c>
      <c r="PG237" s="43" t="str">
        <f t="shared" si="975"/>
        <v/>
      </c>
      <c r="PH237" s="43" t="str">
        <f t="shared" si="976"/>
        <v/>
      </c>
      <c r="PI237" s="43">
        <f t="shared" si="977"/>
        <v>10</v>
      </c>
      <c r="PJ237" s="43" t="str">
        <f t="shared" si="978"/>
        <v/>
      </c>
      <c r="PK237" s="43" t="str">
        <f t="shared" si="979"/>
        <v>NORMAL</v>
      </c>
      <c r="PL237" s="43" t="str">
        <f t="shared" si="980"/>
        <v/>
      </c>
      <c r="PM237" s="43" t="str">
        <f t="shared" si="981"/>
        <v/>
      </c>
      <c r="PN237" s="43" t="str">
        <f t="shared" si="982"/>
        <v/>
      </c>
      <c r="PO237" s="43" t="str">
        <f t="shared" si="983"/>
        <v/>
      </c>
      <c r="PP237" s="43" t="str">
        <f t="shared" si="984"/>
        <v/>
      </c>
      <c r="PQ237" s="43" t="str">
        <f t="shared" si="985"/>
        <v/>
      </c>
      <c r="PR237" s="43" t="str">
        <f t="shared" si="986"/>
        <v/>
      </c>
      <c r="PS237" s="43" t="str">
        <f t="shared" si="987"/>
        <v/>
      </c>
      <c r="PT237" s="43" t="str">
        <f t="shared" si="988"/>
        <v/>
      </c>
      <c r="PU237" s="43" t="str">
        <f t="shared" si="989"/>
        <v/>
      </c>
      <c r="PV237" s="43" t="str">
        <f t="shared" si="990"/>
        <v/>
      </c>
      <c r="PW237" s="43" t="str">
        <f t="shared" si="991"/>
        <v/>
      </c>
      <c r="PX237" s="43" t="str">
        <f t="shared" si="992"/>
        <v/>
      </c>
      <c r="PY237" s="43" t="str">
        <f t="shared" si="993"/>
        <v/>
      </c>
      <c r="PZ237" s="43" t="str">
        <f t="shared" si="994"/>
        <v/>
      </c>
      <c r="QA237" s="43" t="str">
        <f t="shared" si="995"/>
        <v/>
      </c>
      <c r="QB237" s="43" t="str">
        <f t="shared" si="996"/>
        <v/>
      </c>
      <c r="QC237" s="43" t="str">
        <f t="shared" si="997"/>
        <v/>
      </c>
      <c r="QD237" s="43" t="str">
        <f t="shared" si="998"/>
        <v/>
      </c>
      <c r="QE237" s="43" t="str">
        <f t="shared" si="999"/>
        <v/>
      </c>
      <c r="QF237" s="43" t="str">
        <f t="shared" si="1000"/>
        <v/>
      </c>
      <c r="QG237" s="43" t="str">
        <f t="shared" si="1001"/>
        <v/>
      </c>
      <c r="QH237" s="43" t="str">
        <f t="shared" si="1002"/>
        <v/>
      </c>
      <c r="QI237" s="43" t="str">
        <f t="shared" si="1003"/>
        <v/>
      </c>
      <c r="QJ237" s="43" t="str">
        <f t="shared" si="1004"/>
        <v/>
      </c>
      <c r="QK237" s="43" t="str">
        <f t="shared" si="1005"/>
        <v/>
      </c>
      <c r="QL237" s="43" t="str">
        <f t="shared" si="1006"/>
        <v/>
      </c>
      <c r="QM237" s="43" t="str">
        <f t="shared" si="1007"/>
        <v/>
      </c>
      <c r="QN237" s="43" t="str">
        <f t="shared" si="1008"/>
        <v/>
      </c>
      <c r="QO237" s="43" t="str">
        <f t="shared" si="1009"/>
        <v/>
      </c>
      <c r="QP237" s="43" t="str">
        <f t="shared" si="1010"/>
        <v/>
      </c>
      <c r="QQ237" s="43" t="str">
        <f t="shared" si="1011"/>
        <v/>
      </c>
      <c r="QR237" s="43" t="str">
        <f t="shared" si="1012"/>
        <v>Menor</v>
      </c>
      <c r="QS237" s="43"/>
      <c r="QT237" s="21" t="str">
        <f t="shared" si="1013"/>
        <v/>
      </c>
      <c r="QU237" s="21" t="str">
        <f t="shared" si="1014"/>
        <v/>
      </c>
      <c r="QV237" s="21" t="str">
        <f t="shared" si="1015"/>
        <v/>
      </c>
      <c r="QW237" s="21" t="str">
        <f t="shared" si="1016"/>
        <v/>
      </c>
      <c r="QX237" s="21" t="str">
        <f t="shared" si="1017"/>
        <v/>
      </c>
      <c r="QY237" s="21" t="str">
        <f t="shared" si="1018"/>
        <v/>
      </c>
      <c r="QZ237" s="21" t="str">
        <f t="shared" si="1019"/>
        <v/>
      </c>
      <c r="RA237" s="21" t="str">
        <f t="shared" si="1020"/>
        <v/>
      </c>
      <c r="RB237" s="21" t="str">
        <f t="shared" si="1021"/>
        <v/>
      </c>
      <c r="RC237" s="21" t="str">
        <f t="shared" si="1022"/>
        <v/>
      </c>
      <c r="RD237" s="21" t="str">
        <f t="shared" si="1023"/>
        <v/>
      </c>
      <c r="RE237" s="21" t="str">
        <f t="shared" si="1024"/>
        <v/>
      </c>
      <c r="RF237" s="21" t="str">
        <f t="shared" si="1025"/>
        <v/>
      </c>
      <c r="RG237" s="21" t="str">
        <f t="shared" si="1026"/>
        <v/>
      </c>
      <c r="RH237" s="21" t="str">
        <f t="shared" si="1027"/>
        <v/>
      </c>
      <c r="RI237" s="21" t="str">
        <f t="shared" si="1028"/>
        <v/>
      </c>
      <c r="RJ237" s="21" t="str">
        <f t="shared" si="1029"/>
        <v/>
      </c>
      <c r="RK237" s="21" t="str">
        <f t="shared" si="1030"/>
        <v/>
      </c>
      <c r="RL237" s="21" t="str">
        <f t="shared" si="1031"/>
        <v/>
      </c>
      <c r="RM237" s="21" t="str">
        <f t="shared" si="1032"/>
        <v/>
      </c>
      <c r="RN237" s="21" t="str">
        <f t="shared" si="1033"/>
        <v/>
      </c>
      <c r="RO237" s="21" t="str">
        <f t="shared" si="1034"/>
        <v/>
      </c>
      <c r="RP237" s="21" t="str">
        <f t="shared" si="1035"/>
        <v/>
      </c>
      <c r="RQ237" s="21" t="str">
        <f t="shared" si="1036"/>
        <v/>
      </c>
      <c r="RR237" s="21" t="str">
        <f t="shared" si="1037"/>
        <v/>
      </c>
      <c r="RS237" s="21" t="str">
        <f t="shared" si="1038"/>
        <v/>
      </c>
      <c r="RT237" s="21" t="str">
        <f t="shared" si="1039"/>
        <v/>
      </c>
      <c r="RU237" s="21" t="str">
        <f t="shared" si="1040"/>
        <v/>
      </c>
      <c r="RV237" s="21">
        <f t="shared" si="1041"/>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42"/>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41"/>
        <v>20.898630136986302</v>
      </c>
      <c r="O238" s="22">
        <v>45139</v>
      </c>
      <c r="P238" s="214" t="str">
        <f t="shared" si="919"/>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2"/>
        <v>0</v>
      </c>
      <c r="BR238" s="223" t="str">
        <f t="shared" si="843"/>
        <v/>
      </c>
      <c r="BS238" s="224">
        <f t="shared" si="844"/>
        <v>14.714285714285714</v>
      </c>
      <c r="BT238" s="216" t="str">
        <f t="shared" si="845"/>
        <v>II TRIM</v>
      </c>
      <c r="BU238" s="214">
        <f t="shared" ca="1" si="928"/>
        <v>28</v>
      </c>
      <c r="BV238" s="25"/>
      <c r="BW238" s="22"/>
      <c r="BX238" s="28"/>
      <c r="BY238" s="28"/>
      <c r="BZ238" s="22"/>
      <c r="CA238" s="21"/>
      <c r="CB238" s="26"/>
      <c r="CC238" s="26"/>
      <c r="CD238" s="26"/>
      <c r="CE238" s="26"/>
      <c r="CF238" s="22" t="s">
        <v>1517</v>
      </c>
      <c r="CG238" s="21">
        <v>1.44</v>
      </c>
      <c r="CH238" s="21">
        <v>48</v>
      </c>
      <c r="CI238" s="214">
        <f t="shared" si="847"/>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8"/>
        <v>45139</v>
      </c>
      <c r="CL238" s="21">
        <v>48</v>
      </c>
      <c r="CM238" s="214">
        <f t="shared" si="849"/>
        <v>23.148148148148149</v>
      </c>
      <c r="CN238" s="216">
        <f t="shared" si="850"/>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5"/>
        <v/>
      </c>
      <c r="DA238" s="21">
        <v>100</v>
      </c>
      <c r="DB238" s="21">
        <v>60</v>
      </c>
      <c r="DC238" s="217" t="str">
        <f t="shared" si="851"/>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20"/>
        <v>PLANEAR PLAN DE PARTO</v>
      </c>
      <c r="DV238" s="226" t="str">
        <f t="shared" si="921"/>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2"/>
        <v>#REF!</v>
      </c>
      <c r="DY238" s="212">
        <f>IF(R238="","",IF(R238&gt;0,MAX(Tabla1[[#This Row],[FECHA C2]:[FECHA C13]],Tabla1[[#This Row],[FECHA CONSULTA PRIMERA VEZ PROGRAMA CPN ]])))</f>
        <v>45139</v>
      </c>
      <c r="DZ238" s="216">
        <f t="shared" si="853"/>
        <v>14</v>
      </c>
      <c r="EA238" s="222">
        <f>IF(R238&gt;0,SUM(COUNTA(DF238:DQ238)+COUNTA(Tabla1[[#This Row],[FECHA CONSULTA PRIMERA VEZ PROGRAMA CPN ]])),"")</f>
        <v>1</v>
      </c>
      <c r="EB238" s="222" t="str">
        <f t="shared" si="854"/>
        <v>NO</v>
      </c>
      <c r="EC238" s="214">
        <f t="shared" si="855"/>
        <v>8</v>
      </c>
      <c r="ED238" s="227">
        <f t="shared" si="856"/>
        <v>0.125</v>
      </c>
      <c r="EE238" s="22">
        <v>45139</v>
      </c>
      <c r="EF238" s="22"/>
      <c r="EG238" s="22">
        <v>45139</v>
      </c>
      <c r="EH238" s="22"/>
      <c r="EI238" s="22">
        <v>45139</v>
      </c>
      <c r="EJ238" s="22"/>
      <c r="EK238" s="22"/>
      <c r="EL238" s="21"/>
      <c r="EM238" s="21">
        <v>12.5</v>
      </c>
      <c r="EN238" s="22">
        <v>45143</v>
      </c>
      <c r="EO238" s="222">
        <f t="shared" si="857"/>
        <v>15.285714285714286</v>
      </c>
      <c r="EP238" s="214" t="str">
        <f t="shared" si="858"/>
        <v>NORMAL- SUMINISTRAR SULFATO FERROSO</v>
      </c>
      <c r="EQ238" s="216" t="str">
        <f t="shared" si="859"/>
        <v>II TRIM</v>
      </c>
      <c r="ER238" s="24"/>
      <c r="ES238" s="22"/>
      <c r="ET238" s="29" t="str">
        <f t="shared" ca="1" si="922"/>
        <v>EN SEMANA 28 TOMA INMEDIATA DE EXAMEN</v>
      </c>
      <c r="EU238" s="25" t="str">
        <f t="shared" si="860"/>
        <v/>
      </c>
      <c r="EV238" s="24" t="s">
        <v>1510</v>
      </c>
      <c r="EW238" s="32">
        <v>45143</v>
      </c>
      <c r="EX238" s="22"/>
      <c r="EY238" s="29">
        <f t="shared" si="1043"/>
        <v>15.285714285714286</v>
      </c>
      <c r="EZ238" s="25" t="str">
        <f t="shared" si="1044"/>
        <v>SIN RIESGO DE ISOINMUNIZACIÓN</v>
      </c>
      <c r="FA238" s="21">
        <v>82</v>
      </c>
      <c r="FB238" s="32">
        <v>45143</v>
      </c>
      <c r="FC238" s="29">
        <f t="shared" si="861"/>
        <v>15.285714285714286</v>
      </c>
      <c r="FD238" s="29"/>
      <c r="FE238" s="29"/>
      <c r="FF238" s="29"/>
      <c r="FG238" s="21" t="str">
        <f t="shared" ca="1" si="862"/>
        <v>TOMAR PTOG</v>
      </c>
      <c r="FH238" s="31"/>
      <c r="FI238" s="29" t="str">
        <f t="shared" si="863"/>
        <v>TOMAR EXAMEN</v>
      </c>
      <c r="FJ238" s="22"/>
      <c r="FK238" s="32"/>
      <c r="FL238" s="29" t="str">
        <f t="shared" ca="1" si="864"/>
        <v>NO APLICA-INGRESO TARDIO</v>
      </c>
      <c r="FM238" s="22" t="s">
        <v>867</v>
      </c>
      <c r="FN238" s="32">
        <v>45143</v>
      </c>
      <c r="FO238" s="29">
        <f t="shared" ca="1" si="923"/>
        <v>15.285714285714286</v>
      </c>
      <c r="FP238" s="22"/>
      <c r="FQ238" s="32"/>
      <c r="FR238" s="29" t="str">
        <f t="shared" ca="1" si="924"/>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5"/>
        <v>TOMAR EXAMEN</v>
      </c>
      <c r="FY238" s="22"/>
      <c r="FZ238" s="22"/>
      <c r="GA238" s="29" t="str">
        <f t="shared" ca="1" si="939"/>
        <v>NO APLICA-INGRESO TARDIO</v>
      </c>
      <c r="GB238" s="22" t="s">
        <v>868</v>
      </c>
      <c r="GC238" s="22">
        <v>45143</v>
      </c>
      <c r="GD238" s="29">
        <f t="shared" ca="1" si="1048"/>
        <v>15.285714285714286</v>
      </c>
      <c r="GE238" s="22"/>
      <c r="GF238" s="22"/>
      <c r="GG238" s="29" t="str">
        <f t="shared" ca="1" si="926"/>
        <v>EN RANGO PARA TOMAR EXAMEN</v>
      </c>
      <c r="GH238" s="22"/>
      <c r="GI238" s="29"/>
      <c r="GJ238" s="22"/>
      <c r="GK238" s="22"/>
      <c r="GL238" s="22"/>
      <c r="GM238" s="22"/>
      <c r="GN238" s="28" t="s">
        <v>869</v>
      </c>
      <c r="GO238" s="22">
        <v>45143</v>
      </c>
      <c r="GP238" s="29">
        <f t="shared" si="866"/>
        <v>15.285714285714286</v>
      </c>
      <c r="GQ238" s="28" t="s">
        <v>880</v>
      </c>
      <c r="GR238" s="28" t="s">
        <v>869</v>
      </c>
      <c r="GS238" s="22" t="str">
        <f t="shared" si="1047"/>
        <v>SE EXCLUYE INFECCION</v>
      </c>
      <c r="GT238" s="22">
        <v>45143</v>
      </c>
      <c r="GU238" s="29">
        <f t="shared" si="867"/>
        <v>15.285714285714286</v>
      </c>
      <c r="GV238" s="21" t="str">
        <f t="shared" si="868"/>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9"/>
        <v>#REF!</v>
      </c>
      <c r="HI238" s="22" t="e">
        <f t="shared" ca="1" si="870"/>
        <v>#REF!</v>
      </c>
      <c r="HJ238" s="21" t="str">
        <f t="shared" ca="1" si="871"/>
        <v>**********************MULTIPARIDAD*****************</v>
      </c>
      <c r="HK238" s="21" t="str">
        <f t="shared" si="872"/>
        <v>SIN ANTECEDENTES DE RIESGO</v>
      </c>
      <c r="HL238" s="24" t="str">
        <f t="shared" si="873"/>
        <v>APARENTEMENTE NORMAL</v>
      </c>
      <c r="HM238" s="21" t="e">
        <f t="shared" ca="1" si="874"/>
        <v>#REF!</v>
      </c>
      <c r="HN238" s="30" t="str">
        <f t="shared" si="927"/>
        <v>ACTIVA INGRESO A CPN</v>
      </c>
      <c r="HO238" s="21"/>
      <c r="HP238" s="21"/>
      <c r="HQ238" s="349"/>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5"/>
        <v>PENDIENTE CONSULTA</v>
      </c>
      <c r="IA238" s="26"/>
      <c r="IB238" s="26"/>
      <c r="IC238" s="111"/>
      <c r="ID238" s="22"/>
      <c r="IE238" s="22" t="str">
        <f t="shared" ca="1" si="876"/>
        <v>INASISTENTE</v>
      </c>
      <c r="IF238" s="22"/>
      <c r="IG238" s="22">
        <f t="shared" si="877"/>
        <v>45316</v>
      </c>
      <c r="IH238" s="29">
        <f t="shared" ca="1" si="878"/>
        <v>84</v>
      </c>
      <c r="II238" s="22" t="str">
        <f t="shared" ca="1" si="879"/>
        <v>PENDIENTE</v>
      </c>
      <c r="IJ238" s="22"/>
      <c r="IK238" s="21"/>
      <c r="IL238" s="21"/>
      <c r="IM238" s="34"/>
      <c r="IN238" s="22"/>
      <c r="IO238" s="21"/>
      <c r="IP238" s="29" t="str">
        <f t="shared" si="880"/>
        <v/>
      </c>
      <c r="IQ238" s="35"/>
      <c r="IR238" s="21"/>
      <c r="IS238" s="21"/>
      <c r="IT238" s="21"/>
      <c r="IU238" s="21"/>
      <c r="IV238" s="21"/>
      <c r="IW238" s="21"/>
      <c r="IX238" s="21"/>
      <c r="IY238" s="21"/>
      <c r="IZ238" s="21"/>
      <c r="JA238" s="21"/>
      <c r="JB238" s="30"/>
      <c r="JC238" s="21"/>
      <c r="JD238" s="36"/>
      <c r="JE238" s="21" t="str">
        <f t="shared" si="881"/>
        <v/>
      </c>
      <c r="JF238" s="30"/>
      <c r="JG238" s="21"/>
      <c r="JH238" s="21"/>
      <c r="JI238" s="21"/>
      <c r="JJ238" s="30"/>
      <c r="JK238" s="22"/>
      <c r="JL238" s="22"/>
      <c r="JM238" s="21"/>
      <c r="JN238" s="36"/>
      <c r="JO238" s="21" t="str">
        <f t="shared" si="882"/>
        <v/>
      </c>
      <c r="JP238" s="22"/>
      <c r="JQ238" s="21"/>
      <c r="JR238" s="21"/>
      <c r="JS238" s="21"/>
      <c r="JT238" s="30"/>
      <c r="JU238" s="22"/>
      <c r="JV238" s="22"/>
      <c r="JW238" s="33"/>
      <c r="JX238" s="28" t="str">
        <f t="shared" si="883"/>
        <v/>
      </c>
      <c r="JY238" s="33"/>
      <c r="JZ238" s="28" t="str">
        <f t="shared" si="884"/>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5"/>
        <v>0</v>
      </c>
      <c r="MI238" s="43" t="str">
        <f t="shared" si="929"/>
        <v/>
      </c>
      <c r="MJ238" s="43" t="str">
        <f t="shared" si="887"/>
        <v/>
      </c>
      <c r="MK238" s="43">
        <f t="shared" si="888"/>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30"/>
        <v>14.714285714285714</v>
      </c>
      <c r="MN238" s="43">
        <f t="shared" si="931"/>
        <v>8</v>
      </c>
      <c r="MO238" s="43">
        <f t="shared" si="932"/>
        <v>2023</v>
      </c>
      <c r="MP238" s="43" t="str">
        <f t="shared" si="892"/>
        <v>III TRIMESTRE AÑO</v>
      </c>
      <c r="MQ238" s="43">
        <f t="shared" si="933"/>
        <v>20.332347787998248</v>
      </c>
      <c r="MR238" s="43">
        <f t="shared" si="894"/>
        <v>0</v>
      </c>
      <c r="MS238" s="43" t="str">
        <f t="shared" si="895"/>
        <v xml:space="preserve"> DE 20 A 24 AÑOS</v>
      </c>
      <c r="MT238" s="43">
        <f t="shared" si="896"/>
        <v>0</v>
      </c>
      <c r="MU238" s="43">
        <f t="shared" si="897"/>
        <v>1</v>
      </c>
      <c r="MV238" s="43">
        <f t="shared" si="898"/>
        <v>0</v>
      </c>
      <c r="MW238" s="43">
        <f t="shared" si="899"/>
        <v>0</v>
      </c>
      <c r="MX238" s="43" t="str">
        <f t="shared" si="900"/>
        <v/>
      </c>
      <c r="MY238" s="43" t="str">
        <f t="shared" ca="1" si="901"/>
        <v/>
      </c>
      <c r="MZ238" s="43" t="str">
        <f t="shared" si="902"/>
        <v/>
      </c>
      <c r="NA238" s="43" t="str">
        <f t="shared" si="903"/>
        <v/>
      </c>
      <c r="NB238" s="43" t="str">
        <f t="shared" si="904"/>
        <v/>
      </c>
      <c r="NC238" s="43" t="str">
        <f t="shared" si="905"/>
        <v/>
      </c>
      <c r="ND238" s="43">
        <f t="shared" ca="1" si="934"/>
        <v>1</v>
      </c>
      <c r="NE238" s="43">
        <f>IF(OR(O238&gt;0,R238&gt;0),SUM(COUNTIF(Tabla1[[#This Row],[AÑOS AL INICIO5 CPN]],"&gt;=40"),COUNTIF(AS238,"0"),COUNTIF(AR238,"SI"),COUNTIF(CC238,"SI"),COUNTIF(BQ238,"&gt;119"),COUNTIF(CI238,"&gt;=35")),"")</f>
        <v>1</v>
      </c>
      <c r="NF238" s="43" t="str">
        <f t="shared" si="935"/>
        <v/>
      </c>
      <c r="NG238" s="43">
        <f t="shared" si="908"/>
        <v>0</v>
      </c>
      <c r="NH238" s="43" t="str">
        <f t="shared" si="909"/>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6"/>
        <v>X</v>
      </c>
      <c r="NM238" s="43" t="str">
        <f t="shared" si="941"/>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12"/>
        <v>II TRIM</v>
      </c>
      <c r="NQ238" s="21" t="str">
        <f t="shared" si="1046"/>
        <v/>
      </c>
      <c r="NR238" s="21">
        <f t="shared" ca="1" si="937"/>
        <v>2</v>
      </c>
      <c r="NS238" s="205">
        <f t="shared" ca="1" si="914"/>
        <v>1</v>
      </c>
      <c r="NT238" s="21">
        <f t="shared" ca="1" si="915"/>
        <v>1</v>
      </c>
      <c r="NU238" s="21" t="str">
        <f t="shared" ca="1" si="916"/>
        <v>INCOMPLETO</v>
      </c>
      <c r="NV238" s="21" t="str">
        <f t="shared" ca="1" si="917"/>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8"/>
        <v>SIN VACUNAR</v>
      </c>
      <c r="NY238" s="43">
        <f>ROW(Tabla1[[#This Row],['# DE TAMIZAJES SIFILIS TOMADOS ]])</f>
        <v>238</v>
      </c>
      <c r="NZ238" s="43">
        <f t="shared" si="942"/>
        <v>14</v>
      </c>
      <c r="OA238" s="43" t="str">
        <f t="shared" si="943"/>
        <v/>
      </c>
      <c r="OB238" s="43" t="str">
        <f t="shared" si="944"/>
        <v/>
      </c>
      <c r="OC238" s="43" t="str">
        <f t="shared" si="945"/>
        <v/>
      </c>
      <c r="OD238" s="43" t="str">
        <f t="shared" si="946"/>
        <v/>
      </c>
      <c r="OE238" s="43" t="str">
        <f t="shared" si="947"/>
        <v/>
      </c>
      <c r="OF238" s="43" t="str">
        <f t="shared" si="948"/>
        <v>NORMAL</v>
      </c>
      <c r="OG238" s="43" t="str">
        <f t="shared" si="949"/>
        <v/>
      </c>
      <c r="OH238" s="43" t="str">
        <f t="shared" si="950"/>
        <v/>
      </c>
      <c r="OI238" s="43" t="str">
        <f t="shared" si="951"/>
        <v/>
      </c>
      <c r="OJ238" s="43" t="str">
        <f t="shared" si="952"/>
        <v/>
      </c>
      <c r="OK238" s="43" t="str">
        <f t="shared" si="953"/>
        <v/>
      </c>
      <c r="OL238" s="43" t="str">
        <f t="shared" si="954"/>
        <v/>
      </c>
      <c r="OM238" s="43" t="str">
        <f t="shared" si="955"/>
        <v/>
      </c>
      <c r="ON238" s="43" t="str">
        <f t="shared" si="956"/>
        <v/>
      </c>
      <c r="OO238" s="43" t="str">
        <f t="shared" si="957"/>
        <v/>
      </c>
      <c r="OP238" s="43" t="str">
        <f t="shared" si="958"/>
        <v/>
      </c>
      <c r="OQ238" s="43" t="str">
        <f t="shared" si="959"/>
        <v/>
      </c>
      <c r="OR238" s="43" t="str">
        <f t="shared" si="960"/>
        <v/>
      </c>
      <c r="OS238" s="43" t="str">
        <f t="shared" si="961"/>
        <v/>
      </c>
      <c r="OT238" s="43" t="str">
        <f t="shared" si="962"/>
        <v/>
      </c>
      <c r="OU238" s="43" t="str">
        <f t="shared" si="963"/>
        <v/>
      </c>
      <c r="OV238" s="110" t="str">
        <f t="shared" si="964"/>
        <v/>
      </c>
      <c r="OW238" s="43" t="str">
        <f t="shared" si="965"/>
        <v/>
      </c>
      <c r="OX238" s="43" t="str">
        <f t="shared" si="966"/>
        <v/>
      </c>
      <c r="OY238" s="43" t="str">
        <f t="shared" si="967"/>
        <v/>
      </c>
      <c r="OZ238" s="43" t="str">
        <f t="shared" si="968"/>
        <v/>
      </c>
      <c r="PA238" s="43" t="str">
        <f t="shared" si="969"/>
        <v/>
      </c>
      <c r="PB238" s="43" t="str">
        <f t="shared" si="970"/>
        <v/>
      </c>
      <c r="PC238" s="43" t="str">
        <f t="shared" si="971"/>
        <v/>
      </c>
      <c r="PD238" s="43" t="str">
        <f t="shared" si="972"/>
        <v/>
      </c>
      <c r="PE238" s="43" t="str">
        <f t="shared" si="973"/>
        <v/>
      </c>
      <c r="PF238" s="43" t="str">
        <f t="shared" si="974"/>
        <v/>
      </c>
      <c r="PG238" s="43" t="str">
        <f t="shared" si="975"/>
        <v/>
      </c>
      <c r="PH238" s="43" t="str">
        <f t="shared" si="976"/>
        <v/>
      </c>
      <c r="PI238" s="43">
        <f t="shared" si="977"/>
        <v>14</v>
      </c>
      <c r="PJ238" s="43" t="str">
        <f t="shared" si="978"/>
        <v/>
      </c>
      <c r="PK238" s="43" t="str">
        <f t="shared" si="979"/>
        <v/>
      </c>
      <c r="PL238" s="43" t="str">
        <f t="shared" si="980"/>
        <v/>
      </c>
      <c r="PM238" s="43" t="str">
        <f t="shared" si="981"/>
        <v/>
      </c>
      <c r="PN238" s="43" t="str">
        <f t="shared" si="982"/>
        <v/>
      </c>
      <c r="PO238" s="43" t="str">
        <f t="shared" si="983"/>
        <v>NORMAL</v>
      </c>
      <c r="PP238" s="43" t="str">
        <f t="shared" si="984"/>
        <v/>
      </c>
      <c r="PQ238" s="43" t="str">
        <f t="shared" si="985"/>
        <v/>
      </c>
      <c r="PR238" s="43" t="str">
        <f t="shared" si="986"/>
        <v/>
      </c>
      <c r="PS238" s="43" t="str">
        <f t="shared" si="987"/>
        <v/>
      </c>
      <c r="PT238" s="43" t="str">
        <f t="shared" si="988"/>
        <v/>
      </c>
      <c r="PU238" s="43" t="str">
        <f t="shared" si="989"/>
        <v/>
      </c>
      <c r="PV238" s="43" t="str">
        <f t="shared" si="990"/>
        <v/>
      </c>
      <c r="PW238" s="43" t="str">
        <f t="shared" si="991"/>
        <v/>
      </c>
      <c r="PX238" s="43" t="str">
        <f t="shared" si="992"/>
        <v/>
      </c>
      <c r="PY238" s="43" t="str">
        <f t="shared" si="993"/>
        <v/>
      </c>
      <c r="PZ238" s="43" t="str">
        <f t="shared" si="994"/>
        <v/>
      </c>
      <c r="QA238" s="43" t="str">
        <f t="shared" si="995"/>
        <v/>
      </c>
      <c r="QB238" s="43" t="str">
        <f t="shared" si="996"/>
        <v/>
      </c>
      <c r="QC238" s="43" t="str">
        <f t="shared" si="997"/>
        <v/>
      </c>
      <c r="QD238" s="43" t="str">
        <f t="shared" si="998"/>
        <v/>
      </c>
      <c r="QE238" s="43" t="str">
        <f t="shared" si="999"/>
        <v/>
      </c>
      <c r="QF238" s="43" t="str">
        <f t="shared" si="1000"/>
        <v/>
      </c>
      <c r="QG238" s="43" t="str">
        <f t="shared" si="1001"/>
        <v/>
      </c>
      <c r="QH238" s="43" t="str">
        <f t="shared" si="1002"/>
        <v/>
      </c>
      <c r="QI238" s="43" t="str">
        <f t="shared" si="1003"/>
        <v/>
      </c>
      <c r="QJ238" s="43" t="str">
        <f t="shared" si="1004"/>
        <v/>
      </c>
      <c r="QK238" s="43" t="str">
        <f t="shared" si="1005"/>
        <v/>
      </c>
      <c r="QL238" s="43" t="str">
        <f t="shared" si="1006"/>
        <v/>
      </c>
      <c r="QM238" s="43" t="str">
        <f t="shared" si="1007"/>
        <v/>
      </c>
      <c r="QN238" s="43" t="str">
        <f t="shared" si="1008"/>
        <v/>
      </c>
      <c r="QO238" s="43" t="str">
        <f t="shared" si="1009"/>
        <v/>
      </c>
      <c r="QP238" s="43" t="str">
        <f t="shared" si="1010"/>
        <v/>
      </c>
      <c r="QQ238" s="43" t="str">
        <f t="shared" si="1011"/>
        <v/>
      </c>
      <c r="QR238" s="43">
        <f t="shared" si="1012"/>
        <v>14</v>
      </c>
      <c r="QS238" s="43"/>
      <c r="QT238" s="21" t="str">
        <f t="shared" si="1013"/>
        <v/>
      </c>
      <c r="QU238" s="21" t="str">
        <f t="shared" si="1014"/>
        <v>ADECUADO PARA EDAD GESTACIONAL</v>
      </c>
      <c r="QV238" s="21" t="str">
        <f t="shared" si="1015"/>
        <v/>
      </c>
      <c r="QW238" s="21" t="str">
        <f t="shared" si="1016"/>
        <v/>
      </c>
      <c r="QX238" s="21" t="str">
        <f t="shared" si="1017"/>
        <v/>
      </c>
      <c r="QY238" s="21" t="str">
        <f t="shared" si="1018"/>
        <v/>
      </c>
      <c r="QZ238" s="21" t="str">
        <f t="shared" si="1019"/>
        <v/>
      </c>
      <c r="RA238" s="21" t="str">
        <f t="shared" si="1020"/>
        <v/>
      </c>
      <c r="RB238" s="21" t="str">
        <f t="shared" si="1021"/>
        <v/>
      </c>
      <c r="RC238" s="21" t="str">
        <f t="shared" si="1022"/>
        <v/>
      </c>
      <c r="RD238" s="21" t="str">
        <f t="shared" si="1023"/>
        <v/>
      </c>
      <c r="RE238" s="21" t="str">
        <f t="shared" si="1024"/>
        <v/>
      </c>
      <c r="RF238" s="21" t="str">
        <f t="shared" si="1025"/>
        <v/>
      </c>
      <c r="RG238" s="21" t="str">
        <f t="shared" si="1026"/>
        <v/>
      </c>
      <c r="RH238" s="21" t="str">
        <f t="shared" si="1027"/>
        <v/>
      </c>
      <c r="RI238" s="21" t="str">
        <f t="shared" si="1028"/>
        <v/>
      </c>
      <c r="RJ238" s="21" t="str">
        <f t="shared" si="1029"/>
        <v/>
      </c>
      <c r="RK238" s="21" t="str">
        <f t="shared" si="1030"/>
        <v/>
      </c>
      <c r="RL238" s="21" t="str">
        <f t="shared" si="1031"/>
        <v/>
      </c>
      <c r="RM238" s="21" t="str">
        <f t="shared" si="1032"/>
        <v/>
      </c>
      <c r="RN238" s="21" t="str">
        <f t="shared" si="1033"/>
        <v/>
      </c>
      <c r="RO238" s="21" t="str">
        <f t="shared" si="1034"/>
        <v/>
      </c>
      <c r="RP238" s="21" t="str">
        <f t="shared" si="1035"/>
        <v/>
      </c>
      <c r="RQ238" s="21" t="str">
        <f t="shared" si="1036"/>
        <v/>
      </c>
      <c r="RR238" s="21" t="str">
        <f t="shared" si="1037"/>
        <v/>
      </c>
      <c r="RS238" s="21" t="str">
        <f t="shared" si="1038"/>
        <v/>
      </c>
      <c r="RT238" s="21" t="str">
        <f t="shared" si="1039"/>
        <v/>
      </c>
      <c r="RU238" s="21" t="str">
        <f t="shared" si="1040"/>
        <v/>
      </c>
      <c r="RV238" s="21">
        <f t="shared" si="1041"/>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42"/>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41"/>
        <v>20.394520547945206</v>
      </c>
      <c r="O239" s="22">
        <v>45140</v>
      </c>
      <c r="P239" s="214" t="str">
        <f t="shared" si="919"/>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2"/>
        <v>0</v>
      </c>
      <c r="BR239" s="223" t="str">
        <f t="shared" si="843"/>
        <v/>
      </c>
      <c r="BS239" s="224">
        <f t="shared" si="844"/>
        <v>12.571428571428571</v>
      </c>
      <c r="BT239" s="216" t="str">
        <f t="shared" si="845"/>
        <v>II TRIM</v>
      </c>
      <c r="BU239" s="214">
        <f t="shared" ca="1" si="928"/>
        <v>25.714285714285715</v>
      </c>
      <c r="BV239" s="25"/>
      <c r="BW239" s="22"/>
      <c r="BX239" s="28"/>
      <c r="BY239" s="28"/>
      <c r="BZ239" s="22"/>
      <c r="CA239" s="21"/>
      <c r="CB239" s="26"/>
      <c r="CC239" s="26"/>
      <c r="CD239" s="26"/>
      <c r="CE239" s="26"/>
      <c r="CF239" s="22" t="s">
        <v>1517</v>
      </c>
      <c r="CG239" s="21">
        <v>1.52</v>
      </c>
      <c r="CH239" s="21">
        <v>49</v>
      </c>
      <c r="CI239" s="214">
        <f t="shared" si="847"/>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8"/>
        <v>45140</v>
      </c>
      <c r="CL239" s="21">
        <v>49</v>
      </c>
      <c r="CM239" s="214">
        <f t="shared" si="849"/>
        <v>21.208448753462605</v>
      </c>
      <c r="CN239" s="216">
        <f t="shared" si="850"/>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5"/>
        <v/>
      </c>
      <c r="DA239" s="21">
        <v>90</v>
      </c>
      <c r="DB239" s="21">
        <v>60</v>
      </c>
      <c r="DC239" s="217" t="str">
        <f t="shared" si="851"/>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20"/>
        <v>EN ESPERA</v>
      </c>
      <c r="DV239" s="226" t="str">
        <f t="shared" si="921"/>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2"/>
        <v>#REF!</v>
      </c>
      <c r="DY239" s="212">
        <f>IF(R239="","",IF(R239&gt;0,MAX(Tabla1[[#This Row],[FECHA C2]:[FECHA C13]],Tabla1[[#This Row],[FECHA CONSULTA PRIMERA VEZ PROGRAMA CPN ]])))</f>
        <v>45140</v>
      </c>
      <c r="DZ239" s="216">
        <f t="shared" si="853"/>
        <v>12</v>
      </c>
      <c r="EA239" s="222">
        <f>IF(R239&gt;0,SUM(COUNTA(DF239:DQ239)+COUNTA(Tabla1[[#This Row],[FECHA CONSULTA PRIMERA VEZ PROGRAMA CPN ]])),"")</f>
        <v>1</v>
      </c>
      <c r="EB239" s="222" t="str">
        <f t="shared" si="854"/>
        <v>NO</v>
      </c>
      <c r="EC239" s="214">
        <f t="shared" si="855"/>
        <v>8</v>
      </c>
      <c r="ED239" s="227">
        <f t="shared" si="856"/>
        <v>0.125</v>
      </c>
      <c r="EE239" s="22">
        <v>45140</v>
      </c>
      <c r="EF239" s="22"/>
      <c r="EG239" s="22">
        <v>45140</v>
      </c>
      <c r="EH239" s="22"/>
      <c r="EI239" s="22">
        <v>45140</v>
      </c>
      <c r="EJ239" s="22"/>
      <c r="EK239" s="22"/>
      <c r="EL239" s="21"/>
      <c r="EM239" s="21"/>
      <c r="EN239" s="22"/>
      <c r="EO239" s="222" t="str">
        <f t="shared" si="857"/>
        <v>TOMAR EXAMEN</v>
      </c>
      <c r="EP239" s="214" t="str">
        <f t="shared" si="858"/>
        <v/>
      </c>
      <c r="EQ239" s="216" t="str">
        <f t="shared" si="859"/>
        <v>POR DEFINIR</v>
      </c>
      <c r="ER239" s="24"/>
      <c r="ES239" s="22"/>
      <c r="ET239" s="29" t="str">
        <f t="shared" ca="1" si="922"/>
        <v>PROGRAMAR TOMA HEMOGLOBINA A SEM 28</v>
      </c>
      <c r="EU239" s="25" t="str">
        <f t="shared" si="860"/>
        <v/>
      </c>
      <c r="EV239" s="24"/>
      <c r="EW239" s="24"/>
      <c r="EX239" s="22"/>
      <c r="EY239" s="29" t="str">
        <f t="shared" si="1043"/>
        <v>TOMAR EXAMEN</v>
      </c>
      <c r="EZ239" s="25" t="str">
        <f t="shared" ca="1" si="1044"/>
        <v/>
      </c>
      <c r="FA239" s="21"/>
      <c r="FB239" s="22"/>
      <c r="FC239" s="29" t="str">
        <f t="shared" si="861"/>
        <v>TOMAR EXAMEN</v>
      </c>
      <c r="FD239" s="29"/>
      <c r="FE239" s="29"/>
      <c r="FF239" s="29"/>
      <c r="FG239" s="21" t="str">
        <f t="shared" ca="1" si="862"/>
        <v>TOMAR PTOG</v>
      </c>
      <c r="FH239" s="31"/>
      <c r="FI239" s="29" t="str">
        <f t="shared" si="863"/>
        <v>TOMAR EXAMEN</v>
      </c>
      <c r="FJ239" s="22"/>
      <c r="FK239" s="22"/>
      <c r="FL239" s="29" t="str">
        <f t="shared" ca="1" si="864"/>
        <v>PIERDE TOMA DE TAMIZAJE</v>
      </c>
      <c r="FM239" s="22"/>
      <c r="FN239" s="32"/>
      <c r="FO239" s="29" t="str">
        <f t="shared" ca="1" si="923"/>
        <v>TOMA INMEDIATA DE TAMIZAJE</v>
      </c>
      <c r="FP239" s="22"/>
      <c r="FQ239" s="32"/>
      <c r="FR239" s="29" t="str">
        <f t="shared" ca="1" si="924"/>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5"/>
        <v>TOMAR EXAMEN</v>
      </c>
      <c r="FY239" s="22"/>
      <c r="FZ239" s="22"/>
      <c r="GA239" s="29" t="str">
        <f t="shared" ref="GA239" ca="1" si="1049">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8"/>
        <v>TOMA INMEDIATA DE TAMIZAJE</v>
      </c>
      <c r="GE239" s="22"/>
      <c r="GF239" s="22"/>
      <c r="GG239" s="29" t="str">
        <f t="shared" ca="1" si="926"/>
        <v>EN ESPERA-ESTÁ I TRIM O II TRIM</v>
      </c>
      <c r="GH239" s="22"/>
      <c r="GI239" s="29"/>
      <c r="GJ239" s="22"/>
      <c r="GK239" s="22"/>
      <c r="GL239" s="22"/>
      <c r="GM239" s="22"/>
      <c r="GN239" s="28"/>
      <c r="GO239" s="22"/>
      <c r="GP239" s="29" t="str">
        <f t="shared" si="866"/>
        <v>TOMAR EXAMEN</v>
      </c>
      <c r="GQ239" s="28"/>
      <c r="GR239" s="28"/>
      <c r="GS239" s="22" t="str">
        <f t="shared" si="1047"/>
        <v/>
      </c>
      <c r="GT239" s="22"/>
      <c r="GU239" s="29" t="str">
        <f t="shared" si="867"/>
        <v>TOMAR EXAMEN</v>
      </c>
      <c r="GV239" s="21" t="str">
        <f t="shared" si="868"/>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9"/>
        <v>#REF!</v>
      </c>
      <c r="HI239" s="22" t="e">
        <f t="shared" ca="1" si="870"/>
        <v>#REF!</v>
      </c>
      <c r="HJ239" s="21" t="str">
        <f t="shared" ca="1" si="871"/>
        <v>***************************************</v>
      </c>
      <c r="HK239" s="21" t="str">
        <f t="shared" si="872"/>
        <v>SIN ANTECEDENTES DE RIESGO</v>
      </c>
      <c r="HL239" s="24" t="str">
        <f t="shared" si="873"/>
        <v>APARENTEMENTE NORMAL</v>
      </c>
      <c r="HM239" s="21" t="e">
        <f t="shared" ca="1" si="874"/>
        <v>#REF!</v>
      </c>
      <c r="HN239" s="30" t="str">
        <f t="shared" si="927"/>
        <v>ACTIVA INGRESO A CPN</v>
      </c>
      <c r="HO239" s="21"/>
      <c r="HP239" s="21"/>
      <c r="HQ239" s="349"/>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5"/>
        <v>PENDIENTE CONSULTA</v>
      </c>
      <c r="IA239" s="26"/>
      <c r="IB239" s="26"/>
      <c r="IC239" s="111"/>
      <c r="ID239" s="22"/>
      <c r="IE239" s="22" t="str">
        <f t="shared" ca="1" si="876"/>
        <v>PROGRAMAR APLICACION DE VACUNA</v>
      </c>
      <c r="IF239" s="22"/>
      <c r="IG239" s="22">
        <f t="shared" si="877"/>
        <v>45332</v>
      </c>
      <c r="IH239" s="29">
        <f t="shared" ca="1" si="878"/>
        <v>100</v>
      </c>
      <c r="II239" s="22" t="str">
        <f t="shared" ca="1" si="879"/>
        <v>PENDIENTE</v>
      </c>
      <c r="IJ239" s="22"/>
      <c r="IK239" s="21"/>
      <c r="IL239" s="21"/>
      <c r="IM239" s="34"/>
      <c r="IN239" s="22"/>
      <c r="IO239" s="21"/>
      <c r="IP239" s="29" t="str">
        <f t="shared" si="880"/>
        <v/>
      </c>
      <c r="IQ239" s="35"/>
      <c r="IR239" s="21"/>
      <c r="IS239" s="21"/>
      <c r="IT239" s="21"/>
      <c r="IU239" s="21"/>
      <c r="IV239" s="21"/>
      <c r="IW239" s="21"/>
      <c r="IX239" s="21"/>
      <c r="IY239" s="21"/>
      <c r="IZ239" s="21"/>
      <c r="JA239" s="21"/>
      <c r="JB239" s="30"/>
      <c r="JC239" s="21"/>
      <c r="JD239" s="36"/>
      <c r="JE239" s="21" t="str">
        <f t="shared" si="881"/>
        <v/>
      </c>
      <c r="JF239" s="30"/>
      <c r="JG239" s="21"/>
      <c r="JH239" s="21"/>
      <c r="JI239" s="21"/>
      <c r="JJ239" s="30"/>
      <c r="JK239" s="22"/>
      <c r="JL239" s="22"/>
      <c r="JM239" s="21"/>
      <c r="JN239" s="36"/>
      <c r="JO239" s="21" t="str">
        <f t="shared" si="882"/>
        <v/>
      </c>
      <c r="JP239" s="22"/>
      <c r="JQ239" s="21"/>
      <c r="JR239" s="21"/>
      <c r="JS239" s="21"/>
      <c r="JT239" s="30"/>
      <c r="JU239" s="22"/>
      <c r="JV239" s="22"/>
      <c r="JW239" s="33"/>
      <c r="JX239" s="28" t="str">
        <f t="shared" si="883"/>
        <v/>
      </c>
      <c r="JY239" s="33"/>
      <c r="JZ239" s="28" t="str">
        <f t="shared" si="884"/>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5"/>
        <v>0</v>
      </c>
      <c r="MI239" s="43" t="str">
        <f t="shared" si="929"/>
        <v/>
      </c>
      <c r="MJ239" s="43" t="str">
        <f t="shared" si="887"/>
        <v/>
      </c>
      <c r="MK239" s="43">
        <f t="shared" si="888"/>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30"/>
        <v>12.571428571428571</v>
      </c>
      <c r="MN239" s="43">
        <f t="shared" si="931"/>
        <v>8</v>
      </c>
      <c r="MO239" s="43">
        <f t="shared" si="932"/>
        <v>2023</v>
      </c>
      <c r="MP239" s="43" t="str">
        <f t="shared" si="892"/>
        <v>III TRIMESTRE AÑO</v>
      </c>
      <c r="MQ239" s="43">
        <f t="shared" si="933"/>
        <v>19.836837494524747</v>
      </c>
      <c r="MR239" s="43">
        <f t="shared" si="894"/>
        <v>0</v>
      </c>
      <c r="MS239" s="43" t="str">
        <f t="shared" si="895"/>
        <v>DE 14 A 19AÑOS</v>
      </c>
      <c r="MT239" s="43">
        <f t="shared" si="896"/>
        <v>0</v>
      </c>
      <c r="MU239" s="43">
        <f t="shared" si="897"/>
        <v>0</v>
      </c>
      <c r="MV239" s="43">
        <f t="shared" si="898"/>
        <v>0</v>
      </c>
      <c r="MW239" s="43">
        <f t="shared" si="899"/>
        <v>0</v>
      </c>
      <c r="MX239" s="43" t="str">
        <f t="shared" si="900"/>
        <v/>
      </c>
      <c r="MY239" s="43" t="str">
        <f t="shared" ca="1" si="901"/>
        <v/>
      </c>
      <c r="MZ239" s="43" t="str">
        <f t="shared" si="902"/>
        <v/>
      </c>
      <c r="NA239" s="43" t="str">
        <f t="shared" si="903"/>
        <v/>
      </c>
      <c r="NB239" s="43" t="str">
        <f t="shared" si="904"/>
        <v/>
      </c>
      <c r="NC239" s="43" t="str">
        <f t="shared" si="905"/>
        <v/>
      </c>
      <c r="ND239" s="43">
        <f t="shared" ca="1" si="934"/>
        <v>0</v>
      </c>
      <c r="NE239" s="43">
        <f>IF(OR(O239&gt;0,R239&gt;0),SUM(COUNTIF(Tabla1[[#This Row],[AÑOS AL INICIO5 CPN]],"&gt;=40"),COUNTIF(AS239,"0"),COUNTIF(AR239,"SI"),COUNTIF(CC239,"SI"),COUNTIF(BQ239,"&gt;119"),COUNTIF(CI239,"&gt;=35")),"")</f>
        <v>0</v>
      </c>
      <c r="NF239" s="43" t="str">
        <f t="shared" si="935"/>
        <v/>
      </c>
      <c r="NG239" s="43">
        <f t="shared" si="908"/>
        <v>0</v>
      </c>
      <c r="NH239" s="43" t="str">
        <f t="shared" si="909"/>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6"/>
        <v>X</v>
      </c>
      <c r="NM239" s="43" t="str">
        <f t="shared" si="941"/>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12"/>
        <v>II TRIM</v>
      </c>
      <c r="NQ239" s="21" t="str">
        <f t="shared" si="1046"/>
        <v/>
      </c>
      <c r="NR239" s="21">
        <f t="shared" ca="1" si="937"/>
        <v>1</v>
      </c>
      <c r="NS239" s="205">
        <f t="shared" ca="1" si="914"/>
        <v>0</v>
      </c>
      <c r="NT239" s="21">
        <f t="shared" ca="1" si="915"/>
        <v>0</v>
      </c>
      <c r="NU239" s="21" t="str">
        <f t="shared" ca="1" si="916"/>
        <v>INCOMPLETO</v>
      </c>
      <c r="NV239" s="21" t="str">
        <f t="shared" ca="1" si="917"/>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8"/>
        <v>SIN VACUNAR</v>
      </c>
      <c r="NY239" s="43">
        <f>ROW(Tabla1[[#This Row],['# DE TAMIZAJES SIFILIS TOMADOS ]])</f>
        <v>239</v>
      </c>
      <c r="NZ239" s="43">
        <f t="shared" si="942"/>
        <v>12</v>
      </c>
      <c r="OA239" s="43" t="str">
        <f t="shared" si="943"/>
        <v/>
      </c>
      <c r="OB239" s="43" t="str">
        <f t="shared" si="944"/>
        <v/>
      </c>
      <c r="OC239" s="43" t="str">
        <f t="shared" si="945"/>
        <v/>
      </c>
      <c r="OD239" s="43" t="str">
        <f t="shared" si="946"/>
        <v>NORMAL</v>
      </c>
      <c r="OE239" s="43" t="str">
        <f t="shared" si="947"/>
        <v/>
      </c>
      <c r="OF239" s="43" t="str">
        <f t="shared" si="948"/>
        <v/>
      </c>
      <c r="OG239" s="43" t="str">
        <f t="shared" si="949"/>
        <v/>
      </c>
      <c r="OH239" s="43" t="str">
        <f t="shared" si="950"/>
        <v/>
      </c>
      <c r="OI239" s="43" t="str">
        <f t="shared" si="951"/>
        <v/>
      </c>
      <c r="OJ239" s="43" t="str">
        <f t="shared" si="952"/>
        <v/>
      </c>
      <c r="OK239" s="43" t="str">
        <f t="shared" si="953"/>
        <v/>
      </c>
      <c r="OL239" s="43" t="str">
        <f t="shared" si="954"/>
        <v/>
      </c>
      <c r="OM239" s="43" t="str">
        <f t="shared" si="955"/>
        <v/>
      </c>
      <c r="ON239" s="43" t="str">
        <f t="shared" si="956"/>
        <v/>
      </c>
      <c r="OO239" s="43" t="str">
        <f t="shared" si="957"/>
        <v/>
      </c>
      <c r="OP239" s="43" t="str">
        <f t="shared" si="958"/>
        <v/>
      </c>
      <c r="OQ239" s="43" t="str">
        <f t="shared" si="959"/>
        <v/>
      </c>
      <c r="OR239" s="43" t="str">
        <f t="shared" si="960"/>
        <v/>
      </c>
      <c r="OS239" s="43" t="str">
        <f t="shared" si="961"/>
        <v/>
      </c>
      <c r="OT239" s="43" t="str">
        <f t="shared" si="962"/>
        <v/>
      </c>
      <c r="OU239" s="43" t="str">
        <f t="shared" si="963"/>
        <v/>
      </c>
      <c r="OV239" s="110" t="str">
        <f t="shared" si="964"/>
        <v/>
      </c>
      <c r="OW239" s="43" t="str">
        <f t="shared" si="965"/>
        <v/>
      </c>
      <c r="OX239" s="43" t="str">
        <f t="shared" si="966"/>
        <v/>
      </c>
      <c r="OY239" s="43" t="str">
        <f t="shared" si="967"/>
        <v/>
      </c>
      <c r="OZ239" s="43" t="str">
        <f t="shared" si="968"/>
        <v/>
      </c>
      <c r="PA239" s="43" t="str">
        <f t="shared" si="969"/>
        <v/>
      </c>
      <c r="PB239" s="43" t="str">
        <f t="shared" si="970"/>
        <v/>
      </c>
      <c r="PC239" s="43" t="str">
        <f t="shared" si="971"/>
        <v/>
      </c>
      <c r="PD239" s="43" t="str">
        <f t="shared" si="972"/>
        <v/>
      </c>
      <c r="PE239" s="43" t="str">
        <f t="shared" si="973"/>
        <v/>
      </c>
      <c r="PF239" s="43" t="str">
        <f t="shared" si="974"/>
        <v/>
      </c>
      <c r="PG239" s="43" t="str">
        <f t="shared" si="975"/>
        <v/>
      </c>
      <c r="PH239" s="43" t="str">
        <f t="shared" si="976"/>
        <v/>
      </c>
      <c r="PI239" s="43">
        <f t="shared" si="977"/>
        <v>12</v>
      </c>
      <c r="PJ239" s="43" t="str">
        <f t="shared" si="978"/>
        <v/>
      </c>
      <c r="PK239" s="43" t="str">
        <f t="shared" si="979"/>
        <v/>
      </c>
      <c r="PL239" s="43" t="str">
        <f t="shared" si="980"/>
        <v/>
      </c>
      <c r="PM239" s="43" t="str">
        <f t="shared" si="981"/>
        <v>NORMAL</v>
      </c>
      <c r="PN239" s="43" t="str">
        <f t="shared" si="982"/>
        <v/>
      </c>
      <c r="PO239" s="43" t="str">
        <f t="shared" si="983"/>
        <v/>
      </c>
      <c r="PP239" s="43" t="str">
        <f t="shared" si="984"/>
        <v/>
      </c>
      <c r="PQ239" s="43" t="str">
        <f t="shared" si="985"/>
        <v/>
      </c>
      <c r="PR239" s="43" t="str">
        <f t="shared" si="986"/>
        <v/>
      </c>
      <c r="PS239" s="43" t="str">
        <f t="shared" si="987"/>
        <v/>
      </c>
      <c r="PT239" s="43" t="str">
        <f t="shared" si="988"/>
        <v/>
      </c>
      <c r="PU239" s="43" t="str">
        <f t="shared" si="989"/>
        <v/>
      </c>
      <c r="PV239" s="43" t="str">
        <f t="shared" si="990"/>
        <v/>
      </c>
      <c r="PW239" s="43" t="str">
        <f t="shared" si="991"/>
        <v/>
      </c>
      <c r="PX239" s="43" t="str">
        <f t="shared" si="992"/>
        <v/>
      </c>
      <c r="PY239" s="43" t="str">
        <f t="shared" si="993"/>
        <v/>
      </c>
      <c r="PZ239" s="43" t="str">
        <f t="shared" si="994"/>
        <v/>
      </c>
      <c r="QA239" s="43" t="str">
        <f t="shared" si="995"/>
        <v/>
      </c>
      <c r="QB239" s="43" t="str">
        <f t="shared" si="996"/>
        <v/>
      </c>
      <c r="QC239" s="43" t="str">
        <f t="shared" si="997"/>
        <v/>
      </c>
      <c r="QD239" s="43" t="str">
        <f t="shared" si="998"/>
        <v/>
      </c>
      <c r="QE239" s="43" t="str">
        <f t="shared" si="999"/>
        <v/>
      </c>
      <c r="QF239" s="43" t="str">
        <f t="shared" si="1000"/>
        <v/>
      </c>
      <c r="QG239" s="43" t="str">
        <f t="shared" si="1001"/>
        <v/>
      </c>
      <c r="QH239" s="43" t="str">
        <f t="shared" si="1002"/>
        <v/>
      </c>
      <c r="QI239" s="43" t="str">
        <f t="shared" si="1003"/>
        <v/>
      </c>
      <c r="QJ239" s="43" t="str">
        <f t="shared" si="1004"/>
        <v/>
      </c>
      <c r="QK239" s="43" t="str">
        <f t="shared" si="1005"/>
        <v/>
      </c>
      <c r="QL239" s="43" t="str">
        <f t="shared" si="1006"/>
        <v/>
      </c>
      <c r="QM239" s="43" t="str">
        <f t="shared" si="1007"/>
        <v/>
      </c>
      <c r="QN239" s="43" t="str">
        <f t="shared" si="1008"/>
        <v/>
      </c>
      <c r="QO239" s="43" t="str">
        <f t="shared" si="1009"/>
        <v/>
      </c>
      <c r="QP239" s="43" t="str">
        <f t="shared" si="1010"/>
        <v/>
      </c>
      <c r="QQ239" s="43" t="str">
        <f t="shared" si="1011"/>
        <v/>
      </c>
      <c r="QR239" s="43" t="str">
        <f t="shared" si="1012"/>
        <v>Menor</v>
      </c>
      <c r="QS239" s="43"/>
      <c r="QT239" s="21" t="str">
        <f t="shared" si="1013"/>
        <v/>
      </c>
      <c r="QU239" s="21" t="str">
        <f t="shared" si="1014"/>
        <v/>
      </c>
      <c r="QV239" s="21" t="str">
        <f t="shared" si="1015"/>
        <v/>
      </c>
      <c r="QW239" s="21" t="str">
        <f t="shared" si="1016"/>
        <v/>
      </c>
      <c r="QX239" s="21" t="str">
        <f t="shared" si="1017"/>
        <v/>
      </c>
      <c r="QY239" s="21" t="str">
        <f t="shared" si="1018"/>
        <v/>
      </c>
      <c r="QZ239" s="21" t="str">
        <f t="shared" si="1019"/>
        <v/>
      </c>
      <c r="RA239" s="21" t="str">
        <f t="shared" si="1020"/>
        <v/>
      </c>
      <c r="RB239" s="21" t="str">
        <f t="shared" si="1021"/>
        <v/>
      </c>
      <c r="RC239" s="21" t="str">
        <f t="shared" si="1022"/>
        <v/>
      </c>
      <c r="RD239" s="21" t="str">
        <f t="shared" si="1023"/>
        <v/>
      </c>
      <c r="RE239" s="21" t="str">
        <f t="shared" si="1024"/>
        <v/>
      </c>
      <c r="RF239" s="21" t="str">
        <f t="shared" si="1025"/>
        <v/>
      </c>
      <c r="RG239" s="21" t="str">
        <f t="shared" si="1026"/>
        <v/>
      </c>
      <c r="RH239" s="21" t="str">
        <f t="shared" si="1027"/>
        <v/>
      </c>
      <c r="RI239" s="21" t="str">
        <f t="shared" si="1028"/>
        <v/>
      </c>
      <c r="RJ239" s="21" t="str">
        <f t="shared" si="1029"/>
        <v/>
      </c>
      <c r="RK239" s="21" t="str">
        <f t="shared" si="1030"/>
        <v/>
      </c>
      <c r="RL239" s="21" t="str">
        <f t="shared" si="1031"/>
        <v/>
      </c>
      <c r="RM239" s="21" t="str">
        <f t="shared" si="1032"/>
        <v/>
      </c>
      <c r="RN239" s="21" t="str">
        <f t="shared" si="1033"/>
        <v/>
      </c>
      <c r="RO239" s="21" t="str">
        <f t="shared" si="1034"/>
        <v/>
      </c>
      <c r="RP239" s="21" t="str">
        <f t="shared" si="1035"/>
        <v/>
      </c>
      <c r="RQ239" s="21" t="str">
        <f t="shared" si="1036"/>
        <v/>
      </c>
      <c r="RR239" s="21" t="str">
        <f t="shared" si="1037"/>
        <v/>
      </c>
      <c r="RS239" s="21" t="str">
        <f t="shared" si="1038"/>
        <v/>
      </c>
      <c r="RT239" s="21" t="str">
        <f t="shared" si="1039"/>
        <v/>
      </c>
      <c r="RU239" s="21" t="str">
        <f t="shared" si="1040"/>
        <v/>
      </c>
      <c r="RV239" s="21">
        <f t="shared" si="1041"/>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42"/>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41"/>
        <v>30.564383561643837</v>
      </c>
      <c r="O240" s="22">
        <v>45141</v>
      </c>
      <c r="P240" s="214" t="str">
        <f t="shared" si="919"/>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2"/>
        <v>0</v>
      </c>
      <c r="BR240" s="223" t="str">
        <f t="shared" si="843"/>
        <v/>
      </c>
      <c r="BS240" s="224">
        <f t="shared" si="844"/>
        <v>7</v>
      </c>
      <c r="BT240" s="216" t="str">
        <f t="shared" si="845"/>
        <v>DEFINIR CON ECO</v>
      </c>
      <c r="BU240" s="214">
        <f t="shared" ca="1" si="928"/>
        <v>20</v>
      </c>
      <c r="BV240" s="25"/>
      <c r="BW240" s="22"/>
      <c r="BX240" s="28"/>
      <c r="BY240" s="28"/>
      <c r="BZ240" s="22"/>
      <c r="CA240" s="21"/>
      <c r="CB240" s="26"/>
      <c r="CC240" s="26"/>
      <c r="CD240" s="26"/>
      <c r="CE240" s="26"/>
      <c r="CF240" s="22" t="s">
        <v>1517</v>
      </c>
      <c r="CG240" s="21">
        <v>1.48</v>
      </c>
      <c r="CH240" s="21">
        <v>55</v>
      </c>
      <c r="CI240" s="214">
        <f t="shared" si="847"/>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8"/>
        <v>45141</v>
      </c>
      <c r="CL240" s="21">
        <v>55</v>
      </c>
      <c r="CM240" s="214">
        <f t="shared" si="849"/>
        <v>25.10956902848795</v>
      </c>
      <c r="CN240" s="216">
        <f t="shared" si="850"/>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5"/>
        <v/>
      </c>
      <c r="DA240" s="21">
        <v>90</v>
      </c>
      <c r="DB240" s="21">
        <v>60</v>
      </c>
      <c r="DC240" s="217" t="str">
        <f t="shared" si="851"/>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20"/>
        <v>EN ESPERA</v>
      </c>
      <c r="DV240" s="226" t="str">
        <f t="shared" si="921"/>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2"/>
        <v>#REF!</v>
      </c>
      <c r="DY240" s="212">
        <f>IF(R240="","",IF(R240&gt;0,MAX(Tabla1[[#This Row],[FECHA C2]:[FECHA C13]],Tabla1[[#This Row],[FECHA CONSULTA PRIMERA VEZ PROGRAMA CPN ]])))</f>
        <v>45141</v>
      </c>
      <c r="DZ240" s="216">
        <f t="shared" si="853"/>
        <v>7</v>
      </c>
      <c r="EA240" s="222">
        <f>IF(R240&gt;0,SUM(COUNTA(DF240:DQ240)+COUNTA(Tabla1[[#This Row],[FECHA CONSULTA PRIMERA VEZ PROGRAMA CPN ]])),"")</f>
        <v>1</v>
      </c>
      <c r="EB240" s="222" t="str">
        <f t="shared" si="854"/>
        <v>NO</v>
      </c>
      <c r="EC240" s="214">
        <f t="shared" si="855"/>
        <v>10</v>
      </c>
      <c r="ED240" s="227">
        <f t="shared" si="856"/>
        <v>0.1</v>
      </c>
      <c r="EE240" s="22">
        <v>45141</v>
      </c>
      <c r="EF240" s="22">
        <v>45141</v>
      </c>
      <c r="EG240" s="22">
        <v>45141</v>
      </c>
      <c r="EH240" s="22"/>
      <c r="EI240" s="22">
        <v>45141</v>
      </c>
      <c r="EJ240" s="22"/>
      <c r="EK240" s="22"/>
      <c r="EL240" s="21"/>
      <c r="EM240" s="21"/>
      <c r="EN240" s="22"/>
      <c r="EO240" s="222" t="str">
        <f t="shared" si="857"/>
        <v>TOMAR EXAMEN</v>
      </c>
      <c r="EP240" s="214" t="str">
        <f t="shared" si="858"/>
        <v/>
      </c>
      <c r="EQ240" s="216" t="str">
        <f t="shared" si="859"/>
        <v>POR DEFINIR</v>
      </c>
      <c r="ER240" s="24"/>
      <c r="ES240" s="22"/>
      <c r="ET240" s="29" t="str">
        <f t="shared" ca="1" si="922"/>
        <v>EN ESPERA PARA TOMA EXAMEN</v>
      </c>
      <c r="EU240" s="25" t="str">
        <f t="shared" si="860"/>
        <v/>
      </c>
      <c r="EV240" s="24"/>
      <c r="EW240" s="24"/>
      <c r="EX240" s="22"/>
      <c r="EY240" s="29" t="str">
        <f t="shared" si="1043"/>
        <v>TOMAR EXAMEN</v>
      </c>
      <c r="EZ240" s="25" t="str">
        <f t="shared" ca="1" si="1044"/>
        <v/>
      </c>
      <c r="FA240" s="21"/>
      <c r="FB240" s="22"/>
      <c r="FC240" s="29" t="str">
        <f t="shared" si="861"/>
        <v>TOMAR EXAMEN</v>
      </c>
      <c r="FD240" s="29"/>
      <c r="FE240" s="29"/>
      <c r="FF240" s="29"/>
      <c r="FG240" s="21" t="str">
        <f t="shared" ca="1" si="862"/>
        <v>PROGRAMAR TOMA PTOG SIGUIENTE CONTROL</v>
      </c>
      <c r="FH240" s="31"/>
      <c r="FI240" s="29" t="str">
        <f t="shared" si="863"/>
        <v>TOMAR EXAMEN</v>
      </c>
      <c r="FJ240" s="22"/>
      <c r="FK240" s="22"/>
      <c r="FL240" s="29" t="str">
        <f t="shared" ca="1" si="864"/>
        <v>PIERDE TOMA DE TAMIZAJE</v>
      </c>
      <c r="FM240" s="22"/>
      <c r="FN240" s="32"/>
      <c r="FO240" s="29" t="str">
        <f t="shared" ca="1" si="923"/>
        <v>EN RANGO PARA TOMAR EXAMEN</v>
      </c>
      <c r="FP240" s="22"/>
      <c r="FQ240" s="32"/>
      <c r="FR240" s="29" t="str">
        <f t="shared" ca="1" si="924"/>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5"/>
        <v>TOMAR EXAMEN</v>
      </c>
      <c r="FY240" s="22"/>
      <c r="FZ240" s="22"/>
      <c r="GA240" s="29" t="str">
        <f t="shared" ca="1" si="939"/>
        <v>PIERDE TOMA DE TAMIZAJE</v>
      </c>
      <c r="GB240" s="22"/>
      <c r="GC240" s="22"/>
      <c r="GD240" s="29" t="str">
        <f t="shared" ca="1" si="1048"/>
        <v>EN RANGO PARA TOMAR EXAMEN</v>
      </c>
      <c r="GE240" s="22"/>
      <c r="GF240" s="22"/>
      <c r="GG240" s="29" t="str">
        <f t="shared" ca="1" si="926"/>
        <v>EN ESPERA-ESTÁ I TRIM O II TRIM</v>
      </c>
      <c r="GH240" s="22"/>
      <c r="GI240" s="29"/>
      <c r="GJ240" s="22"/>
      <c r="GK240" s="22"/>
      <c r="GL240" s="22"/>
      <c r="GM240" s="22"/>
      <c r="GN240" s="28"/>
      <c r="GO240" s="22"/>
      <c r="GP240" s="29" t="str">
        <f t="shared" si="866"/>
        <v>TOMAR EXAMEN</v>
      </c>
      <c r="GQ240" s="28"/>
      <c r="GR240" s="28"/>
      <c r="GS240" s="22" t="str">
        <f t="shared" si="1047"/>
        <v/>
      </c>
      <c r="GT240" s="22"/>
      <c r="GU240" s="29" t="str">
        <f t="shared" si="867"/>
        <v>TOMAR EXAMEN</v>
      </c>
      <c r="GV240" s="21" t="str">
        <f t="shared" si="868"/>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9"/>
        <v>#REF!</v>
      </c>
      <c r="HI240" s="22" t="e">
        <f t="shared" ca="1" si="870"/>
        <v>#REF!</v>
      </c>
      <c r="HJ240" s="21" t="str">
        <f t="shared" ca="1" si="871"/>
        <v>***************************************</v>
      </c>
      <c r="HK240" s="21" t="str">
        <f t="shared" si="872"/>
        <v>SIN ANTECEDENTES DE RIESGO</v>
      </c>
      <c r="HL240" s="24" t="str">
        <f t="shared" si="873"/>
        <v>APARENTEMENTE NORMAL</v>
      </c>
      <c r="HM240" s="21" t="e">
        <f t="shared" ca="1" si="874"/>
        <v>#REF!</v>
      </c>
      <c r="HN240" s="30" t="str">
        <f t="shared" si="927"/>
        <v>ACTIVA INGRESO A CPN</v>
      </c>
      <c r="HO240" s="21"/>
      <c r="HP240" s="21"/>
      <c r="HQ240" s="349"/>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5"/>
        <v>7</v>
      </c>
      <c r="IA240" s="26"/>
      <c r="IB240" s="26"/>
      <c r="IC240" s="111"/>
      <c r="ID240" s="22"/>
      <c r="IE240" s="22" t="str">
        <f t="shared" ca="1" si="876"/>
        <v>PROGRAMAR APLICACION DE VACUNA</v>
      </c>
      <c r="IF240" s="22"/>
      <c r="IG240" s="22">
        <f t="shared" si="877"/>
        <v>45372</v>
      </c>
      <c r="IH240" s="29">
        <f t="shared" ca="1" si="878"/>
        <v>140</v>
      </c>
      <c r="II240" s="22" t="str">
        <f t="shared" ca="1" si="879"/>
        <v>PENDIENTE</v>
      </c>
      <c r="IJ240" s="22"/>
      <c r="IK240" s="21"/>
      <c r="IL240" s="21"/>
      <c r="IM240" s="34"/>
      <c r="IN240" s="22"/>
      <c r="IO240" s="21"/>
      <c r="IP240" s="29" t="str">
        <f t="shared" si="880"/>
        <v/>
      </c>
      <c r="IQ240" s="35"/>
      <c r="IR240" s="21"/>
      <c r="IS240" s="21"/>
      <c r="IT240" s="21"/>
      <c r="IU240" s="21"/>
      <c r="IV240" s="21"/>
      <c r="IW240" s="21"/>
      <c r="IX240" s="21"/>
      <c r="IY240" s="21"/>
      <c r="IZ240" s="21"/>
      <c r="JA240" s="21"/>
      <c r="JB240" s="30"/>
      <c r="JC240" s="21"/>
      <c r="JD240" s="36"/>
      <c r="JE240" s="21" t="str">
        <f t="shared" si="881"/>
        <v/>
      </c>
      <c r="JF240" s="30"/>
      <c r="JG240" s="21"/>
      <c r="JH240" s="21"/>
      <c r="JI240" s="21"/>
      <c r="JJ240" s="30"/>
      <c r="JK240" s="22"/>
      <c r="JL240" s="22"/>
      <c r="JM240" s="21"/>
      <c r="JN240" s="36"/>
      <c r="JO240" s="21" t="str">
        <f t="shared" si="882"/>
        <v/>
      </c>
      <c r="JP240" s="22"/>
      <c r="JQ240" s="21"/>
      <c r="JR240" s="21"/>
      <c r="JS240" s="21"/>
      <c r="JT240" s="30"/>
      <c r="JU240" s="22"/>
      <c r="JV240" s="22"/>
      <c r="JW240" s="33"/>
      <c r="JX240" s="28" t="str">
        <f t="shared" si="883"/>
        <v/>
      </c>
      <c r="JY240" s="33"/>
      <c r="JZ240" s="28" t="str">
        <f t="shared" si="884"/>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5"/>
        <v>0</v>
      </c>
      <c r="MI240" s="43" t="str">
        <f t="shared" si="929"/>
        <v/>
      </c>
      <c r="MJ240" s="43" t="str">
        <f t="shared" si="887"/>
        <v/>
      </c>
      <c r="MK240" s="43">
        <f t="shared" si="888"/>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30"/>
        <v>7</v>
      </c>
      <c r="MN240" s="43">
        <f t="shared" si="931"/>
        <v>8</v>
      </c>
      <c r="MO240" s="43">
        <f t="shared" si="932"/>
        <v>2023</v>
      </c>
      <c r="MP240" s="43" t="str">
        <f t="shared" si="892"/>
        <v>III TRIMESTRE AÑO</v>
      </c>
      <c r="MQ240" s="43">
        <f t="shared" si="933"/>
        <v>29.856548401226458</v>
      </c>
      <c r="MR240" s="43">
        <f t="shared" si="894"/>
        <v>0</v>
      </c>
      <c r="MS240" s="43" t="str">
        <f t="shared" si="895"/>
        <v xml:space="preserve"> DE 25 A 29 AÑOS</v>
      </c>
      <c r="MT240" s="43">
        <f t="shared" si="896"/>
        <v>0</v>
      </c>
      <c r="MU240" s="43">
        <f t="shared" si="897"/>
        <v>0</v>
      </c>
      <c r="MV240" s="43">
        <f t="shared" si="898"/>
        <v>0</v>
      </c>
      <c r="MW240" s="43">
        <f t="shared" si="899"/>
        <v>0</v>
      </c>
      <c r="MX240" s="43" t="str">
        <f t="shared" si="900"/>
        <v/>
      </c>
      <c r="MY240" s="43" t="str">
        <f t="shared" ca="1" si="901"/>
        <v/>
      </c>
      <c r="MZ240" s="43" t="str">
        <f t="shared" si="902"/>
        <v/>
      </c>
      <c r="NA240" s="43" t="str">
        <f t="shared" si="903"/>
        <v/>
      </c>
      <c r="NB240" s="43" t="str">
        <f t="shared" si="904"/>
        <v/>
      </c>
      <c r="NC240" s="43" t="str">
        <f t="shared" si="905"/>
        <v/>
      </c>
      <c r="ND240" s="43">
        <f t="shared" ca="1" si="934"/>
        <v>0</v>
      </c>
      <c r="NE240" s="43">
        <f>IF(OR(O240&gt;0,R240&gt;0),SUM(COUNTIF(Tabla1[[#This Row],[AÑOS AL INICIO5 CPN]],"&gt;=40"),COUNTIF(AS240,"0"),COUNTIF(AR240,"SI"),COUNTIF(CC240,"SI"),COUNTIF(BQ240,"&gt;119"),COUNTIF(CI240,"&gt;=35")),"")</f>
        <v>0</v>
      </c>
      <c r="NF240" s="43" t="str">
        <f t="shared" si="935"/>
        <v/>
      </c>
      <c r="NG240" s="43">
        <f t="shared" si="908"/>
        <v>0</v>
      </c>
      <c r="NH240" s="43" t="str">
        <f t="shared" si="909"/>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6"/>
        <v>X</v>
      </c>
      <c r="NM240" s="43" t="str">
        <f t="shared" si="941"/>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12"/>
        <v>DEFINIR CON ECO</v>
      </c>
      <c r="NQ240" s="21" t="str">
        <f t="shared" si="1046"/>
        <v/>
      </c>
      <c r="NR240" s="21">
        <f t="shared" ca="1" si="937"/>
        <v>2</v>
      </c>
      <c r="NS240" s="205">
        <f t="shared" ca="1" si="914"/>
        <v>0</v>
      </c>
      <c r="NT240" s="21">
        <f t="shared" ca="1" si="915"/>
        <v>0</v>
      </c>
      <c r="NU240" s="21" t="str">
        <f t="shared" ca="1" si="916"/>
        <v>INCOMPLETO</v>
      </c>
      <c r="NV240" s="21" t="str">
        <f t="shared" ca="1" si="917"/>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8"/>
        <v>SIN VACUNAR</v>
      </c>
      <c r="NY240" s="43">
        <f>ROW(Tabla1[[#This Row],['# DE TAMIZAJES SIFILIS TOMADOS ]])</f>
        <v>240</v>
      </c>
      <c r="NZ240" s="43" t="str">
        <f t="shared" si="942"/>
        <v>Menor</v>
      </c>
      <c r="OA240" s="43" t="str">
        <f t="shared" si="943"/>
        <v>SOBREPESO</v>
      </c>
      <c r="OB240" s="43" t="str">
        <f t="shared" si="944"/>
        <v/>
      </c>
      <c r="OC240" s="43" t="str">
        <f t="shared" si="945"/>
        <v/>
      </c>
      <c r="OD240" s="43" t="str">
        <f t="shared" si="946"/>
        <v/>
      </c>
      <c r="OE240" s="43" t="str">
        <f t="shared" si="947"/>
        <v/>
      </c>
      <c r="OF240" s="43" t="str">
        <f t="shared" si="948"/>
        <v/>
      </c>
      <c r="OG240" s="43" t="str">
        <f t="shared" si="949"/>
        <v/>
      </c>
      <c r="OH240" s="43" t="str">
        <f t="shared" si="950"/>
        <v/>
      </c>
      <c r="OI240" s="43" t="str">
        <f t="shared" si="951"/>
        <v/>
      </c>
      <c r="OJ240" s="43" t="str">
        <f t="shared" si="952"/>
        <v/>
      </c>
      <c r="OK240" s="43" t="str">
        <f t="shared" si="953"/>
        <v/>
      </c>
      <c r="OL240" s="43" t="str">
        <f t="shared" si="954"/>
        <v/>
      </c>
      <c r="OM240" s="43" t="str">
        <f t="shared" si="955"/>
        <v/>
      </c>
      <c r="ON240" s="43" t="str">
        <f t="shared" si="956"/>
        <v/>
      </c>
      <c r="OO240" s="43" t="str">
        <f t="shared" si="957"/>
        <v/>
      </c>
      <c r="OP240" s="43" t="str">
        <f t="shared" si="958"/>
        <v/>
      </c>
      <c r="OQ240" s="43" t="str">
        <f t="shared" si="959"/>
        <v/>
      </c>
      <c r="OR240" s="43" t="str">
        <f t="shared" si="960"/>
        <v/>
      </c>
      <c r="OS240" s="43" t="str">
        <f t="shared" si="961"/>
        <v/>
      </c>
      <c r="OT240" s="43" t="str">
        <f t="shared" si="962"/>
        <v/>
      </c>
      <c r="OU240" s="43" t="str">
        <f t="shared" si="963"/>
        <v/>
      </c>
      <c r="OV240" s="110" t="str">
        <f t="shared" si="964"/>
        <v/>
      </c>
      <c r="OW240" s="43" t="str">
        <f t="shared" si="965"/>
        <v/>
      </c>
      <c r="OX240" s="43" t="str">
        <f t="shared" si="966"/>
        <v/>
      </c>
      <c r="OY240" s="43" t="str">
        <f t="shared" si="967"/>
        <v/>
      </c>
      <c r="OZ240" s="43" t="str">
        <f t="shared" si="968"/>
        <v/>
      </c>
      <c r="PA240" s="43" t="str">
        <f t="shared" si="969"/>
        <v/>
      </c>
      <c r="PB240" s="43" t="str">
        <f t="shared" si="970"/>
        <v/>
      </c>
      <c r="PC240" s="43" t="str">
        <f t="shared" si="971"/>
        <v/>
      </c>
      <c r="PD240" s="43" t="str">
        <f t="shared" si="972"/>
        <v/>
      </c>
      <c r="PE240" s="43" t="str">
        <f t="shared" si="973"/>
        <v/>
      </c>
      <c r="PF240" s="43" t="str">
        <f t="shared" si="974"/>
        <v/>
      </c>
      <c r="PG240" s="43" t="str">
        <f t="shared" si="975"/>
        <v/>
      </c>
      <c r="PH240" s="43" t="str">
        <f t="shared" si="976"/>
        <v/>
      </c>
      <c r="PI240" s="43" t="str">
        <f t="shared" si="977"/>
        <v>Menor</v>
      </c>
      <c r="PJ240" s="43" t="str">
        <f t="shared" si="978"/>
        <v>SOBREPESO</v>
      </c>
      <c r="PK240" s="43" t="str">
        <f t="shared" si="979"/>
        <v/>
      </c>
      <c r="PL240" s="43" t="str">
        <f t="shared" si="980"/>
        <v/>
      </c>
      <c r="PM240" s="43" t="str">
        <f t="shared" si="981"/>
        <v/>
      </c>
      <c r="PN240" s="43" t="str">
        <f t="shared" si="982"/>
        <v/>
      </c>
      <c r="PO240" s="43" t="str">
        <f t="shared" si="983"/>
        <v/>
      </c>
      <c r="PP240" s="43" t="str">
        <f t="shared" si="984"/>
        <v/>
      </c>
      <c r="PQ240" s="43" t="str">
        <f t="shared" si="985"/>
        <v/>
      </c>
      <c r="PR240" s="43" t="str">
        <f t="shared" si="986"/>
        <v/>
      </c>
      <c r="PS240" s="43" t="str">
        <f t="shared" si="987"/>
        <v/>
      </c>
      <c r="PT240" s="43" t="str">
        <f t="shared" si="988"/>
        <v/>
      </c>
      <c r="PU240" s="43" t="str">
        <f t="shared" si="989"/>
        <v/>
      </c>
      <c r="PV240" s="43" t="str">
        <f t="shared" si="990"/>
        <v/>
      </c>
      <c r="PW240" s="43" t="str">
        <f t="shared" si="991"/>
        <v/>
      </c>
      <c r="PX240" s="43" t="str">
        <f t="shared" si="992"/>
        <v/>
      </c>
      <c r="PY240" s="43" t="str">
        <f t="shared" si="993"/>
        <v/>
      </c>
      <c r="PZ240" s="43" t="str">
        <f t="shared" si="994"/>
        <v/>
      </c>
      <c r="QA240" s="43" t="str">
        <f t="shared" si="995"/>
        <v/>
      </c>
      <c r="QB240" s="43" t="str">
        <f t="shared" si="996"/>
        <v/>
      </c>
      <c r="QC240" s="43" t="str">
        <f t="shared" si="997"/>
        <v/>
      </c>
      <c r="QD240" s="43" t="str">
        <f t="shared" si="998"/>
        <v/>
      </c>
      <c r="QE240" s="43" t="str">
        <f t="shared" si="999"/>
        <v/>
      </c>
      <c r="QF240" s="43" t="str">
        <f t="shared" si="1000"/>
        <v/>
      </c>
      <c r="QG240" s="43" t="str">
        <f t="shared" si="1001"/>
        <v/>
      </c>
      <c r="QH240" s="43" t="str">
        <f t="shared" si="1002"/>
        <v/>
      </c>
      <c r="QI240" s="43" t="str">
        <f t="shared" si="1003"/>
        <v/>
      </c>
      <c r="QJ240" s="43" t="str">
        <f t="shared" si="1004"/>
        <v/>
      </c>
      <c r="QK240" s="43" t="str">
        <f t="shared" si="1005"/>
        <v/>
      </c>
      <c r="QL240" s="43" t="str">
        <f t="shared" si="1006"/>
        <v/>
      </c>
      <c r="QM240" s="43" t="str">
        <f t="shared" si="1007"/>
        <v/>
      </c>
      <c r="QN240" s="43" t="str">
        <f t="shared" si="1008"/>
        <v/>
      </c>
      <c r="QO240" s="43" t="str">
        <f t="shared" si="1009"/>
        <v/>
      </c>
      <c r="QP240" s="43" t="str">
        <f t="shared" si="1010"/>
        <v/>
      </c>
      <c r="QQ240" s="43" t="str">
        <f t="shared" si="1011"/>
        <v/>
      </c>
      <c r="QR240" s="43" t="str">
        <f t="shared" si="1012"/>
        <v>Menor</v>
      </c>
      <c r="QS240" s="43"/>
      <c r="QT240" s="21" t="str">
        <f t="shared" si="1013"/>
        <v/>
      </c>
      <c r="QU240" s="21" t="str">
        <f t="shared" si="1014"/>
        <v/>
      </c>
      <c r="QV240" s="21" t="str">
        <f t="shared" si="1015"/>
        <v/>
      </c>
      <c r="QW240" s="21" t="str">
        <f t="shared" si="1016"/>
        <v/>
      </c>
      <c r="QX240" s="21" t="str">
        <f t="shared" si="1017"/>
        <v/>
      </c>
      <c r="QY240" s="21" t="str">
        <f t="shared" si="1018"/>
        <v/>
      </c>
      <c r="QZ240" s="21" t="str">
        <f t="shared" si="1019"/>
        <v/>
      </c>
      <c r="RA240" s="21" t="str">
        <f t="shared" si="1020"/>
        <v/>
      </c>
      <c r="RB240" s="21" t="str">
        <f t="shared" si="1021"/>
        <v/>
      </c>
      <c r="RC240" s="21" t="str">
        <f t="shared" si="1022"/>
        <v/>
      </c>
      <c r="RD240" s="21" t="str">
        <f t="shared" si="1023"/>
        <v/>
      </c>
      <c r="RE240" s="21" t="str">
        <f t="shared" si="1024"/>
        <v/>
      </c>
      <c r="RF240" s="21" t="str">
        <f t="shared" si="1025"/>
        <v/>
      </c>
      <c r="RG240" s="21" t="str">
        <f t="shared" si="1026"/>
        <v/>
      </c>
      <c r="RH240" s="21" t="str">
        <f t="shared" si="1027"/>
        <v/>
      </c>
      <c r="RI240" s="21" t="str">
        <f t="shared" si="1028"/>
        <v/>
      </c>
      <c r="RJ240" s="21" t="str">
        <f t="shared" si="1029"/>
        <v/>
      </c>
      <c r="RK240" s="21" t="str">
        <f t="shared" si="1030"/>
        <v/>
      </c>
      <c r="RL240" s="21" t="str">
        <f t="shared" si="1031"/>
        <v/>
      </c>
      <c r="RM240" s="21" t="str">
        <f t="shared" si="1032"/>
        <v/>
      </c>
      <c r="RN240" s="21" t="str">
        <f t="shared" si="1033"/>
        <v/>
      </c>
      <c r="RO240" s="21" t="str">
        <f t="shared" si="1034"/>
        <v/>
      </c>
      <c r="RP240" s="21" t="str">
        <f t="shared" si="1035"/>
        <v/>
      </c>
      <c r="RQ240" s="21" t="str">
        <f t="shared" si="1036"/>
        <v/>
      </c>
      <c r="RR240" s="21" t="str">
        <f t="shared" si="1037"/>
        <v/>
      </c>
      <c r="RS240" s="21" t="str">
        <f t="shared" si="1038"/>
        <v/>
      </c>
      <c r="RT240" s="21" t="str">
        <f t="shared" si="1039"/>
        <v/>
      </c>
      <c r="RU240" s="21" t="str">
        <f t="shared" si="1040"/>
        <v/>
      </c>
      <c r="RV240" s="21">
        <f t="shared" si="1041"/>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42"/>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41"/>
        <v>30.454794520547946</v>
      </c>
      <c r="O241" s="22">
        <v>45142</v>
      </c>
      <c r="P241" s="214" t="str">
        <f t="shared" si="919"/>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2"/>
        <v>0</v>
      </c>
      <c r="BR241" s="223" t="str">
        <f t="shared" si="843"/>
        <v/>
      </c>
      <c r="BS241" s="224">
        <f t="shared" si="844"/>
        <v>6.4285714285714288</v>
      </c>
      <c r="BT241" s="216" t="str">
        <f t="shared" si="845"/>
        <v>DEFINIR CON ECO</v>
      </c>
      <c r="BU241" s="214">
        <f t="shared" ca="1" si="928"/>
        <v>19.285714285714285</v>
      </c>
      <c r="BV241" s="25"/>
      <c r="BW241" s="22"/>
      <c r="BX241" s="28"/>
      <c r="BY241" s="28"/>
      <c r="BZ241" s="22"/>
      <c r="CA241" s="21"/>
      <c r="CB241" s="26"/>
      <c r="CC241" s="26"/>
      <c r="CD241" s="26"/>
      <c r="CE241" s="26"/>
      <c r="CF241" s="22" t="s">
        <v>1517</v>
      </c>
      <c r="CG241" s="21">
        <v>1.49</v>
      </c>
      <c r="CH241" s="21">
        <v>51.8</v>
      </c>
      <c r="CI241" s="214">
        <f t="shared" si="847"/>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8"/>
        <v>45142</v>
      </c>
      <c r="CL241" s="21">
        <v>51.8</v>
      </c>
      <c r="CM241" s="214">
        <f t="shared" si="849"/>
        <v>23.332282329624793</v>
      </c>
      <c r="CN241" s="216">
        <f t="shared" si="850"/>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5"/>
        <v/>
      </c>
      <c r="DA241" s="21">
        <v>100</v>
      </c>
      <c r="DB241" s="21">
        <v>70</v>
      </c>
      <c r="DC241" s="217" t="str">
        <f t="shared" si="851"/>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20"/>
        <v>EN ESPERA</v>
      </c>
      <c r="DV241" s="226" t="str">
        <f t="shared" si="921"/>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2"/>
        <v>#REF!</v>
      </c>
      <c r="DY241" s="212">
        <f>IF(R241="","",IF(R241&gt;0,MAX(Tabla1[[#This Row],[FECHA C2]:[FECHA C13]],Tabla1[[#This Row],[FECHA CONSULTA PRIMERA VEZ PROGRAMA CPN ]])))</f>
        <v>45142</v>
      </c>
      <c r="DZ241" s="216">
        <f t="shared" si="853"/>
        <v>6</v>
      </c>
      <c r="EA241" s="222">
        <f>IF(R241&gt;0,SUM(COUNTA(DF241:DQ241)+COUNTA(Tabla1[[#This Row],[FECHA CONSULTA PRIMERA VEZ PROGRAMA CPN ]])),"")</f>
        <v>1</v>
      </c>
      <c r="EB241" s="222" t="str">
        <f t="shared" si="854"/>
        <v>NO</v>
      </c>
      <c r="EC241" s="214">
        <f t="shared" si="855"/>
        <v>10</v>
      </c>
      <c r="ED241" s="227">
        <f t="shared" si="856"/>
        <v>0.1</v>
      </c>
      <c r="EE241" s="22">
        <v>45142</v>
      </c>
      <c r="EF241" s="22">
        <v>45149</v>
      </c>
      <c r="EG241" s="22">
        <v>45142</v>
      </c>
      <c r="EH241" s="22"/>
      <c r="EI241" s="22">
        <v>45142</v>
      </c>
      <c r="EJ241" s="22"/>
      <c r="EK241" s="22"/>
      <c r="EL241" s="21"/>
      <c r="EM241" s="21"/>
      <c r="EN241" s="22"/>
      <c r="EO241" s="222" t="str">
        <f t="shared" si="857"/>
        <v>TOMAR EXAMEN</v>
      </c>
      <c r="EP241" s="214" t="str">
        <f t="shared" si="858"/>
        <v/>
      </c>
      <c r="EQ241" s="216" t="str">
        <f t="shared" si="859"/>
        <v>POR DEFINIR</v>
      </c>
      <c r="ER241" s="24"/>
      <c r="ES241" s="22"/>
      <c r="ET241" s="29" t="str">
        <f t="shared" ca="1" si="922"/>
        <v>EN ESPERA PARA TOMA EXAMEN</v>
      </c>
      <c r="EU241" s="25" t="str">
        <f t="shared" si="860"/>
        <v/>
      </c>
      <c r="EV241" s="24"/>
      <c r="EW241" s="24"/>
      <c r="EX241" s="22"/>
      <c r="EY241" s="29" t="str">
        <f t="shared" si="1043"/>
        <v>TOMAR EXAMEN</v>
      </c>
      <c r="EZ241" s="25" t="str">
        <f t="shared" ca="1" si="1044"/>
        <v/>
      </c>
      <c r="FA241" s="21"/>
      <c r="FB241" s="22"/>
      <c r="FC241" s="29" t="str">
        <f t="shared" si="861"/>
        <v>TOMAR EXAMEN</v>
      </c>
      <c r="FD241" s="29"/>
      <c r="FE241" s="29"/>
      <c r="FF241" s="29"/>
      <c r="FG241" s="21" t="str">
        <f t="shared" ca="1" si="862"/>
        <v>PROGRAMAR TOMA PTOG SIGUIENTE CONTROL</v>
      </c>
      <c r="FH241" s="31"/>
      <c r="FI241" s="29" t="str">
        <f t="shared" si="863"/>
        <v>TOMAR EXAMEN</v>
      </c>
      <c r="FJ241" s="22"/>
      <c r="FK241" s="22"/>
      <c r="FL241" s="29" t="str">
        <f t="shared" ca="1" si="864"/>
        <v>PIERDE TOMA DE TAMIZAJE</v>
      </c>
      <c r="FM241" s="22"/>
      <c r="FN241" s="32"/>
      <c r="FO241" s="29" t="str">
        <f t="shared" ca="1" si="923"/>
        <v>EN RANGO PARA TOMAR EXAMEN</v>
      </c>
      <c r="FP241" s="22"/>
      <c r="FQ241" s="32"/>
      <c r="FR241" s="29" t="str">
        <f t="shared" ca="1" si="924"/>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5"/>
        <v>TOMAR EXAMEN</v>
      </c>
      <c r="FY241" s="22"/>
      <c r="FZ241" s="22"/>
      <c r="GA241" s="29" t="str">
        <f t="shared" ca="1" si="939"/>
        <v>PIERDE TOMA DE TAMIZAJE</v>
      </c>
      <c r="GB241" s="22"/>
      <c r="GC241" s="22"/>
      <c r="GD241" s="29" t="str">
        <f t="shared" ca="1" si="1048"/>
        <v>EN RANGO PARA TOMAR EXAMEN</v>
      </c>
      <c r="GE241" s="22"/>
      <c r="GF241" s="22"/>
      <c r="GG241" s="29" t="str">
        <f t="shared" ca="1" si="926"/>
        <v>EN ESPERA-ESTÁ I TRIM O II TRIM</v>
      </c>
      <c r="GH241" s="22"/>
      <c r="GI241" s="29"/>
      <c r="GJ241" s="22"/>
      <c r="GK241" s="22"/>
      <c r="GL241" s="22"/>
      <c r="GM241" s="22"/>
      <c r="GN241" s="28"/>
      <c r="GO241" s="22"/>
      <c r="GP241" s="29" t="str">
        <f t="shared" si="866"/>
        <v>TOMAR EXAMEN</v>
      </c>
      <c r="GQ241" s="28"/>
      <c r="GR241" s="28"/>
      <c r="GS241" s="22" t="str">
        <f t="shared" si="1047"/>
        <v/>
      </c>
      <c r="GT241" s="22"/>
      <c r="GU241" s="29" t="str">
        <f t="shared" si="867"/>
        <v>TOMAR EXAMEN</v>
      </c>
      <c r="GV241" s="21" t="str">
        <f t="shared" si="868"/>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9"/>
        <v>#REF!</v>
      </c>
      <c r="HI241" s="22" t="e">
        <f t="shared" ca="1" si="870"/>
        <v>#REF!</v>
      </c>
      <c r="HJ241" s="21" t="str">
        <f t="shared" ca="1" si="871"/>
        <v>***************************************</v>
      </c>
      <c r="HK241" s="21" t="str">
        <f t="shared" si="872"/>
        <v>SIN ANTECEDENTES DE RIESGO</v>
      </c>
      <c r="HL241" s="24" t="str">
        <f t="shared" si="873"/>
        <v>APARENTEMENTE NORMAL</v>
      </c>
      <c r="HM241" s="21" t="e">
        <f t="shared" ca="1" si="874"/>
        <v>#REF!</v>
      </c>
      <c r="HN241" s="30" t="str">
        <f t="shared" si="927"/>
        <v>ACTIVA INGRESO A CPN</v>
      </c>
      <c r="HO241" s="21"/>
      <c r="HP241" s="21"/>
      <c r="HQ241" s="349"/>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5"/>
        <v>6.2857142857142856</v>
      </c>
      <c r="IA241" s="26"/>
      <c r="IB241" s="26"/>
      <c r="IC241" s="111"/>
      <c r="ID241" s="22"/>
      <c r="IE241" s="22" t="str">
        <f t="shared" ca="1" si="876"/>
        <v>EN ESPERA PARA VACUNAR</v>
      </c>
      <c r="IF241" s="22"/>
      <c r="IG241" s="22">
        <f t="shared" si="877"/>
        <v>45377</v>
      </c>
      <c r="IH241" s="29">
        <f t="shared" ca="1" si="878"/>
        <v>145</v>
      </c>
      <c r="II241" s="22" t="str">
        <f t="shared" ca="1" si="879"/>
        <v>PENDIENTE</v>
      </c>
      <c r="IJ241" s="22"/>
      <c r="IK241" s="21"/>
      <c r="IL241" s="21"/>
      <c r="IM241" s="34"/>
      <c r="IN241" s="22"/>
      <c r="IO241" s="21"/>
      <c r="IP241" s="29" t="str">
        <f t="shared" si="880"/>
        <v/>
      </c>
      <c r="IQ241" s="35"/>
      <c r="IR241" s="21"/>
      <c r="IS241" s="21"/>
      <c r="IT241" s="21"/>
      <c r="IU241" s="21"/>
      <c r="IV241" s="21"/>
      <c r="IW241" s="21"/>
      <c r="IX241" s="21"/>
      <c r="IY241" s="21"/>
      <c r="IZ241" s="21"/>
      <c r="JA241" s="21"/>
      <c r="JB241" s="30"/>
      <c r="JC241" s="21"/>
      <c r="JD241" s="36"/>
      <c r="JE241" s="21" t="str">
        <f t="shared" si="881"/>
        <v/>
      </c>
      <c r="JF241" s="30"/>
      <c r="JG241" s="21"/>
      <c r="JH241" s="21"/>
      <c r="JI241" s="21"/>
      <c r="JJ241" s="30"/>
      <c r="JK241" s="22"/>
      <c r="JL241" s="22"/>
      <c r="JM241" s="21"/>
      <c r="JN241" s="36"/>
      <c r="JO241" s="21" t="str">
        <f t="shared" si="882"/>
        <v/>
      </c>
      <c r="JP241" s="22"/>
      <c r="JQ241" s="21"/>
      <c r="JR241" s="21"/>
      <c r="JS241" s="21"/>
      <c r="JT241" s="30"/>
      <c r="JU241" s="22"/>
      <c r="JV241" s="22"/>
      <c r="JW241" s="33"/>
      <c r="JX241" s="28" t="str">
        <f t="shared" si="883"/>
        <v/>
      </c>
      <c r="JY241" s="33"/>
      <c r="JZ241" s="28" t="str">
        <f t="shared" si="884"/>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5"/>
        <v>0</v>
      </c>
      <c r="MI241" s="43" t="str">
        <f t="shared" si="929"/>
        <v/>
      </c>
      <c r="MJ241" s="43" t="str">
        <f t="shared" si="887"/>
        <v/>
      </c>
      <c r="MK241" s="43">
        <f t="shared" si="888"/>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30"/>
        <v>6.4285714285714288</v>
      </c>
      <c r="MN241" s="43">
        <f t="shared" si="931"/>
        <v>8</v>
      </c>
      <c r="MO241" s="43">
        <f t="shared" si="932"/>
        <v>2023</v>
      </c>
      <c r="MP241" s="43" t="str">
        <f t="shared" si="892"/>
        <v>III TRIMESTRE AÑO</v>
      </c>
      <c r="MQ241" s="43">
        <f t="shared" si="933"/>
        <v>29.749780989925537</v>
      </c>
      <c r="MR241" s="43">
        <f t="shared" si="894"/>
        <v>0</v>
      </c>
      <c r="MS241" s="43" t="str">
        <f t="shared" si="895"/>
        <v xml:space="preserve"> DE 25 A 29 AÑOS</v>
      </c>
      <c r="MT241" s="43">
        <f t="shared" si="896"/>
        <v>0</v>
      </c>
      <c r="MU241" s="43">
        <f t="shared" si="897"/>
        <v>0</v>
      </c>
      <c r="MV241" s="43">
        <f t="shared" si="898"/>
        <v>0</v>
      </c>
      <c r="MW241" s="43">
        <f t="shared" si="899"/>
        <v>0</v>
      </c>
      <c r="MX241" s="43" t="str">
        <f t="shared" si="900"/>
        <v/>
      </c>
      <c r="MY241" s="43" t="str">
        <f t="shared" ca="1" si="901"/>
        <v/>
      </c>
      <c r="MZ241" s="43" t="str">
        <f t="shared" si="902"/>
        <v/>
      </c>
      <c r="NA241" s="43" t="str">
        <f t="shared" si="903"/>
        <v/>
      </c>
      <c r="NB241" s="43" t="str">
        <f t="shared" si="904"/>
        <v/>
      </c>
      <c r="NC241" s="43" t="str">
        <f t="shared" si="905"/>
        <v/>
      </c>
      <c r="ND241" s="43">
        <f t="shared" ca="1" si="934"/>
        <v>0</v>
      </c>
      <c r="NE241" s="43">
        <f>IF(OR(O241&gt;0,R241&gt;0),SUM(COUNTIF(Tabla1[[#This Row],[AÑOS AL INICIO5 CPN]],"&gt;=40"),COUNTIF(AS241,"0"),COUNTIF(AR241,"SI"),COUNTIF(CC241,"SI"),COUNTIF(BQ241,"&gt;119"),COUNTIF(CI241,"&gt;=35")),"")</f>
        <v>0</v>
      </c>
      <c r="NF241" s="43" t="str">
        <f t="shared" si="935"/>
        <v/>
      </c>
      <c r="NG241" s="43">
        <f t="shared" si="908"/>
        <v>0</v>
      </c>
      <c r="NH241" s="43" t="str">
        <f t="shared" si="909"/>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6"/>
        <v>X</v>
      </c>
      <c r="NM241" s="43" t="str">
        <f t="shared" si="941"/>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12"/>
        <v>DEFINIR CON ECO</v>
      </c>
      <c r="NQ241" s="21" t="str">
        <f t="shared" si="1046"/>
        <v/>
      </c>
      <c r="NR241" s="21">
        <f t="shared" ca="1" si="937"/>
        <v>2</v>
      </c>
      <c r="NS241" s="205">
        <f t="shared" ca="1" si="914"/>
        <v>0</v>
      </c>
      <c r="NT241" s="21">
        <f t="shared" ca="1" si="915"/>
        <v>0</v>
      </c>
      <c r="NU241" s="21" t="str">
        <f t="shared" ca="1" si="916"/>
        <v>INCOMPLETO</v>
      </c>
      <c r="NV241" s="21" t="str">
        <f t="shared" ca="1" si="917"/>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8"/>
        <v>SIN VACUNAR</v>
      </c>
      <c r="NY241" s="43">
        <f>ROW(Tabla1[[#This Row],['# DE TAMIZAJES SIFILIS TOMADOS ]])</f>
        <v>241</v>
      </c>
      <c r="NZ241" s="43" t="str">
        <f t="shared" si="942"/>
        <v>Menor</v>
      </c>
      <c r="OA241" s="43" t="str">
        <f t="shared" si="943"/>
        <v>NORMAL</v>
      </c>
      <c r="OB241" s="43" t="str">
        <f t="shared" si="944"/>
        <v/>
      </c>
      <c r="OC241" s="43" t="str">
        <f t="shared" si="945"/>
        <v/>
      </c>
      <c r="OD241" s="43" t="str">
        <f t="shared" si="946"/>
        <v/>
      </c>
      <c r="OE241" s="43" t="str">
        <f t="shared" si="947"/>
        <v/>
      </c>
      <c r="OF241" s="43" t="str">
        <f t="shared" si="948"/>
        <v/>
      </c>
      <c r="OG241" s="43" t="str">
        <f t="shared" si="949"/>
        <v/>
      </c>
      <c r="OH241" s="43" t="str">
        <f t="shared" si="950"/>
        <v/>
      </c>
      <c r="OI241" s="43" t="str">
        <f t="shared" si="951"/>
        <v/>
      </c>
      <c r="OJ241" s="43" t="str">
        <f t="shared" si="952"/>
        <v/>
      </c>
      <c r="OK241" s="43" t="str">
        <f t="shared" si="953"/>
        <v/>
      </c>
      <c r="OL241" s="43" t="str">
        <f t="shared" si="954"/>
        <v/>
      </c>
      <c r="OM241" s="43" t="str">
        <f t="shared" si="955"/>
        <v/>
      </c>
      <c r="ON241" s="43" t="str">
        <f t="shared" si="956"/>
        <v/>
      </c>
      <c r="OO241" s="43" t="str">
        <f t="shared" si="957"/>
        <v/>
      </c>
      <c r="OP241" s="43" t="str">
        <f t="shared" si="958"/>
        <v/>
      </c>
      <c r="OQ241" s="43" t="str">
        <f t="shared" si="959"/>
        <v/>
      </c>
      <c r="OR241" s="43" t="str">
        <f t="shared" si="960"/>
        <v/>
      </c>
      <c r="OS241" s="43" t="str">
        <f t="shared" si="961"/>
        <v/>
      </c>
      <c r="OT241" s="43" t="str">
        <f t="shared" si="962"/>
        <v/>
      </c>
      <c r="OU241" s="43" t="str">
        <f t="shared" si="963"/>
        <v/>
      </c>
      <c r="OV241" s="110" t="str">
        <f t="shared" si="964"/>
        <v/>
      </c>
      <c r="OW241" s="43" t="str">
        <f t="shared" si="965"/>
        <v/>
      </c>
      <c r="OX241" s="43" t="str">
        <f t="shared" si="966"/>
        <v/>
      </c>
      <c r="OY241" s="43" t="str">
        <f t="shared" si="967"/>
        <v/>
      </c>
      <c r="OZ241" s="43" t="str">
        <f t="shared" si="968"/>
        <v/>
      </c>
      <c r="PA241" s="43" t="str">
        <f t="shared" si="969"/>
        <v/>
      </c>
      <c r="PB241" s="43" t="str">
        <f t="shared" si="970"/>
        <v/>
      </c>
      <c r="PC241" s="43" t="str">
        <f t="shared" si="971"/>
        <v/>
      </c>
      <c r="PD241" s="43" t="str">
        <f t="shared" si="972"/>
        <v/>
      </c>
      <c r="PE241" s="43" t="str">
        <f t="shared" si="973"/>
        <v/>
      </c>
      <c r="PF241" s="43" t="str">
        <f t="shared" si="974"/>
        <v/>
      </c>
      <c r="PG241" s="43" t="str">
        <f t="shared" si="975"/>
        <v/>
      </c>
      <c r="PH241" s="43" t="str">
        <f t="shared" si="976"/>
        <v/>
      </c>
      <c r="PI241" s="43" t="str">
        <f t="shared" si="977"/>
        <v>Menor</v>
      </c>
      <c r="PJ241" s="43" t="str">
        <f t="shared" si="978"/>
        <v>NORMAL</v>
      </c>
      <c r="PK241" s="43" t="str">
        <f t="shared" si="979"/>
        <v/>
      </c>
      <c r="PL241" s="43" t="str">
        <f t="shared" si="980"/>
        <v/>
      </c>
      <c r="PM241" s="43" t="str">
        <f t="shared" si="981"/>
        <v/>
      </c>
      <c r="PN241" s="43" t="str">
        <f t="shared" si="982"/>
        <v/>
      </c>
      <c r="PO241" s="43" t="str">
        <f t="shared" si="983"/>
        <v/>
      </c>
      <c r="PP241" s="43" t="str">
        <f t="shared" si="984"/>
        <v/>
      </c>
      <c r="PQ241" s="43" t="str">
        <f t="shared" si="985"/>
        <v/>
      </c>
      <c r="PR241" s="43" t="str">
        <f t="shared" si="986"/>
        <v/>
      </c>
      <c r="PS241" s="43" t="str">
        <f t="shared" si="987"/>
        <v/>
      </c>
      <c r="PT241" s="43" t="str">
        <f t="shared" si="988"/>
        <v/>
      </c>
      <c r="PU241" s="43" t="str">
        <f t="shared" si="989"/>
        <v/>
      </c>
      <c r="PV241" s="43" t="str">
        <f t="shared" si="990"/>
        <v/>
      </c>
      <c r="PW241" s="43" t="str">
        <f t="shared" si="991"/>
        <v/>
      </c>
      <c r="PX241" s="43" t="str">
        <f t="shared" si="992"/>
        <v/>
      </c>
      <c r="PY241" s="43" t="str">
        <f t="shared" si="993"/>
        <v/>
      </c>
      <c r="PZ241" s="43" t="str">
        <f t="shared" si="994"/>
        <v/>
      </c>
      <c r="QA241" s="43" t="str">
        <f t="shared" si="995"/>
        <v/>
      </c>
      <c r="QB241" s="43" t="str">
        <f t="shared" si="996"/>
        <v/>
      </c>
      <c r="QC241" s="43" t="str">
        <f t="shared" si="997"/>
        <v/>
      </c>
      <c r="QD241" s="43" t="str">
        <f t="shared" si="998"/>
        <v/>
      </c>
      <c r="QE241" s="43" t="str">
        <f t="shared" si="999"/>
        <v/>
      </c>
      <c r="QF241" s="43" t="str">
        <f t="shared" si="1000"/>
        <v/>
      </c>
      <c r="QG241" s="43" t="str">
        <f t="shared" si="1001"/>
        <v/>
      </c>
      <c r="QH241" s="43" t="str">
        <f t="shared" si="1002"/>
        <v/>
      </c>
      <c r="QI241" s="43" t="str">
        <f t="shared" si="1003"/>
        <v/>
      </c>
      <c r="QJ241" s="43" t="str">
        <f t="shared" si="1004"/>
        <v/>
      </c>
      <c r="QK241" s="43" t="str">
        <f t="shared" si="1005"/>
        <v/>
      </c>
      <c r="QL241" s="43" t="str">
        <f t="shared" si="1006"/>
        <v/>
      </c>
      <c r="QM241" s="43" t="str">
        <f t="shared" si="1007"/>
        <v/>
      </c>
      <c r="QN241" s="43" t="str">
        <f t="shared" si="1008"/>
        <v/>
      </c>
      <c r="QO241" s="43" t="str">
        <f t="shared" si="1009"/>
        <v/>
      </c>
      <c r="QP241" s="43" t="str">
        <f t="shared" si="1010"/>
        <v/>
      </c>
      <c r="QQ241" s="43" t="str">
        <f t="shared" si="1011"/>
        <v/>
      </c>
      <c r="QR241" s="43" t="str">
        <f t="shared" si="1012"/>
        <v>Menor</v>
      </c>
      <c r="QS241" s="43"/>
      <c r="QT241" s="21" t="str">
        <f t="shared" si="1013"/>
        <v/>
      </c>
      <c r="QU241" s="21" t="str">
        <f t="shared" si="1014"/>
        <v/>
      </c>
      <c r="QV241" s="21" t="str">
        <f t="shared" si="1015"/>
        <v/>
      </c>
      <c r="QW241" s="21" t="str">
        <f t="shared" si="1016"/>
        <v/>
      </c>
      <c r="QX241" s="21" t="str">
        <f t="shared" si="1017"/>
        <v/>
      </c>
      <c r="QY241" s="21" t="str">
        <f t="shared" si="1018"/>
        <v/>
      </c>
      <c r="QZ241" s="21" t="str">
        <f t="shared" si="1019"/>
        <v/>
      </c>
      <c r="RA241" s="21" t="str">
        <f t="shared" si="1020"/>
        <v/>
      </c>
      <c r="RB241" s="21" t="str">
        <f t="shared" si="1021"/>
        <v/>
      </c>
      <c r="RC241" s="21" t="str">
        <f t="shared" si="1022"/>
        <v/>
      </c>
      <c r="RD241" s="21" t="str">
        <f t="shared" si="1023"/>
        <v/>
      </c>
      <c r="RE241" s="21" t="str">
        <f t="shared" si="1024"/>
        <v/>
      </c>
      <c r="RF241" s="21" t="str">
        <f t="shared" si="1025"/>
        <v/>
      </c>
      <c r="RG241" s="21" t="str">
        <f t="shared" si="1026"/>
        <v/>
      </c>
      <c r="RH241" s="21" t="str">
        <f t="shared" si="1027"/>
        <v/>
      </c>
      <c r="RI241" s="21" t="str">
        <f t="shared" si="1028"/>
        <v/>
      </c>
      <c r="RJ241" s="21" t="str">
        <f t="shared" si="1029"/>
        <v/>
      </c>
      <c r="RK241" s="21" t="str">
        <f t="shared" si="1030"/>
        <v/>
      </c>
      <c r="RL241" s="21" t="str">
        <f t="shared" si="1031"/>
        <v/>
      </c>
      <c r="RM241" s="21" t="str">
        <f t="shared" si="1032"/>
        <v/>
      </c>
      <c r="RN241" s="21" t="str">
        <f t="shared" si="1033"/>
        <v/>
      </c>
      <c r="RO241" s="21" t="str">
        <f t="shared" si="1034"/>
        <v/>
      </c>
      <c r="RP241" s="21" t="str">
        <f t="shared" si="1035"/>
        <v/>
      </c>
      <c r="RQ241" s="21" t="str">
        <f t="shared" si="1036"/>
        <v/>
      </c>
      <c r="RR241" s="21" t="str">
        <f t="shared" si="1037"/>
        <v/>
      </c>
      <c r="RS241" s="21" t="str">
        <f t="shared" si="1038"/>
        <v/>
      </c>
      <c r="RT241" s="21" t="str">
        <f t="shared" si="1039"/>
        <v/>
      </c>
      <c r="RU241" s="21" t="str">
        <f t="shared" si="1040"/>
        <v/>
      </c>
      <c r="RV241" s="21">
        <f t="shared" si="1041"/>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42"/>
        <v>x</v>
      </c>
    </row>
    <row r="242" spans="1:493" ht="45" customHeight="1" x14ac:dyDescent="0.25">
      <c r="A242" s="109"/>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41"/>
        <v>23.528767123287672</v>
      </c>
      <c r="O242" s="22">
        <v>45139</v>
      </c>
      <c r="P242" s="214" t="str">
        <f t="shared" si="919"/>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2"/>
        <v>0</v>
      </c>
      <c r="BR242" s="223">
        <f t="shared" si="843"/>
        <v>45034.2</v>
      </c>
      <c r="BS242" s="224">
        <f t="shared" si="844"/>
        <v>15</v>
      </c>
      <c r="BT242" s="216" t="str">
        <f t="shared" si="845"/>
        <v>II TRIM</v>
      </c>
      <c r="BU242" s="214">
        <f t="shared" ca="1" si="928"/>
        <v>28.285714285714285</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7"/>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8"/>
        <v>45139</v>
      </c>
      <c r="CL242" s="21">
        <v>57</v>
      </c>
      <c r="CM242" s="214">
        <f t="shared" si="849"/>
        <v>22.265624999999996</v>
      </c>
      <c r="CN242" s="216">
        <f t="shared" si="850"/>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5"/>
        <v/>
      </c>
      <c r="DA242" s="21">
        <v>90</v>
      </c>
      <c r="DB242" s="21">
        <v>60</v>
      </c>
      <c r="DC242" s="217" t="str">
        <f t="shared" si="851"/>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20"/>
        <v>PLANEAR PLAN DE PARTO</v>
      </c>
      <c r="DV242" s="226" t="str">
        <f t="shared" si="921"/>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2"/>
        <v>#REF!</v>
      </c>
      <c r="DY242" s="212">
        <f>IF(R242="","",IF(R242&gt;0,MAX(Tabla1[[#This Row],[FECHA C2]:[FECHA C13]],Tabla1[[#This Row],[FECHA CONSULTA PRIMERA VEZ PROGRAMA CPN ]])))</f>
        <v>45139</v>
      </c>
      <c r="DZ242" s="216">
        <f t="shared" si="853"/>
        <v>15</v>
      </c>
      <c r="EA242" s="222">
        <f>IF(R242&gt;0,SUM(COUNTA(DF242:DQ242)+COUNTA(Tabla1[[#This Row],[FECHA CONSULTA PRIMERA VEZ PROGRAMA CPN ]])),"")</f>
        <v>2</v>
      </c>
      <c r="EB242" s="222" t="str">
        <f t="shared" si="854"/>
        <v>NO</v>
      </c>
      <c r="EC242" s="214">
        <f t="shared" si="855"/>
        <v>8</v>
      </c>
      <c r="ED242" s="227">
        <f t="shared" si="856"/>
        <v>0.25</v>
      </c>
      <c r="EE242" s="22">
        <v>45139</v>
      </c>
      <c r="EF242" s="22"/>
      <c r="EG242" s="22">
        <v>45139</v>
      </c>
      <c r="EH242" s="22"/>
      <c r="EI242" s="22">
        <v>45139</v>
      </c>
      <c r="EJ242" s="22"/>
      <c r="EK242" s="22"/>
      <c r="EL242" s="21"/>
      <c r="EM242" s="21">
        <v>14.1</v>
      </c>
      <c r="EN242" s="22">
        <v>45115</v>
      </c>
      <c r="EO242" s="222">
        <f t="shared" si="857"/>
        <v>11.571428571428571</v>
      </c>
      <c r="EP242" s="214" t="str">
        <f t="shared" si="858"/>
        <v>NO DAR SULFATO FERROSO</v>
      </c>
      <c r="EQ242" s="216" t="str">
        <f t="shared" si="859"/>
        <v>I TRIM</v>
      </c>
      <c r="ER242" s="24"/>
      <c r="ES242" s="22"/>
      <c r="ET242" s="29" t="str">
        <f t="shared" ca="1" si="922"/>
        <v>EN SEMANA 28 TOMA INMEDIATA DE EXAMEN</v>
      </c>
      <c r="EU242" s="25" t="str">
        <f t="shared" si="860"/>
        <v/>
      </c>
      <c r="EV242" s="24" t="s">
        <v>1510</v>
      </c>
      <c r="EW242" s="22">
        <v>45115</v>
      </c>
      <c r="EX242" s="22"/>
      <c r="EY242" s="29">
        <f t="shared" si="1043"/>
        <v>11.571428571428571</v>
      </c>
      <c r="EZ242" s="25" t="str">
        <f t="shared" si="1044"/>
        <v>SIN RIESGO DE ISOINMUNIZACIÓN</v>
      </c>
      <c r="FA242" s="21">
        <v>81</v>
      </c>
      <c r="FB242" s="22">
        <v>45115</v>
      </c>
      <c r="FC242" s="29">
        <f t="shared" si="861"/>
        <v>11.571428571428571</v>
      </c>
      <c r="FD242" s="29"/>
      <c r="FE242" s="29"/>
      <c r="FF242" s="29"/>
      <c r="FG242" s="21" t="str">
        <f t="shared" ca="1" si="862"/>
        <v>TOMAR PTOG</v>
      </c>
      <c r="FH242" s="31"/>
      <c r="FI242" s="29" t="str">
        <f t="shared" si="863"/>
        <v>TOMAR EXAMEN</v>
      </c>
      <c r="FJ242" s="22" t="s">
        <v>867</v>
      </c>
      <c r="FK242" s="22">
        <v>45115</v>
      </c>
      <c r="FL242" s="29">
        <f t="shared" ca="1" si="864"/>
        <v>11.571428571428571</v>
      </c>
      <c r="FM242" s="22"/>
      <c r="FN242" s="22"/>
      <c r="FO242" s="29" t="str">
        <f t="shared" ca="1" si="923"/>
        <v>PIERDE TOMA DE TAMIZAJE</v>
      </c>
      <c r="FP242" s="22"/>
      <c r="FQ242" s="32"/>
      <c r="FR242" s="29" t="str">
        <f t="shared" ca="1" si="924"/>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5"/>
        <v>TOMAR EXAMEN</v>
      </c>
      <c r="FY242" s="22" t="s">
        <v>868</v>
      </c>
      <c r="FZ242" s="22">
        <v>45115</v>
      </c>
      <c r="GA242" s="29">
        <f t="shared" ca="1" si="939"/>
        <v>11.571428571428571</v>
      </c>
      <c r="GB242" s="22"/>
      <c r="GC242" s="22"/>
      <c r="GD242" s="29" t="str">
        <f t="shared" ca="1" si="1048"/>
        <v>PIERDE TOMA DE TAMIZAJE</v>
      </c>
      <c r="GE242" s="22"/>
      <c r="GF242" s="22"/>
      <c r="GG242" s="29" t="str">
        <f t="shared" ca="1" si="926"/>
        <v>EN RANGO PARA TOMAR EXAMEN</v>
      </c>
      <c r="GH242" s="22"/>
      <c r="GI242" s="29"/>
      <c r="GJ242" s="22"/>
      <c r="GK242" s="22"/>
      <c r="GL242" s="22"/>
      <c r="GM242" s="22"/>
      <c r="GN242" s="28" t="s">
        <v>869</v>
      </c>
      <c r="GO242" s="22">
        <v>45115</v>
      </c>
      <c r="GP242" s="29">
        <f t="shared" si="866"/>
        <v>11.571428571428571</v>
      </c>
      <c r="GQ242" s="28" t="s">
        <v>869</v>
      </c>
      <c r="GR242" s="28" t="s">
        <v>869</v>
      </c>
      <c r="GS242" s="22" t="str">
        <f t="shared" si="1047"/>
        <v>CONTROL Igm</v>
      </c>
      <c r="GT242" s="22">
        <v>45115</v>
      </c>
      <c r="GU242" s="29">
        <f t="shared" si="867"/>
        <v>11.571428571428571</v>
      </c>
      <c r="GV242" s="21" t="str">
        <f t="shared" si="868"/>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9"/>
        <v>#REF!</v>
      </c>
      <c r="HI242" s="22" t="e">
        <f t="shared" ca="1" si="870"/>
        <v>#REF!</v>
      </c>
      <c r="HJ242" s="21" t="str">
        <f t="shared" ca="1" si="871"/>
        <v>**********************MULTIPARIDAD*****************</v>
      </c>
      <c r="HK242" s="21" t="str">
        <f t="shared" si="872"/>
        <v>SIN ANTECEDENTES DE RIESGO</v>
      </c>
      <c r="HL242" s="24" t="str">
        <f t="shared" si="873"/>
        <v>APARENTEMENTE NORMAL</v>
      </c>
      <c r="HM242" s="21" t="e">
        <f t="shared" ca="1" si="874"/>
        <v>#REF!</v>
      </c>
      <c r="HN242" s="30" t="str">
        <f t="shared" si="927"/>
        <v>ACTIVA INGRESO A CPN</v>
      </c>
      <c r="HO242" s="21"/>
      <c r="HP242" s="21"/>
      <c r="HQ242" s="349"/>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5"/>
        <v>PENDIENTE CONSULTA</v>
      </c>
      <c r="IA242" s="26"/>
      <c r="IB242" s="26"/>
      <c r="IC242" s="111"/>
      <c r="ID242" s="22"/>
      <c r="IE242" s="22" t="str">
        <f t="shared" ca="1" si="876"/>
        <v>INASISTENTE</v>
      </c>
      <c r="IF242" s="22"/>
      <c r="IG242" s="22">
        <f t="shared" si="877"/>
        <v>45314</v>
      </c>
      <c r="IH242" s="29">
        <f t="shared" ca="1" si="878"/>
        <v>82</v>
      </c>
      <c r="II242" s="22" t="str">
        <f t="shared" ca="1" si="879"/>
        <v>PENDIENTE</v>
      </c>
      <c r="IJ242" s="22"/>
      <c r="IK242" s="21"/>
      <c r="IL242" s="21"/>
      <c r="IM242" s="34"/>
      <c r="IN242" s="22"/>
      <c r="IO242" s="21"/>
      <c r="IP242" s="29" t="str">
        <f t="shared" si="880"/>
        <v/>
      </c>
      <c r="IQ242" s="35"/>
      <c r="IR242" s="21"/>
      <c r="IS242" s="21"/>
      <c r="IT242" s="21"/>
      <c r="IU242" s="21"/>
      <c r="IV242" s="21"/>
      <c r="IW242" s="21"/>
      <c r="IX242" s="21"/>
      <c r="IY242" s="21"/>
      <c r="IZ242" s="21"/>
      <c r="JA242" s="21"/>
      <c r="JB242" s="30"/>
      <c r="JC242" s="21"/>
      <c r="JD242" s="36"/>
      <c r="JE242" s="21" t="str">
        <f t="shared" si="881"/>
        <v/>
      </c>
      <c r="JF242" s="30"/>
      <c r="JG242" s="21"/>
      <c r="JH242" s="21"/>
      <c r="JI242" s="21"/>
      <c r="JJ242" s="30"/>
      <c r="JK242" s="22"/>
      <c r="JL242" s="22"/>
      <c r="JM242" s="21"/>
      <c r="JN242" s="36"/>
      <c r="JO242" s="21" t="str">
        <f t="shared" si="882"/>
        <v/>
      </c>
      <c r="JP242" s="22"/>
      <c r="JQ242" s="21"/>
      <c r="JR242" s="21"/>
      <c r="JS242" s="21"/>
      <c r="JT242" s="30"/>
      <c r="JU242" s="22"/>
      <c r="JV242" s="22"/>
      <c r="JW242" s="33"/>
      <c r="JX242" s="28" t="str">
        <f t="shared" si="883"/>
        <v/>
      </c>
      <c r="JY242" s="33"/>
      <c r="JZ242" s="28" t="str">
        <f t="shared" si="884"/>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5"/>
        <v>0</v>
      </c>
      <c r="MI242" s="43" t="str">
        <f t="shared" si="929"/>
        <v/>
      </c>
      <c r="MJ242" s="43" t="str">
        <f t="shared" si="887"/>
        <v/>
      </c>
      <c r="MK242" s="43">
        <f t="shared" si="888"/>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30"/>
        <v>15</v>
      </c>
      <c r="MN242" s="43">
        <f t="shared" si="931"/>
        <v>8</v>
      </c>
      <c r="MO242" s="43">
        <f t="shared" si="932"/>
        <v>2023</v>
      </c>
      <c r="MP242" s="43" t="str">
        <f t="shared" si="892"/>
        <v>III TRIMESTRE AÑO</v>
      </c>
      <c r="MQ242" s="43">
        <f t="shared" si="933"/>
        <v>22.922141918528251</v>
      </c>
      <c r="MR242" s="43">
        <f t="shared" si="894"/>
        <v>0</v>
      </c>
      <c r="MS242" s="43" t="str">
        <f t="shared" si="895"/>
        <v xml:space="preserve"> DE 20 A 24 AÑOS</v>
      </c>
      <c r="MT242" s="43">
        <f t="shared" si="896"/>
        <v>0</v>
      </c>
      <c r="MU242" s="43">
        <f t="shared" si="897"/>
        <v>1</v>
      </c>
      <c r="MV242" s="43">
        <f t="shared" si="898"/>
        <v>0</v>
      </c>
      <c r="MW242" s="43">
        <f t="shared" si="899"/>
        <v>0</v>
      </c>
      <c r="MX242" s="43" t="str">
        <f t="shared" si="900"/>
        <v/>
      </c>
      <c r="MY242" s="43" t="str">
        <f t="shared" ca="1" si="901"/>
        <v/>
      </c>
      <c r="MZ242" s="43" t="str">
        <f t="shared" si="902"/>
        <v/>
      </c>
      <c r="NA242" s="43" t="str">
        <f t="shared" si="903"/>
        <v/>
      </c>
      <c r="NB242" s="43" t="str">
        <f t="shared" si="904"/>
        <v/>
      </c>
      <c r="NC242" s="43" t="str">
        <f t="shared" si="905"/>
        <v/>
      </c>
      <c r="ND242" s="43">
        <f t="shared" ca="1" si="934"/>
        <v>1</v>
      </c>
      <c r="NE242" s="43">
        <f>IF(OR(O242&gt;0,R242&gt;0),SUM(COUNTIF(Tabla1[[#This Row],[AÑOS AL INICIO5 CPN]],"&gt;=40"),COUNTIF(AS242,"0"),COUNTIF(AR242,"SI"),COUNTIF(CC242,"SI"),COUNTIF(BQ242,"&gt;119"),COUNTIF(CI242,"&gt;=35")),"")</f>
        <v>1</v>
      </c>
      <c r="NF242" s="43" t="str">
        <f t="shared" si="935"/>
        <v/>
      </c>
      <c r="NG242" s="43">
        <f t="shared" si="908"/>
        <v>0</v>
      </c>
      <c r="NH242" s="43">
        <f t="shared" si="909"/>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6"/>
        <v>X</v>
      </c>
      <c r="NM242" s="43" t="str">
        <f t="shared" si="941"/>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12"/>
        <v>II TRIM</v>
      </c>
      <c r="NQ242" s="21" t="str">
        <f t="shared" si="1046"/>
        <v/>
      </c>
      <c r="NR242" s="21">
        <f t="shared" ca="1" si="937"/>
        <v>2</v>
      </c>
      <c r="NS242" s="205">
        <f t="shared" ca="1" si="914"/>
        <v>1</v>
      </c>
      <c r="NT242" s="21">
        <f t="shared" ca="1" si="915"/>
        <v>1</v>
      </c>
      <c r="NU242" s="21" t="str">
        <f t="shared" ca="1" si="916"/>
        <v>INCOMPLETO</v>
      </c>
      <c r="NV242" s="21" t="str">
        <f t="shared" ca="1" si="917"/>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8"/>
        <v>SIN VACUNAR</v>
      </c>
      <c r="NY242" s="43">
        <f>ROW(Tabla1[[#This Row],['# DE TAMIZAJES SIFILIS TOMADOS ]])</f>
        <v>242</v>
      </c>
      <c r="NZ242" s="43">
        <f t="shared" si="942"/>
        <v>15</v>
      </c>
      <c r="OA242" s="43" t="str">
        <f t="shared" si="943"/>
        <v/>
      </c>
      <c r="OB242" s="43" t="str">
        <f t="shared" si="944"/>
        <v/>
      </c>
      <c r="OC242" s="43" t="str">
        <f t="shared" si="945"/>
        <v/>
      </c>
      <c r="OD242" s="43" t="str">
        <f t="shared" si="946"/>
        <v/>
      </c>
      <c r="OE242" s="43" t="str">
        <f t="shared" si="947"/>
        <v/>
      </c>
      <c r="OF242" s="43" t="str">
        <f t="shared" si="948"/>
        <v/>
      </c>
      <c r="OG242" s="43" t="str">
        <f t="shared" si="949"/>
        <v>NORMAL</v>
      </c>
      <c r="OH242" s="43" t="str">
        <f t="shared" si="950"/>
        <v/>
      </c>
      <c r="OI242" s="43" t="str">
        <f t="shared" si="951"/>
        <v/>
      </c>
      <c r="OJ242" s="43" t="str">
        <f t="shared" si="952"/>
        <v/>
      </c>
      <c r="OK242" s="43" t="str">
        <f t="shared" si="953"/>
        <v/>
      </c>
      <c r="OL242" s="43" t="str">
        <f t="shared" si="954"/>
        <v/>
      </c>
      <c r="OM242" s="43" t="str">
        <f t="shared" si="955"/>
        <v/>
      </c>
      <c r="ON242" s="43" t="str">
        <f t="shared" si="956"/>
        <v/>
      </c>
      <c r="OO242" s="43" t="str">
        <f t="shared" si="957"/>
        <v/>
      </c>
      <c r="OP242" s="43" t="str">
        <f t="shared" si="958"/>
        <v/>
      </c>
      <c r="OQ242" s="43" t="str">
        <f t="shared" si="959"/>
        <v/>
      </c>
      <c r="OR242" s="43" t="str">
        <f t="shared" si="960"/>
        <v/>
      </c>
      <c r="OS242" s="43" t="str">
        <f t="shared" si="961"/>
        <v/>
      </c>
      <c r="OT242" s="43" t="str">
        <f t="shared" si="962"/>
        <v/>
      </c>
      <c r="OU242" s="43" t="str">
        <f t="shared" si="963"/>
        <v/>
      </c>
      <c r="OV242" s="110" t="str">
        <f t="shared" si="964"/>
        <v/>
      </c>
      <c r="OW242" s="43" t="str">
        <f t="shared" si="965"/>
        <v/>
      </c>
      <c r="OX242" s="43" t="str">
        <f t="shared" si="966"/>
        <v/>
      </c>
      <c r="OY242" s="43" t="str">
        <f t="shared" si="967"/>
        <v/>
      </c>
      <c r="OZ242" s="43" t="str">
        <f t="shared" si="968"/>
        <v/>
      </c>
      <c r="PA242" s="43" t="str">
        <f t="shared" si="969"/>
        <v/>
      </c>
      <c r="PB242" s="43" t="str">
        <f t="shared" si="970"/>
        <v/>
      </c>
      <c r="PC242" s="43" t="str">
        <f t="shared" si="971"/>
        <v/>
      </c>
      <c r="PD242" s="43" t="str">
        <f t="shared" si="972"/>
        <v/>
      </c>
      <c r="PE242" s="43" t="str">
        <f t="shared" si="973"/>
        <v/>
      </c>
      <c r="PF242" s="43" t="str">
        <f t="shared" si="974"/>
        <v/>
      </c>
      <c r="PG242" s="43" t="str">
        <f t="shared" si="975"/>
        <v/>
      </c>
      <c r="PH242" s="43" t="str">
        <f t="shared" si="976"/>
        <v/>
      </c>
      <c r="PI242" s="43">
        <f t="shared" si="977"/>
        <v>15</v>
      </c>
      <c r="PJ242" s="43" t="str">
        <f t="shared" si="978"/>
        <v/>
      </c>
      <c r="PK242" s="43" t="str">
        <f t="shared" si="979"/>
        <v/>
      </c>
      <c r="PL242" s="43" t="str">
        <f t="shared" si="980"/>
        <v/>
      </c>
      <c r="PM242" s="43" t="str">
        <f t="shared" si="981"/>
        <v/>
      </c>
      <c r="PN242" s="43" t="str">
        <f t="shared" si="982"/>
        <v/>
      </c>
      <c r="PO242" s="43" t="str">
        <f t="shared" si="983"/>
        <v/>
      </c>
      <c r="PP242" s="43" t="str">
        <f t="shared" si="984"/>
        <v>NORMAL</v>
      </c>
      <c r="PQ242" s="43" t="str">
        <f t="shared" si="985"/>
        <v/>
      </c>
      <c r="PR242" s="43" t="str">
        <f t="shared" si="986"/>
        <v/>
      </c>
      <c r="PS242" s="43" t="str">
        <f t="shared" si="987"/>
        <v/>
      </c>
      <c r="PT242" s="43" t="str">
        <f t="shared" si="988"/>
        <v/>
      </c>
      <c r="PU242" s="43" t="str">
        <f t="shared" si="989"/>
        <v/>
      </c>
      <c r="PV242" s="43" t="str">
        <f t="shared" si="990"/>
        <v/>
      </c>
      <c r="PW242" s="43" t="str">
        <f t="shared" si="991"/>
        <v/>
      </c>
      <c r="PX242" s="43" t="str">
        <f t="shared" si="992"/>
        <v/>
      </c>
      <c r="PY242" s="43" t="str">
        <f t="shared" si="993"/>
        <v/>
      </c>
      <c r="PZ242" s="43" t="str">
        <f t="shared" si="994"/>
        <v/>
      </c>
      <c r="QA242" s="43" t="str">
        <f t="shared" si="995"/>
        <v/>
      </c>
      <c r="QB242" s="43" t="str">
        <f t="shared" si="996"/>
        <v/>
      </c>
      <c r="QC242" s="43" t="str">
        <f t="shared" si="997"/>
        <v/>
      </c>
      <c r="QD242" s="43" t="str">
        <f t="shared" si="998"/>
        <v/>
      </c>
      <c r="QE242" s="43" t="str">
        <f t="shared" si="999"/>
        <v/>
      </c>
      <c r="QF242" s="43" t="str">
        <f t="shared" si="1000"/>
        <v/>
      </c>
      <c r="QG242" s="43" t="str">
        <f t="shared" si="1001"/>
        <v/>
      </c>
      <c r="QH242" s="43" t="str">
        <f t="shared" si="1002"/>
        <v/>
      </c>
      <c r="QI242" s="43" t="str">
        <f t="shared" si="1003"/>
        <v/>
      </c>
      <c r="QJ242" s="43" t="str">
        <f t="shared" si="1004"/>
        <v/>
      </c>
      <c r="QK242" s="43" t="str">
        <f t="shared" si="1005"/>
        <v/>
      </c>
      <c r="QL242" s="43" t="str">
        <f t="shared" si="1006"/>
        <v/>
      </c>
      <c r="QM242" s="43" t="str">
        <f t="shared" si="1007"/>
        <v/>
      </c>
      <c r="QN242" s="43" t="str">
        <f t="shared" si="1008"/>
        <v/>
      </c>
      <c r="QO242" s="43" t="str">
        <f t="shared" si="1009"/>
        <v/>
      </c>
      <c r="QP242" s="43" t="str">
        <f t="shared" si="1010"/>
        <v/>
      </c>
      <c r="QQ242" s="43" t="str">
        <f t="shared" si="1011"/>
        <v/>
      </c>
      <c r="QR242" s="43">
        <f t="shared" si="1012"/>
        <v>15</v>
      </c>
      <c r="QS242" s="43"/>
      <c r="QT242" s="21" t="str">
        <f t="shared" si="1013"/>
        <v/>
      </c>
      <c r="QU242" s="21" t="str">
        <f t="shared" si="1014"/>
        <v/>
      </c>
      <c r="QV242" s="21" t="str">
        <f t="shared" si="1015"/>
        <v/>
      </c>
      <c r="QW242" s="21" t="str">
        <f t="shared" si="1016"/>
        <v/>
      </c>
      <c r="QX242" s="21" t="str">
        <f t="shared" si="1017"/>
        <v/>
      </c>
      <c r="QY242" s="21" t="str">
        <f t="shared" si="1018"/>
        <v/>
      </c>
      <c r="QZ242" s="21" t="str">
        <f t="shared" si="1019"/>
        <v/>
      </c>
      <c r="RA242" s="21" t="str">
        <f t="shared" si="1020"/>
        <v/>
      </c>
      <c r="RB242" s="21" t="str">
        <f t="shared" si="1021"/>
        <v/>
      </c>
      <c r="RC242" s="21" t="str">
        <f t="shared" si="1022"/>
        <v/>
      </c>
      <c r="RD242" s="21" t="str">
        <f t="shared" si="1023"/>
        <v/>
      </c>
      <c r="RE242" s="21" t="str">
        <f t="shared" si="1024"/>
        <v/>
      </c>
      <c r="RF242" s="21" t="str">
        <f t="shared" si="1025"/>
        <v/>
      </c>
      <c r="RG242" s="21" t="str">
        <f t="shared" si="1026"/>
        <v/>
      </c>
      <c r="RH242" s="21" t="str">
        <f t="shared" si="1027"/>
        <v/>
      </c>
      <c r="RI242" s="21" t="str">
        <f t="shared" si="1028"/>
        <v/>
      </c>
      <c r="RJ242" s="21" t="str">
        <f t="shared" si="1029"/>
        <v/>
      </c>
      <c r="RK242" s="21" t="str">
        <f t="shared" si="1030"/>
        <v/>
      </c>
      <c r="RL242" s="21" t="str">
        <f t="shared" si="1031"/>
        <v/>
      </c>
      <c r="RM242" s="21" t="str">
        <f t="shared" si="1032"/>
        <v/>
      </c>
      <c r="RN242" s="21" t="str">
        <f t="shared" si="1033"/>
        <v/>
      </c>
      <c r="RO242" s="21" t="str">
        <f t="shared" si="1034"/>
        <v/>
      </c>
      <c r="RP242" s="21" t="str">
        <f t="shared" si="1035"/>
        <v/>
      </c>
      <c r="RQ242" s="21" t="str">
        <f t="shared" si="1036"/>
        <v/>
      </c>
      <c r="RR242" s="21" t="str">
        <f t="shared" si="1037"/>
        <v/>
      </c>
      <c r="RS242" s="21" t="str">
        <f t="shared" si="1038"/>
        <v/>
      </c>
      <c r="RT242" s="21" t="str">
        <f t="shared" si="1039"/>
        <v/>
      </c>
      <c r="RU242" s="21" t="str">
        <f t="shared" si="1040"/>
        <v/>
      </c>
      <c r="RV242" s="21">
        <f t="shared" si="1041"/>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42"/>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41"/>
        <v>37.753424657534246</v>
      </c>
      <c r="O243" s="22">
        <v>45140</v>
      </c>
      <c r="P243" s="214" t="str">
        <f t="shared" si="919"/>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2"/>
        <v>0</v>
      </c>
      <c r="BR243" s="223" t="str">
        <f t="shared" si="843"/>
        <v/>
      </c>
      <c r="BS243" s="224">
        <f t="shared" si="844"/>
        <v>12.714285714285714</v>
      </c>
      <c r="BT243" s="216" t="str">
        <f t="shared" si="845"/>
        <v>DEFINIR CON ECO</v>
      </c>
      <c r="BU243" s="214">
        <f t="shared" ca="1" si="928"/>
        <v>25.857142857142858</v>
      </c>
      <c r="BV243" s="25"/>
      <c r="BW243" s="22"/>
      <c r="BX243" s="28"/>
      <c r="BY243" s="28"/>
      <c r="BZ243" s="22"/>
      <c r="CA243" s="21"/>
      <c r="CB243" s="26"/>
      <c r="CC243" s="26"/>
      <c r="CD243" s="26"/>
      <c r="CE243" s="26"/>
      <c r="CF243" s="22" t="s">
        <v>1517</v>
      </c>
      <c r="CG243" s="21">
        <v>1.5</v>
      </c>
      <c r="CH243" s="21">
        <v>66</v>
      </c>
      <c r="CI243" s="214">
        <f t="shared" si="847"/>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8"/>
        <v>45140</v>
      </c>
      <c r="CL243" s="21">
        <v>66</v>
      </c>
      <c r="CM243" s="214">
        <f t="shared" si="849"/>
        <v>29.333333333333332</v>
      </c>
      <c r="CN243" s="216">
        <f t="shared" si="850"/>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5"/>
        <v/>
      </c>
      <c r="DA243" s="21">
        <v>90</v>
      </c>
      <c r="DB243" s="21">
        <v>60</v>
      </c>
      <c r="DC243" s="217" t="str">
        <f t="shared" si="851"/>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20"/>
        <v>EN ESPERA</v>
      </c>
      <c r="DV243" s="226" t="str">
        <f t="shared" si="921"/>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2"/>
        <v>#REF!</v>
      </c>
      <c r="DY243" s="212">
        <f>IF(R243="","",IF(R243&gt;0,MAX(Tabla1[[#This Row],[FECHA C2]:[FECHA C13]],Tabla1[[#This Row],[FECHA CONSULTA PRIMERA VEZ PROGRAMA CPN ]])))</f>
        <v>45140</v>
      </c>
      <c r="DZ243" s="216">
        <f t="shared" si="853"/>
        <v>12</v>
      </c>
      <c r="EA243" s="222">
        <f>IF(R243&gt;0,SUM(COUNTA(DF243:DQ243)+COUNTA(Tabla1[[#This Row],[FECHA CONSULTA PRIMERA VEZ PROGRAMA CPN ]])),"")</f>
        <v>2</v>
      </c>
      <c r="EB243" s="222" t="str">
        <f t="shared" si="854"/>
        <v>NO</v>
      </c>
      <c r="EC243" s="214">
        <f t="shared" si="855"/>
        <v>8</v>
      </c>
      <c r="ED243" s="227">
        <f t="shared" si="856"/>
        <v>0.25</v>
      </c>
      <c r="EE243" s="22">
        <v>45140</v>
      </c>
      <c r="EF243" s="22"/>
      <c r="EG243" s="22">
        <v>45140</v>
      </c>
      <c r="EH243" s="22"/>
      <c r="EI243" s="22">
        <v>45140</v>
      </c>
      <c r="EJ243" s="22"/>
      <c r="EK243" s="22"/>
      <c r="EL243" s="21"/>
      <c r="EM243" s="21"/>
      <c r="EN243" s="22"/>
      <c r="EO243" s="222" t="str">
        <f t="shared" si="857"/>
        <v>TOMAR EXAMEN</v>
      </c>
      <c r="EP243" s="214" t="str">
        <f t="shared" si="858"/>
        <v/>
      </c>
      <c r="EQ243" s="216" t="str">
        <f t="shared" si="859"/>
        <v>POR DEFINIR</v>
      </c>
      <c r="ER243" s="24"/>
      <c r="ES243" s="22"/>
      <c r="ET243" s="29" t="str">
        <f t="shared" ca="1" si="922"/>
        <v>PROGRAMAR TOMA HEMOGLOBINA A SEM 28</v>
      </c>
      <c r="EU243" s="25" t="str">
        <f t="shared" si="860"/>
        <v/>
      </c>
      <c r="EV243" s="24"/>
      <c r="EW243" s="24"/>
      <c r="EX243" s="22"/>
      <c r="EY243" s="29" t="str">
        <f t="shared" si="1043"/>
        <v>TOMAR EXAMEN</v>
      </c>
      <c r="EZ243" s="25" t="str">
        <f t="shared" ca="1" si="1044"/>
        <v/>
      </c>
      <c r="FA243" s="21"/>
      <c r="FB243" s="22"/>
      <c r="FC243" s="29" t="str">
        <f t="shared" si="861"/>
        <v>TOMAR EXAMEN</v>
      </c>
      <c r="FD243" s="29"/>
      <c r="FE243" s="29"/>
      <c r="FF243" s="29"/>
      <c r="FG243" s="21" t="str">
        <f t="shared" ca="1" si="862"/>
        <v>TOMAR PTOG</v>
      </c>
      <c r="FH243" s="31"/>
      <c r="FI243" s="29" t="str">
        <f t="shared" si="863"/>
        <v>TOMAR EXAMEN</v>
      </c>
      <c r="FJ243" s="22"/>
      <c r="FK243" s="22"/>
      <c r="FL243" s="29" t="str">
        <f t="shared" ca="1" si="864"/>
        <v>PIERDE TOMA DE TAMIZAJE</v>
      </c>
      <c r="FM243" s="22"/>
      <c r="FN243" s="32"/>
      <c r="FO243" s="29" t="str">
        <f t="shared" ca="1" si="923"/>
        <v>TOMA INMEDIATA DE TAMIZAJE</v>
      </c>
      <c r="FP243" s="22"/>
      <c r="FQ243" s="32"/>
      <c r="FR243" s="29" t="str">
        <f t="shared" ca="1" si="924"/>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5"/>
        <v>TOMAR EXAMEN</v>
      </c>
      <c r="FY243" s="22"/>
      <c r="FZ243" s="22"/>
      <c r="GA243" s="29" t="str">
        <f t="shared" ref="GA243" ca="1" si="1050">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8"/>
        <v>TOMA INMEDIATA DE TAMIZAJE</v>
      </c>
      <c r="GE243" s="22"/>
      <c r="GF243" s="22"/>
      <c r="GG243" s="29" t="str">
        <f t="shared" ca="1" si="926"/>
        <v>EN ESPERA-ESTÁ I TRIM O II TRIM</v>
      </c>
      <c r="GH243" s="22"/>
      <c r="GI243" s="29"/>
      <c r="GJ243" s="22"/>
      <c r="GK243" s="22"/>
      <c r="GL243" s="22"/>
      <c r="GM243" s="22"/>
      <c r="GN243" s="28"/>
      <c r="GO243" s="22"/>
      <c r="GP243" s="29" t="str">
        <f t="shared" si="866"/>
        <v>TOMAR EXAMEN</v>
      </c>
      <c r="GQ243" s="28"/>
      <c r="GR243" s="28"/>
      <c r="GS243" s="22" t="str">
        <f t="shared" si="1047"/>
        <v/>
      </c>
      <c r="GT243" s="22"/>
      <c r="GU243" s="29" t="str">
        <f t="shared" si="867"/>
        <v>TOMAR EXAMEN</v>
      </c>
      <c r="GV243" s="21" t="str">
        <f t="shared" si="868"/>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9"/>
        <v>#REF!</v>
      </c>
      <c r="HI243" s="22" t="e">
        <f t="shared" ca="1" si="870"/>
        <v>#REF!</v>
      </c>
      <c r="HJ243" s="21" t="str">
        <f t="shared" ca="1" si="871"/>
        <v>************************RIESGO POR EDAD***************</v>
      </c>
      <c r="HK243" s="21" t="str">
        <f t="shared" si="872"/>
        <v>SIN ANTECEDENTES DE RIESGO</v>
      </c>
      <c r="HL243" s="24" t="str">
        <f t="shared" si="873"/>
        <v>APARENTEMENTE NORMAL</v>
      </c>
      <c r="HM243" s="21" t="e">
        <f t="shared" ca="1" si="874"/>
        <v>#REF!</v>
      </c>
      <c r="HN243" s="30" t="str">
        <f t="shared" si="927"/>
        <v>ACTIVA INGRESO A CPN</v>
      </c>
      <c r="HO243" s="21"/>
      <c r="HP243" s="21" t="s">
        <v>1626</v>
      </c>
      <c r="HQ243" s="349">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5"/>
        <v>PENDIENTE CONSULTA</v>
      </c>
      <c r="IA243" s="26"/>
      <c r="IB243" s="26"/>
      <c r="IC243" s="111"/>
      <c r="ID243" s="22"/>
      <c r="IE243" s="22" t="str">
        <f t="shared" ca="1" si="876"/>
        <v>PROGRAMAR APLICACION DE VACUNA</v>
      </c>
      <c r="IF243" s="22"/>
      <c r="IG243" s="22">
        <f t="shared" si="877"/>
        <v>45331</v>
      </c>
      <c r="IH243" s="29">
        <f t="shared" ca="1" si="878"/>
        <v>99</v>
      </c>
      <c r="II243" s="22" t="str">
        <f t="shared" ca="1" si="879"/>
        <v>PENDIENTE</v>
      </c>
      <c r="IJ243" s="22"/>
      <c r="IK243" s="21"/>
      <c r="IL243" s="21"/>
      <c r="IM243" s="34"/>
      <c r="IN243" s="22"/>
      <c r="IO243" s="21"/>
      <c r="IP243" s="29" t="str">
        <f t="shared" si="880"/>
        <v/>
      </c>
      <c r="IQ243" s="35"/>
      <c r="IR243" s="21"/>
      <c r="IS243" s="21"/>
      <c r="IT243" s="21"/>
      <c r="IU243" s="21"/>
      <c r="IV243" s="21"/>
      <c r="IW243" s="21"/>
      <c r="IX243" s="21"/>
      <c r="IY243" s="21"/>
      <c r="IZ243" s="21"/>
      <c r="JA243" s="21"/>
      <c r="JB243" s="30"/>
      <c r="JC243" s="21"/>
      <c r="JD243" s="36"/>
      <c r="JE243" s="21" t="str">
        <f t="shared" si="881"/>
        <v/>
      </c>
      <c r="JF243" s="30"/>
      <c r="JG243" s="21"/>
      <c r="JH243" s="21"/>
      <c r="JI243" s="21"/>
      <c r="JJ243" s="30"/>
      <c r="JK243" s="22"/>
      <c r="JL243" s="22"/>
      <c r="JM243" s="21"/>
      <c r="JN243" s="36"/>
      <c r="JO243" s="21" t="str">
        <f t="shared" si="882"/>
        <v/>
      </c>
      <c r="JP243" s="22"/>
      <c r="JQ243" s="21"/>
      <c r="JR243" s="21"/>
      <c r="JS243" s="21"/>
      <c r="JT243" s="30"/>
      <c r="JU243" s="22"/>
      <c r="JV243" s="22"/>
      <c r="JW243" s="33"/>
      <c r="JX243" s="28" t="str">
        <f t="shared" si="883"/>
        <v/>
      </c>
      <c r="JY243" s="33"/>
      <c r="JZ243" s="28" t="str">
        <f t="shared" si="884"/>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5"/>
        <v>0</v>
      </c>
      <c r="MI243" s="43" t="str">
        <f t="shared" si="929"/>
        <v/>
      </c>
      <c r="MJ243" s="43" t="str">
        <f t="shared" si="887"/>
        <v/>
      </c>
      <c r="MK243" s="43">
        <f t="shared" si="888"/>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30"/>
        <v>12.714285714285714</v>
      </c>
      <c r="MN243" s="43">
        <f t="shared" si="931"/>
        <v>8</v>
      </c>
      <c r="MO243" s="43">
        <f t="shared" si="932"/>
        <v>2023</v>
      </c>
      <c r="MP243" s="43" t="str">
        <f t="shared" si="892"/>
        <v>III TRIMESTRE AÑO</v>
      </c>
      <c r="MQ243" s="43">
        <f t="shared" si="933"/>
        <v>36.93878668418747</v>
      </c>
      <c r="MR243" s="43">
        <f t="shared" si="894"/>
        <v>2</v>
      </c>
      <c r="MS243" s="43" t="str">
        <f t="shared" si="895"/>
        <v xml:space="preserve"> DE 35 A 39 AÑOS</v>
      </c>
      <c r="MT243" s="43">
        <f t="shared" si="896"/>
        <v>0</v>
      </c>
      <c r="MU243" s="43">
        <f t="shared" si="897"/>
        <v>0</v>
      </c>
      <c r="MV243" s="43">
        <f t="shared" si="898"/>
        <v>0</v>
      </c>
      <c r="MW243" s="43">
        <f t="shared" si="899"/>
        <v>0</v>
      </c>
      <c r="MX243" s="43" t="str">
        <f t="shared" si="900"/>
        <v/>
      </c>
      <c r="MY243" s="43" t="str">
        <f t="shared" ca="1" si="901"/>
        <v/>
      </c>
      <c r="MZ243" s="43" t="str">
        <f t="shared" si="902"/>
        <v/>
      </c>
      <c r="NA243" s="43" t="str">
        <f t="shared" si="903"/>
        <v/>
      </c>
      <c r="NB243" s="43" t="str">
        <f t="shared" si="904"/>
        <v/>
      </c>
      <c r="NC243" s="43" t="str">
        <f t="shared" si="905"/>
        <v/>
      </c>
      <c r="ND243" s="43">
        <f t="shared" ca="1" si="934"/>
        <v>2</v>
      </c>
      <c r="NE243" s="43">
        <f>IF(OR(O243&gt;0,R243&gt;0),SUM(COUNTIF(Tabla1[[#This Row],[AÑOS AL INICIO5 CPN]],"&gt;=40"),COUNTIF(AS243,"0"),COUNTIF(AR243,"SI"),COUNTIF(CC243,"SI"),COUNTIF(BQ243,"&gt;119"),COUNTIF(CI243,"&gt;=35")),"")</f>
        <v>0</v>
      </c>
      <c r="NF243" s="43" t="str">
        <f t="shared" si="935"/>
        <v/>
      </c>
      <c r="NG243" s="43">
        <f t="shared" si="908"/>
        <v>0</v>
      </c>
      <c r="NH243" s="43" t="str">
        <f t="shared" si="909"/>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6"/>
        <v>X</v>
      </c>
      <c r="NM243" s="43" t="str">
        <f t="shared" si="941"/>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12"/>
        <v>DEFINIR CON ECO</v>
      </c>
      <c r="NQ243" s="21" t="str">
        <f t="shared" si="1046"/>
        <v/>
      </c>
      <c r="NR243" s="21">
        <f t="shared" ca="1" si="937"/>
        <v>1</v>
      </c>
      <c r="NS243" s="205">
        <f t="shared" ca="1" si="914"/>
        <v>0</v>
      </c>
      <c r="NT243" s="21">
        <f t="shared" ca="1" si="915"/>
        <v>0</v>
      </c>
      <c r="NU243" s="21" t="str">
        <f t="shared" ca="1" si="916"/>
        <v>INCOMPLETO</v>
      </c>
      <c r="NV243" s="21" t="str">
        <f t="shared" ca="1" si="917"/>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8"/>
        <v>SIN VACUNAR</v>
      </c>
      <c r="NY243" s="43">
        <f>ROW(Tabla1[[#This Row],['# DE TAMIZAJES SIFILIS TOMADOS ]])</f>
        <v>243</v>
      </c>
      <c r="NZ243" s="43">
        <f t="shared" si="942"/>
        <v>12</v>
      </c>
      <c r="OA243" s="43" t="str">
        <f t="shared" si="943"/>
        <v/>
      </c>
      <c r="OB243" s="43" t="str">
        <f t="shared" si="944"/>
        <v/>
      </c>
      <c r="OC243" s="43" t="str">
        <f t="shared" si="945"/>
        <v/>
      </c>
      <c r="OD243" s="43" t="str">
        <f t="shared" si="946"/>
        <v>SOBREPESO</v>
      </c>
      <c r="OE243" s="43" t="str">
        <f t="shared" si="947"/>
        <v/>
      </c>
      <c r="OF243" s="43" t="str">
        <f t="shared" si="948"/>
        <v/>
      </c>
      <c r="OG243" s="43" t="str">
        <f t="shared" si="949"/>
        <v/>
      </c>
      <c r="OH243" s="43" t="str">
        <f t="shared" si="950"/>
        <v/>
      </c>
      <c r="OI243" s="43" t="str">
        <f t="shared" si="951"/>
        <v/>
      </c>
      <c r="OJ243" s="43" t="str">
        <f t="shared" si="952"/>
        <v/>
      </c>
      <c r="OK243" s="43" t="str">
        <f t="shared" si="953"/>
        <v/>
      </c>
      <c r="OL243" s="43" t="str">
        <f t="shared" si="954"/>
        <v/>
      </c>
      <c r="OM243" s="43" t="str">
        <f t="shared" si="955"/>
        <v/>
      </c>
      <c r="ON243" s="43" t="str">
        <f t="shared" si="956"/>
        <v/>
      </c>
      <c r="OO243" s="43" t="str">
        <f t="shared" si="957"/>
        <v/>
      </c>
      <c r="OP243" s="43" t="str">
        <f t="shared" si="958"/>
        <v/>
      </c>
      <c r="OQ243" s="43" t="str">
        <f t="shared" si="959"/>
        <v/>
      </c>
      <c r="OR243" s="43" t="str">
        <f t="shared" si="960"/>
        <v/>
      </c>
      <c r="OS243" s="43" t="str">
        <f t="shared" si="961"/>
        <v/>
      </c>
      <c r="OT243" s="43" t="str">
        <f t="shared" si="962"/>
        <v/>
      </c>
      <c r="OU243" s="43" t="str">
        <f t="shared" si="963"/>
        <v/>
      </c>
      <c r="OV243" s="110" t="str">
        <f t="shared" si="964"/>
        <v/>
      </c>
      <c r="OW243" s="43" t="str">
        <f t="shared" si="965"/>
        <v/>
      </c>
      <c r="OX243" s="43" t="str">
        <f t="shared" si="966"/>
        <v/>
      </c>
      <c r="OY243" s="43" t="str">
        <f t="shared" si="967"/>
        <v/>
      </c>
      <c r="OZ243" s="43" t="str">
        <f t="shared" si="968"/>
        <v/>
      </c>
      <c r="PA243" s="43" t="str">
        <f t="shared" si="969"/>
        <v/>
      </c>
      <c r="PB243" s="43" t="str">
        <f t="shared" si="970"/>
        <v/>
      </c>
      <c r="PC243" s="43" t="str">
        <f t="shared" si="971"/>
        <v/>
      </c>
      <c r="PD243" s="43" t="str">
        <f t="shared" si="972"/>
        <v/>
      </c>
      <c r="PE243" s="43" t="str">
        <f t="shared" si="973"/>
        <v/>
      </c>
      <c r="PF243" s="43" t="str">
        <f t="shared" si="974"/>
        <v/>
      </c>
      <c r="PG243" s="43" t="str">
        <f t="shared" si="975"/>
        <v/>
      </c>
      <c r="PH243" s="43" t="str">
        <f t="shared" si="976"/>
        <v/>
      </c>
      <c r="PI243" s="43">
        <f t="shared" si="977"/>
        <v>12</v>
      </c>
      <c r="PJ243" s="43" t="str">
        <f t="shared" si="978"/>
        <v/>
      </c>
      <c r="PK243" s="43" t="str">
        <f t="shared" si="979"/>
        <v/>
      </c>
      <c r="PL243" s="43" t="str">
        <f t="shared" si="980"/>
        <v/>
      </c>
      <c r="PM243" s="43" t="str">
        <f t="shared" si="981"/>
        <v>SOBREPESO</v>
      </c>
      <c r="PN243" s="43" t="str">
        <f t="shared" si="982"/>
        <v/>
      </c>
      <c r="PO243" s="43" t="str">
        <f t="shared" si="983"/>
        <v/>
      </c>
      <c r="PP243" s="43" t="str">
        <f t="shared" si="984"/>
        <v/>
      </c>
      <c r="PQ243" s="43" t="str">
        <f t="shared" si="985"/>
        <v/>
      </c>
      <c r="PR243" s="43" t="str">
        <f t="shared" si="986"/>
        <v/>
      </c>
      <c r="PS243" s="43" t="str">
        <f t="shared" si="987"/>
        <v/>
      </c>
      <c r="PT243" s="43" t="str">
        <f t="shared" si="988"/>
        <v/>
      </c>
      <c r="PU243" s="43" t="str">
        <f t="shared" si="989"/>
        <v/>
      </c>
      <c r="PV243" s="43" t="str">
        <f t="shared" si="990"/>
        <v/>
      </c>
      <c r="PW243" s="43" t="str">
        <f t="shared" si="991"/>
        <v/>
      </c>
      <c r="PX243" s="43" t="str">
        <f t="shared" si="992"/>
        <v/>
      </c>
      <c r="PY243" s="43" t="str">
        <f t="shared" si="993"/>
        <v/>
      </c>
      <c r="PZ243" s="43" t="str">
        <f t="shared" si="994"/>
        <v/>
      </c>
      <c r="QA243" s="43" t="str">
        <f t="shared" si="995"/>
        <v/>
      </c>
      <c r="QB243" s="43" t="str">
        <f t="shared" si="996"/>
        <v/>
      </c>
      <c r="QC243" s="43" t="str">
        <f t="shared" si="997"/>
        <v/>
      </c>
      <c r="QD243" s="43" t="str">
        <f t="shared" si="998"/>
        <v/>
      </c>
      <c r="QE243" s="43" t="str">
        <f t="shared" si="999"/>
        <v/>
      </c>
      <c r="QF243" s="43" t="str">
        <f t="shared" si="1000"/>
        <v/>
      </c>
      <c r="QG243" s="43" t="str">
        <f t="shared" si="1001"/>
        <v/>
      </c>
      <c r="QH243" s="43" t="str">
        <f t="shared" si="1002"/>
        <v/>
      </c>
      <c r="QI243" s="43" t="str">
        <f t="shared" si="1003"/>
        <v/>
      </c>
      <c r="QJ243" s="43" t="str">
        <f t="shared" si="1004"/>
        <v/>
      </c>
      <c r="QK243" s="43" t="str">
        <f t="shared" si="1005"/>
        <v/>
      </c>
      <c r="QL243" s="43" t="str">
        <f t="shared" si="1006"/>
        <v/>
      </c>
      <c r="QM243" s="43" t="str">
        <f t="shared" si="1007"/>
        <v/>
      </c>
      <c r="QN243" s="43" t="str">
        <f t="shared" si="1008"/>
        <v/>
      </c>
      <c r="QO243" s="43" t="str">
        <f t="shared" si="1009"/>
        <v/>
      </c>
      <c r="QP243" s="43" t="str">
        <f t="shared" si="1010"/>
        <v/>
      </c>
      <c r="QQ243" s="43" t="str">
        <f t="shared" si="1011"/>
        <v/>
      </c>
      <c r="QR243" s="43" t="str">
        <f t="shared" si="1012"/>
        <v>Menor</v>
      </c>
      <c r="QS243" s="43"/>
      <c r="QT243" s="21" t="str">
        <f t="shared" si="1013"/>
        <v/>
      </c>
      <c r="QU243" s="21" t="str">
        <f t="shared" si="1014"/>
        <v/>
      </c>
      <c r="QV243" s="21" t="str">
        <f t="shared" si="1015"/>
        <v/>
      </c>
      <c r="QW243" s="21" t="str">
        <f t="shared" si="1016"/>
        <v/>
      </c>
      <c r="QX243" s="21" t="str">
        <f t="shared" si="1017"/>
        <v/>
      </c>
      <c r="QY243" s="21" t="str">
        <f t="shared" si="1018"/>
        <v/>
      </c>
      <c r="QZ243" s="21" t="str">
        <f t="shared" si="1019"/>
        <v/>
      </c>
      <c r="RA243" s="21" t="str">
        <f t="shared" si="1020"/>
        <v/>
      </c>
      <c r="RB243" s="21" t="str">
        <f t="shared" si="1021"/>
        <v/>
      </c>
      <c r="RC243" s="21" t="str">
        <f t="shared" si="1022"/>
        <v/>
      </c>
      <c r="RD243" s="21" t="str">
        <f t="shared" si="1023"/>
        <v/>
      </c>
      <c r="RE243" s="21" t="str">
        <f t="shared" si="1024"/>
        <v/>
      </c>
      <c r="RF243" s="21" t="str">
        <f t="shared" si="1025"/>
        <v/>
      </c>
      <c r="RG243" s="21" t="str">
        <f t="shared" si="1026"/>
        <v/>
      </c>
      <c r="RH243" s="21" t="str">
        <f t="shared" si="1027"/>
        <v/>
      </c>
      <c r="RI243" s="21" t="str">
        <f t="shared" si="1028"/>
        <v/>
      </c>
      <c r="RJ243" s="21" t="str">
        <f t="shared" si="1029"/>
        <v/>
      </c>
      <c r="RK243" s="21" t="str">
        <f t="shared" si="1030"/>
        <v/>
      </c>
      <c r="RL243" s="21" t="str">
        <f t="shared" si="1031"/>
        <v/>
      </c>
      <c r="RM243" s="21" t="str">
        <f t="shared" si="1032"/>
        <v/>
      </c>
      <c r="RN243" s="21" t="str">
        <f t="shared" si="1033"/>
        <v/>
      </c>
      <c r="RO243" s="21" t="str">
        <f t="shared" si="1034"/>
        <v/>
      </c>
      <c r="RP243" s="21" t="str">
        <f t="shared" si="1035"/>
        <v/>
      </c>
      <c r="RQ243" s="21" t="str">
        <f t="shared" si="1036"/>
        <v/>
      </c>
      <c r="RR243" s="21" t="str">
        <f t="shared" si="1037"/>
        <v/>
      </c>
      <c r="RS243" s="21" t="str">
        <f t="shared" si="1038"/>
        <v/>
      </c>
      <c r="RT243" s="21" t="str">
        <f t="shared" si="1039"/>
        <v/>
      </c>
      <c r="RU243" s="21" t="str">
        <f t="shared" si="1040"/>
        <v/>
      </c>
      <c r="RV243" s="21">
        <f t="shared" si="1041"/>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42"/>
        <v>x</v>
      </c>
    </row>
    <row r="244" spans="1:493" ht="45" customHeight="1" x14ac:dyDescent="0.25">
      <c r="A244" s="425"/>
      <c r="B244" s="109"/>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41"/>
        <v>28.80821917808219</v>
      </c>
      <c r="O244" s="22">
        <v>45154</v>
      </c>
      <c r="P244" s="214" t="str">
        <f t="shared" si="919"/>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2"/>
        <v>0</v>
      </c>
      <c r="BR244" s="223" t="str">
        <f t="shared" si="843"/>
        <v/>
      </c>
      <c r="BS244" s="224">
        <f t="shared" si="844"/>
        <v>24.428571428571427</v>
      </c>
      <c r="BT244" s="216" t="str">
        <f t="shared" si="845"/>
        <v>DEFINIR CON ECO</v>
      </c>
      <c r="BU244" s="214">
        <f t="shared" ca="1" si="928"/>
        <v>35.571428571428569</v>
      </c>
      <c r="BV244" s="25"/>
      <c r="BW244" s="22"/>
      <c r="BX244" s="28"/>
      <c r="BY244" s="28"/>
      <c r="BZ244" s="22"/>
      <c r="CA244" s="21"/>
      <c r="CB244" s="26"/>
      <c r="CC244" s="26"/>
      <c r="CD244" s="26"/>
      <c r="CE244" s="26"/>
      <c r="CF244" s="22" t="s">
        <v>1517</v>
      </c>
      <c r="CG244" s="21">
        <v>1.57</v>
      </c>
      <c r="CH244" s="21">
        <v>67.3</v>
      </c>
      <c r="CI244" s="214">
        <f t="shared" si="847"/>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8"/>
        <v>45154</v>
      </c>
      <c r="CL244" s="21">
        <v>67.3</v>
      </c>
      <c r="CM244" s="214">
        <f t="shared" si="849"/>
        <v>27.30333887784494</v>
      </c>
      <c r="CN244" s="216">
        <f t="shared" si="850"/>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5"/>
        <v>APARENTEMENTE NORMAL</v>
      </c>
      <c r="DA244" s="21">
        <v>90</v>
      </c>
      <c r="DB244" s="21">
        <v>60</v>
      </c>
      <c r="DC244" s="217" t="str">
        <f t="shared" si="851"/>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20"/>
        <v>CONCERTAR PLAN DE PARTO INMEDIATO</v>
      </c>
      <c r="DV244" s="226" t="str">
        <f t="shared" si="921"/>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2"/>
        <v>#REF!</v>
      </c>
      <c r="DY244" s="212">
        <f>IF(R244="","",IF(R244&gt;0,MAX(Tabla1[[#This Row],[FECHA C2]:[FECHA C13]],Tabla1[[#This Row],[FECHA CONSULTA PRIMERA VEZ PROGRAMA CPN ]])))</f>
        <v>45154</v>
      </c>
      <c r="DZ244" s="216">
        <f t="shared" si="853"/>
        <v>24</v>
      </c>
      <c r="EA244" s="222">
        <f>IF(R244&gt;0,SUM(COUNTA(DF244:DQ244)+COUNTA(Tabla1[[#This Row],[FECHA CONSULTA PRIMERA VEZ PROGRAMA CPN ]])),"")</f>
        <v>1</v>
      </c>
      <c r="EB244" s="222" t="str">
        <f t="shared" si="854"/>
        <v>NO</v>
      </c>
      <c r="EC244" s="214">
        <f t="shared" si="855"/>
        <v>5</v>
      </c>
      <c r="ED244" s="227">
        <f t="shared" si="856"/>
        <v>0.2</v>
      </c>
      <c r="EE244" s="22">
        <v>45154</v>
      </c>
      <c r="EF244" s="22"/>
      <c r="EG244" s="22">
        <v>45154</v>
      </c>
      <c r="EH244" s="22"/>
      <c r="EI244" s="22">
        <v>45154</v>
      </c>
      <c r="EJ244" s="22"/>
      <c r="EK244" s="22"/>
      <c r="EL244" s="21"/>
      <c r="EM244" s="21"/>
      <c r="EN244" s="22"/>
      <c r="EO244" s="222" t="str">
        <f t="shared" si="857"/>
        <v>TOMAR EXAMEN</v>
      </c>
      <c r="EP244" s="214" t="str">
        <f t="shared" si="858"/>
        <v/>
      </c>
      <c r="EQ244" s="216" t="str">
        <f t="shared" si="859"/>
        <v>POR DEFINIR</v>
      </c>
      <c r="ER244" s="24"/>
      <c r="ES244" s="22"/>
      <c r="ET244" s="29" t="str">
        <f t="shared" ca="1" si="922"/>
        <v>TOMA DE HEMOGLOBINA TARDÍA</v>
      </c>
      <c r="EU244" s="25" t="str">
        <f t="shared" si="860"/>
        <v/>
      </c>
      <c r="EV244" s="24"/>
      <c r="EW244" s="24"/>
      <c r="EX244" s="22"/>
      <c r="EY244" s="29" t="str">
        <f t="shared" si="1043"/>
        <v>TOMAR EXAMEN</v>
      </c>
      <c r="EZ244" s="25" t="str">
        <f t="shared" ca="1" si="1044"/>
        <v/>
      </c>
      <c r="FA244" s="21"/>
      <c r="FB244" s="22"/>
      <c r="FC244" s="29" t="str">
        <f t="shared" si="861"/>
        <v>PIERDE TOMA TAMIZAJE- INGRESO TARDIO</v>
      </c>
      <c r="FD244" s="29"/>
      <c r="FE244" s="29"/>
      <c r="FF244" s="29"/>
      <c r="FG244" s="21" t="str">
        <f t="shared" ca="1" si="862"/>
        <v>TOMAR PTOG</v>
      </c>
      <c r="FH244" s="31"/>
      <c r="FI244" s="29" t="str">
        <f t="shared" si="863"/>
        <v>TOMAR EXAMEN</v>
      </c>
      <c r="FJ244" s="22"/>
      <c r="FK244" s="22"/>
      <c r="FL244" s="29" t="str">
        <f t="shared" ca="1" si="864"/>
        <v>NO APLICA-INGRESO TARDIO</v>
      </c>
      <c r="FM244" s="22"/>
      <c r="FN244" s="32"/>
      <c r="FO244" s="29" t="str">
        <f t="shared" ca="1" si="923"/>
        <v>PIERDE TOMA DE TAMIZAJE</v>
      </c>
      <c r="FP244" s="22"/>
      <c r="FQ244" s="32"/>
      <c r="FR244" s="29" t="str">
        <f t="shared" ca="1" si="924"/>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5"/>
        <v>TOMAR EXAMEN</v>
      </c>
      <c r="FY244" s="22"/>
      <c r="FZ244" s="22"/>
      <c r="GA244" s="29" t="str">
        <f t="shared" ca="1" si="939"/>
        <v>NO APLICA-INGRESO TARDIO</v>
      </c>
      <c r="GB244" s="22"/>
      <c r="GC244" s="22"/>
      <c r="GD244" s="29" t="str">
        <f t="shared" ca="1" si="1048"/>
        <v>PIERDE TOMA DE TAMIZAJE</v>
      </c>
      <c r="GE244" s="22"/>
      <c r="GF244" s="22"/>
      <c r="GG244" s="29" t="str">
        <f t="shared" ca="1" si="926"/>
        <v>TOMA INMEDIATA DE TAMIZAJE</v>
      </c>
      <c r="GH244" s="22"/>
      <c r="GI244" s="29"/>
      <c r="GJ244" s="22"/>
      <c r="GK244" s="22"/>
      <c r="GL244" s="22"/>
      <c r="GM244" s="22"/>
      <c r="GN244" s="28"/>
      <c r="GO244" s="22"/>
      <c r="GP244" s="29" t="str">
        <f t="shared" si="866"/>
        <v>TOMAR EXAMEN</v>
      </c>
      <c r="GQ244" s="28"/>
      <c r="GR244" s="28"/>
      <c r="GS244" s="22" t="str">
        <f t="shared" si="1047"/>
        <v/>
      </c>
      <c r="GT244" s="22"/>
      <c r="GU244" s="29" t="str">
        <f t="shared" si="867"/>
        <v>TOMAR EXAMEN</v>
      </c>
      <c r="GV244" s="21" t="str">
        <f t="shared" si="868"/>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9"/>
        <v>#REF!</v>
      </c>
      <c r="HI244" s="22" t="e">
        <f t="shared" ca="1" si="870"/>
        <v>#REF!</v>
      </c>
      <c r="HJ244" s="21" t="str">
        <f t="shared" ca="1" si="871"/>
        <v>**********************MULTIPARIDAD*****************</v>
      </c>
      <c r="HK244" s="21" t="str">
        <f t="shared" si="872"/>
        <v>SIN ANTECEDENTES DE RIESGO</v>
      </c>
      <c r="HL244" s="24" t="str">
        <f t="shared" si="873"/>
        <v>APARENTEMENTE NORMAL</v>
      </c>
      <c r="HM244" s="21" t="e">
        <f t="shared" ca="1" si="874"/>
        <v>#REF!</v>
      </c>
      <c r="HN244" s="30" t="str">
        <f t="shared" si="927"/>
        <v>ACTIVA INGRESO A CPN</v>
      </c>
      <c r="HO244" s="21"/>
      <c r="HP244" s="21"/>
      <c r="HQ244" s="349"/>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5"/>
        <v>PENDIENTE CONSULTA</v>
      </c>
      <c r="IA244" s="26"/>
      <c r="IB244" s="26"/>
      <c r="IC244" s="111"/>
      <c r="ID244" s="22"/>
      <c r="IE244" s="22" t="str">
        <f t="shared" ca="1" si="876"/>
        <v>INASISTENTE</v>
      </c>
      <c r="IF244" s="22"/>
      <c r="IG244" s="22">
        <f t="shared" si="877"/>
        <v>45263</v>
      </c>
      <c r="IH244" s="29">
        <f t="shared" ca="1" si="878"/>
        <v>31</v>
      </c>
      <c r="II244" s="22" t="str">
        <f t="shared" ca="1" si="879"/>
        <v>PENDIENTE</v>
      </c>
      <c r="IJ244" s="22"/>
      <c r="IK244" s="21"/>
      <c r="IL244" s="21"/>
      <c r="IM244" s="34"/>
      <c r="IN244" s="22"/>
      <c r="IO244" s="21"/>
      <c r="IP244" s="29" t="str">
        <f t="shared" si="880"/>
        <v/>
      </c>
      <c r="IQ244" s="35"/>
      <c r="IR244" s="21"/>
      <c r="IS244" s="21"/>
      <c r="IT244" s="21"/>
      <c r="IU244" s="21"/>
      <c r="IV244" s="21"/>
      <c r="IW244" s="21"/>
      <c r="IX244" s="21"/>
      <c r="IY244" s="21"/>
      <c r="IZ244" s="21"/>
      <c r="JA244" s="21"/>
      <c r="JB244" s="30"/>
      <c r="JC244" s="21"/>
      <c r="JD244" s="36"/>
      <c r="JE244" s="21" t="str">
        <f t="shared" si="881"/>
        <v/>
      </c>
      <c r="JF244" s="30"/>
      <c r="JG244" s="21"/>
      <c r="JH244" s="21"/>
      <c r="JI244" s="21"/>
      <c r="JJ244" s="30"/>
      <c r="JK244" s="22"/>
      <c r="JL244" s="22"/>
      <c r="JM244" s="21"/>
      <c r="JN244" s="36"/>
      <c r="JO244" s="21" t="str">
        <f t="shared" si="882"/>
        <v/>
      </c>
      <c r="JP244" s="22"/>
      <c r="JQ244" s="21"/>
      <c r="JR244" s="21"/>
      <c r="JS244" s="21"/>
      <c r="JT244" s="30"/>
      <c r="JU244" s="22"/>
      <c r="JV244" s="22"/>
      <c r="JW244" s="33"/>
      <c r="JX244" s="28" t="str">
        <f t="shared" si="883"/>
        <v/>
      </c>
      <c r="JY244" s="159"/>
      <c r="JZ244" s="28" t="str">
        <f t="shared" si="884"/>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5"/>
        <v>0</v>
      </c>
      <c r="MI244" s="43" t="str">
        <f t="shared" si="929"/>
        <v/>
      </c>
      <c r="MJ244" s="43" t="str">
        <f t="shared" si="887"/>
        <v/>
      </c>
      <c r="MK244" s="43">
        <f t="shared" si="888"/>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30"/>
        <v>24.428571428571427</v>
      </c>
      <c r="MN244" s="43">
        <f t="shared" si="931"/>
        <v>8</v>
      </c>
      <c r="MO244" s="43">
        <f t="shared" si="932"/>
        <v>2023</v>
      </c>
      <c r="MP244" s="43" t="str">
        <f t="shared" si="892"/>
        <v>III TRIMESTRE AÑO</v>
      </c>
      <c r="MQ244" s="43">
        <f t="shared" si="933"/>
        <v>28.164695575996493</v>
      </c>
      <c r="MR244" s="43">
        <f t="shared" si="894"/>
        <v>0</v>
      </c>
      <c r="MS244" s="43" t="str">
        <f t="shared" si="895"/>
        <v xml:space="preserve"> DE 25 A 29 AÑOS</v>
      </c>
      <c r="MT244" s="43">
        <f t="shared" si="896"/>
        <v>0</v>
      </c>
      <c r="MU244" s="43">
        <f t="shared" si="897"/>
        <v>1</v>
      </c>
      <c r="MV244" s="43">
        <f t="shared" si="898"/>
        <v>0</v>
      </c>
      <c r="MW244" s="43">
        <f t="shared" si="899"/>
        <v>0</v>
      </c>
      <c r="MX244" s="43" t="str">
        <f t="shared" si="900"/>
        <v/>
      </c>
      <c r="MY244" s="43" t="str">
        <f t="shared" ca="1" si="901"/>
        <v/>
      </c>
      <c r="MZ244" s="43" t="str">
        <f t="shared" si="902"/>
        <v/>
      </c>
      <c r="NA244" s="43" t="str">
        <f t="shared" si="903"/>
        <v/>
      </c>
      <c r="NB244" s="43" t="str">
        <f t="shared" si="904"/>
        <v/>
      </c>
      <c r="NC244" s="43" t="str">
        <f t="shared" si="905"/>
        <v/>
      </c>
      <c r="ND244" s="43">
        <f t="shared" ca="1" si="934"/>
        <v>1</v>
      </c>
      <c r="NE244" s="43">
        <f>IF(OR(O244&gt;0,R244&gt;0),SUM(COUNTIF(Tabla1[[#This Row],[AÑOS AL INICIO5 CPN]],"&gt;=40"),COUNTIF(AS244,"0"),COUNTIF(AR244,"SI"),COUNTIF(CC244,"SI"),COUNTIF(BQ244,"&gt;119"),COUNTIF(CI244,"&gt;=35")),"")</f>
        <v>1</v>
      </c>
      <c r="NF244" s="43" t="str">
        <f t="shared" si="935"/>
        <v/>
      </c>
      <c r="NG244" s="43">
        <f t="shared" si="908"/>
        <v>0</v>
      </c>
      <c r="NH244" s="43" t="str">
        <f t="shared" si="909"/>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6"/>
        <v>X</v>
      </c>
      <c r="NM244" s="43" t="str">
        <f t="shared" si="941"/>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12"/>
        <v>DEFINIR CON ECO</v>
      </c>
      <c r="NQ244" s="21" t="str">
        <f t="shared" si="1046"/>
        <v/>
      </c>
      <c r="NR244" s="21">
        <f t="shared" ca="1" si="937"/>
        <v>2</v>
      </c>
      <c r="NS244" s="205">
        <f t="shared" ca="1" si="914"/>
        <v>0</v>
      </c>
      <c r="NT244" s="21">
        <f t="shared" ca="1" si="915"/>
        <v>0</v>
      </c>
      <c r="NU244" s="21" t="str">
        <f t="shared" ca="1" si="916"/>
        <v>INCOMPLETO</v>
      </c>
      <c r="NV244" s="21" t="str">
        <f t="shared" ca="1" si="917"/>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8"/>
        <v>SIN VACUNAR</v>
      </c>
      <c r="NY244" s="43">
        <f>ROW(Tabla1[[#This Row],['# DE TAMIZAJES SIFILIS TOMADOS ]])</f>
        <v>244</v>
      </c>
      <c r="NZ244" s="43">
        <f t="shared" si="942"/>
        <v>24</v>
      </c>
      <c r="OA244" s="43" t="str">
        <f t="shared" si="943"/>
        <v/>
      </c>
      <c r="OB244" s="43" t="str">
        <f t="shared" si="944"/>
        <v/>
      </c>
      <c r="OC244" s="43" t="str">
        <f t="shared" si="945"/>
        <v/>
      </c>
      <c r="OD244" s="43" t="str">
        <f t="shared" si="946"/>
        <v/>
      </c>
      <c r="OE244" s="43" t="str">
        <f t="shared" si="947"/>
        <v/>
      </c>
      <c r="OF244" s="43" t="str">
        <f t="shared" si="948"/>
        <v/>
      </c>
      <c r="OG244" s="43" t="str">
        <f t="shared" si="949"/>
        <v/>
      </c>
      <c r="OH244" s="43" t="str">
        <f t="shared" si="950"/>
        <v/>
      </c>
      <c r="OI244" s="43" t="str">
        <f t="shared" si="951"/>
        <v/>
      </c>
      <c r="OJ244" s="43" t="str">
        <f t="shared" si="952"/>
        <v/>
      </c>
      <c r="OK244" s="43" t="str">
        <f t="shared" si="953"/>
        <v/>
      </c>
      <c r="OL244" s="43" t="str">
        <f t="shared" si="954"/>
        <v/>
      </c>
      <c r="OM244" s="43" t="str">
        <f t="shared" si="955"/>
        <v/>
      </c>
      <c r="ON244" s="43" t="str">
        <f t="shared" si="956"/>
        <v/>
      </c>
      <c r="OO244" s="43" t="str">
        <f t="shared" si="957"/>
        <v/>
      </c>
      <c r="OP244" s="43" t="str">
        <f t="shared" si="958"/>
        <v>SOBREPESO</v>
      </c>
      <c r="OQ244" s="43" t="str">
        <f t="shared" si="959"/>
        <v/>
      </c>
      <c r="OR244" s="43" t="str">
        <f t="shared" si="960"/>
        <v/>
      </c>
      <c r="OS244" s="43" t="str">
        <f t="shared" si="961"/>
        <v/>
      </c>
      <c r="OT244" s="43" t="str">
        <f t="shared" si="962"/>
        <v/>
      </c>
      <c r="OU244" s="43" t="str">
        <f t="shared" si="963"/>
        <v/>
      </c>
      <c r="OV244" s="110" t="str">
        <f t="shared" si="964"/>
        <v/>
      </c>
      <c r="OW244" s="43" t="str">
        <f t="shared" si="965"/>
        <v/>
      </c>
      <c r="OX244" s="43" t="str">
        <f t="shared" si="966"/>
        <v/>
      </c>
      <c r="OY244" s="43" t="str">
        <f t="shared" si="967"/>
        <v/>
      </c>
      <c r="OZ244" s="43" t="str">
        <f t="shared" si="968"/>
        <v/>
      </c>
      <c r="PA244" s="43" t="str">
        <f t="shared" si="969"/>
        <v/>
      </c>
      <c r="PB244" s="43" t="str">
        <f t="shared" si="970"/>
        <v/>
      </c>
      <c r="PC244" s="43" t="str">
        <f t="shared" si="971"/>
        <v/>
      </c>
      <c r="PD244" s="43" t="str">
        <f t="shared" si="972"/>
        <v/>
      </c>
      <c r="PE244" s="43" t="str">
        <f t="shared" si="973"/>
        <v/>
      </c>
      <c r="PF244" s="43" t="str">
        <f t="shared" si="974"/>
        <v/>
      </c>
      <c r="PG244" s="43" t="str">
        <f t="shared" si="975"/>
        <v/>
      </c>
      <c r="PH244" s="43" t="str">
        <f t="shared" si="976"/>
        <v/>
      </c>
      <c r="PI244" s="43">
        <f t="shared" si="977"/>
        <v>24</v>
      </c>
      <c r="PJ244" s="43" t="str">
        <f t="shared" si="978"/>
        <v/>
      </c>
      <c r="PK244" s="43" t="str">
        <f t="shared" si="979"/>
        <v/>
      </c>
      <c r="PL244" s="43" t="str">
        <f t="shared" si="980"/>
        <v/>
      </c>
      <c r="PM244" s="43" t="str">
        <f t="shared" si="981"/>
        <v/>
      </c>
      <c r="PN244" s="43" t="str">
        <f t="shared" si="982"/>
        <v/>
      </c>
      <c r="PO244" s="43" t="str">
        <f t="shared" si="983"/>
        <v/>
      </c>
      <c r="PP244" s="43" t="str">
        <f t="shared" si="984"/>
        <v/>
      </c>
      <c r="PQ244" s="43" t="str">
        <f t="shared" si="985"/>
        <v/>
      </c>
      <c r="PR244" s="43" t="str">
        <f t="shared" si="986"/>
        <v/>
      </c>
      <c r="PS244" s="43" t="str">
        <f t="shared" si="987"/>
        <v/>
      </c>
      <c r="PT244" s="43" t="str">
        <f t="shared" si="988"/>
        <v/>
      </c>
      <c r="PU244" s="43" t="str">
        <f t="shared" si="989"/>
        <v/>
      </c>
      <c r="PV244" s="43" t="str">
        <f t="shared" si="990"/>
        <v/>
      </c>
      <c r="PW244" s="43" t="str">
        <f t="shared" si="991"/>
        <v/>
      </c>
      <c r="PX244" s="43" t="str">
        <f t="shared" si="992"/>
        <v/>
      </c>
      <c r="PY244" s="43" t="str">
        <f t="shared" si="993"/>
        <v>SOBREPESO</v>
      </c>
      <c r="PZ244" s="43" t="str">
        <f t="shared" si="994"/>
        <v/>
      </c>
      <c r="QA244" s="43" t="str">
        <f t="shared" si="995"/>
        <v/>
      </c>
      <c r="QB244" s="43" t="str">
        <f t="shared" si="996"/>
        <v/>
      </c>
      <c r="QC244" s="43" t="str">
        <f t="shared" si="997"/>
        <v/>
      </c>
      <c r="QD244" s="43" t="str">
        <f t="shared" si="998"/>
        <v/>
      </c>
      <c r="QE244" s="43" t="str">
        <f t="shared" si="999"/>
        <v/>
      </c>
      <c r="QF244" s="43" t="str">
        <f t="shared" si="1000"/>
        <v/>
      </c>
      <c r="QG244" s="43" t="str">
        <f t="shared" si="1001"/>
        <v/>
      </c>
      <c r="QH244" s="43" t="str">
        <f t="shared" si="1002"/>
        <v/>
      </c>
      <c r="QI244" s="43" t="str">
        <f t="shared" si="1003"/>
        <v/>
      </c>
      <c r="QJ244" s="43" t="str">
        <f t="shared" si="1004"/>
        <v/>
      </c>
      <c r="QK244" s="43" t="str">
        <f t="shared" si="1005"/>
        <v/>
      </c>
      <c r="QL244" s="43" t="str">
        <f t="shared" si="1006"/>
        <v/>
      </c>
      <c r="QM244" s="43" t="str">
        <f t="shared" si="1007"/>
        <v/>
      </c>
      <c r="QN244" s="43" t="str">
        <f t="shared" si="1008"/>
        <v/>
      </c>
      <c r="QO244" s="43" t="str">
        <f t="shared" si="1009"/>
        <v/>
      </c>
      <c r="QP244" s="43" t="str">
        <f t="shared" si="1010"/>
        <v/>
      </c>
      <c r="QQ244" s="43" t="str">
        <f t="shared" si="1011"/>
        <v/>
      </c>
      <c r="QR244" s="43">
        <f t="shared" si="1012"/>
        <v>24</v>
      </c>
      <c r="QS244" s="43"/>
      <c r="QT244" s="21" t="str">
        <f t="shared" si="1013"/>
        <v/>
      </c>
      <c r="QU244" s="21" t="str">
        <f t="shared" si="1014"/>
        <v/>
      </c>
      <c r="QV244" s="21" t="str">
        <f t="shared" si="1015"/>
        <v/>
      </c>
      <c r="QW244" s="21" t="str">
        <f t="shared" si="1016"/>
        <v/>
      </c>
      <c r="QX244" s="21" t="str">
        <f t="shared" si="1017"/>
        <v/>
      </c>
      <c r="QY244" s="21" t="str">
        <f t="shared" si="1018"/>
        <v/>
      </c>
      <c r="QZ244" s="21" t="str">
        <f t="shared" si="1019"/>
        <v/>
      </c>
      <c r="RA244" s="21" t="str">
        <f t="shared" si="1020"/>
        <v/>
      </c>
      <c r="RB244" s="21" t="str">
        <f t="shared" si="1021"/>
        <v/>
      </c>
      <c r="RC244" s="21" t="str">
        <f t="shared" si="1022"/>
        <v/>
      </c>
      <c r="RD244" s="21" t="str">
        <f t="shared" si="1023"/>
        <v/>
      </c>
      <c r="RE244" s="21" t="str">
        <f t="shared" si="1024"/>
        <v>ALTO PARA EDAD GESTACIONAL</v>
      </c>
      <c r="RF244" s="21" t="str">
        <f t="shared" si="1025"/>
        <v/>
      </c>
      <c r="RG244" s="21" t="str">
        <f t="shared" si="1026"/>
        <v/>
      </c>
      <c r="RH244" s="21" t="str">
        <f t="shared" si="1027"/>
        <v/>
      </c>
      <c r="RI244" s="21" t="str">
        <f t="shared" si="1028"/>
        <v/>
      </c>
      <c r="RJ244" s="21" t="str">
        <f t="shared" si="1029"/>
        <v/>
      </c>
      <c r="RK244" s="21" t="str">
        <f t="shared" si="1030"/>
        <v/>
      </c>
      <c r="RL244" s="21" t="str">
        <f t="shared" si="1031"/>
        <v/>
      </c>
      <c r="RM244" s="21" t="str">
        <f t="shared" si="1032"/>
        <v/>
      </c>
      <c r="RN244" s="21" t="str">
        <f t="shared" si="1033"/>
        <v/>
      </c>
      <c r="RO244" s="21" t="str">
        <f t="shared" si="1034"/>
        <v/>
      </c>
      <c r="RP244" s="21" t="str">
        <f t="shared" si="1035"/>
        <v/>
      </c>
      <c r="RQ244" s="21" t="str">
        <f t="shared" si="1036"/>
        <v/>
      </c>
      <c r="RR244" s="21" t="str">
        <f t="shared" si="1037"/>
        <v/>
      </c>
      <c r="RS244" s="21" t="str">
        <f t="shared" si="1038"/>
        <v/>
      </c>
      <c r="RT244" s="21" t="str">
        <f t="shared" si="1039"/>
        <v/>
      </c>
      <c r="RU244" s="21" t="str">
        <f t="shared" si="1040"/>
        <v/>
      </c>
      <c r="RV244" s="21">
        <f t="shared" si="1041"/>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42"/>
        <v>x</v>
      </c>
    </row>
    <row r="245" spans="1:493" ht="45" customHeight="1" x14ac:dyDescent="0.25">
      <c r="A245" s="109"/>
      <c r="B245" s="43"/>
      <c r="C245" s="43" t="s">
        <v>845</v>
      </c>
      <c r="D245" s="124"/>
      <c r="E245" s="43" t="s">
        <v>943</v>
      </c>
      <c r="F245" s="43" t="s">
        <v>848</v>
      </c>
      <c r="G245" s="43" t="s">
        <v>1673</v>
      </c>
      <c r="H245" s="43" t="s">
        <v>1674</v>
      </c>
      <c r="I245" s="109" t="s">
        <v>851</v>
      </c>
      <c r="J245" s="342" t="s">
        <v>1672</v>
      </c>
      <c r="K245" s="43" t="s">
        <v>852</v>
      </c>
      <c r="L245" s="175" t="s">
        <v>1509</v>
      </c>
      <c r="M245" s="22">
        <v>31319</v>
      </c>
      <c r="N245" s="213">
        <f t="shared" ca="1" si="841"/>
        <v>38.11780821917808</v>
      </c>
      <c r="O245" s="22">
        <v>45157</v>
      </c>
      <c r="P245" s="214" t="str">
        <f t="shared" si="919"/>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2"/>
        <v>0</v>
      </c>
      <c r="BR245" s="223" t="str">
        <f t="shared" si="843"/>
        <v/>
      </c>
      <c r="BS245" s="224">
        <f t="shared" si="844"/>
        <v>12.428571428571429</v>
      </c>
      <c r="BT245" s="216" t="str">
        <f t="shared" si="845"/>
        <v>II TRIM</v>
      </c>
      <c r="BU245" s="214">
        <f t="shared" ca="1" si="928"/>
        <v>23.142857142857142</v>
      </c>
      <c r="BV245" s="25"/>
      <c r="BW245" s="22"/>
      <c r="BX245" s="28"/>
      <c r="BY245" s="28"/>
      <c r="BZ245" s="22"/>
      <c r="CA245" s="21"/>
      <c r="CB245" s="26"/>
      <c r="CC245" s="26"/>
      <c r="CD245" s="26"/>
      <c r="CE245" s="26"/>
      <c r="CF245" s="22" t="s">
        <v>1517</v>
      </c>
      <c r="CG245" s="21">
        <v>1.37</v>
      </c>
      <c r="CH245" s="21">
        <v>45</v>
      </c>
      <c r="CI245" s="214">
        <f t="shared" si="847"/>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8"/>
        <v>45157</v>
      </c>
      <c r="CL245" s="21">
        <v>45</v>
      </c>
      <c r="CM245" s="214">
        <f t="shared" si="849"/>
        <v>23.975704619319085</v>
      </c>
      <c r="CN245" s="216">
        <f t="shared" si="850"/>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5"/>
        <v/>
      </c>
      <c r="DA245" s="21">
        <v>98</v>
      </c>
      <c r="DB245" s="21">
        <v>60</v>
      </c>
      <c r="DC245" s="217" t="str">
        <f t="shared" si="851"/>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20"/>
        <v>EN ESPERA</v>
      </c>
      <c r="DV245" s="226" t="str">
        <f t="shared" si="921"/>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2"/>
        <v>#REF!</v>
      </c>
      <c r="DY245" s="212">
        <f>IF(R245="","",IF(R245&gt;0,MAX(Tabla1[[#This Row],[FECHA C2]:[FECHA C13]],Tabla1[[#This Row],[FECHA CONSULTA PRIMERA VEZ PROGRAMA CPN ]])))</f>
        <v>45157</v>
      </c>
      <c r="DZ245" s="216">
        <f t="shared" si="853"/>
        <v>12</v>
      </c>
      <c r="EA245" s="222">
        <f>IF(R245&gt;0,SUM(COUNTA(DF245:DQ245)+COUNTA(Tabla1[[#This Row],[FECHA CONSULTA PRIMERA VEZ PROGRAMA CPN ]])),"")</f>
        <v>1</v>
      </c>
      <c r="EB245" s="222" t="str">
        <f t="shared" si="854"/>
        <v>NO</v>
      </c>
      <c r="EC245" s="214">
        <f t="shared" si="855"/>
        <v>8</v>
      </c>
      <c r="ED245" s="227">
        <f t="shared" si="856"/>
        <v>0.125</v>
      </c>
      <c r="EE245" s="22">
        <v>45157</v>
      </c>
      <c r="EF245" s="22"/>
      <c r="EG245" s="22">
        <v>45157</v>
      </c>
      <c r="EH245" s="22"/>
      <c r="EI245" s="22">
        <v>45157</v>
      </c>
      <c r="EJ245" s="22"/>
      <c r="EK245" s="22"/>
      <c r="EL245" s="21"/>
      <c r="EM245" s="21"/>
      <c r="EN245" s="22"/>
      <c r="EO245" s="222" t="str">
        <f t="shared" si="857"/>
        <v>TOMAR EXAMEN</v>
      </c>
      <c r="EP245" s="214" t="str">
        <f t="shared" si="858"/>
        <v/>
      </c>
      <c r="EQ245" s="216" t="str">
        <f t="shared" si="859"/>
        <v>POR DEFINIR</v>
      </c>
      <c r="ER245" s="24"/>
      <c r="ES245" s="22"/>
      <c r="ET245" s="29" t="str">
        <f t="shared" ca="1" si="922"/>
        <v>PROGRAMAR TOMA HEMOGLOBINA A SEM 28</v>
      </c>
      <c r="EU245" s="25" t="str">
        <f t="shared" si="860"/>
        <v/>
      </c>
      <c r="EV245" s="24"/>
      <c r="EW245" s="24"/>
      <c r="EX245" s="22"/>
      <c r="EY245" s="29" t="str">
        <f t="shared" si="1043"/>
        <v>TOMAR EXAMEN</v>
      </c>
      <c r="EZ245" s="25" t="str">
        <f t="shared" ca="1" si="1044"/>
        <v/>
      </c>
      <c r="FA245" s="21"/>
      <c r="FB245" s="22"/>
      <c r="FC245" s="29" t="str">
        <f t="shared" si="861"/>
        <v>TOMAR EXAMEN</v>
      </c>
      <c r="FD245" s="29"/>
      <c r="FE245" s="29"/>
      <c r="FF245" s="29"/>
      <c r="FG245" s="21" t="str">
        <f t="shared" ca="1" si="862"/>
        <v>PROGRAMAR TOMA PTOG SIGUIENTE CONTROL</v>
      </c>
      <c r="FH245" s="31"/>
      <c r="FI245" s="29" t="str">
        <f t="shared" si="863"/>
        <v>TOMAR EXAMEN</v>
      </c>
      <c r="FJ245" s="22"/>
      <c r="FK245" s="22"/>
      <c r="FL245" s="29" t="str">
        <f t="shared" ca="1" si="864"/>
        <v>PIERDE TOMA DE TAMIZAJE</v>
      </c>
      <c r="FM245" s="22"/>
      <c r="FN245" s="32"/>
      <c r="FO245" s="29" t="str">
        <f t="shared" ca="1" si="923"/>
        <v>EN RANGO PARA TOMAR EXAMEN</v>
      </c>
      <c r="FP245" s="22"/>
      <c r="FQ245" s="32"/>
      <c r="FR245" s="29" t="str">
        <f t="shared" ca="1" si="924"/>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5"/>
        <v>TOMAR EXAMEN</v>
      </c>
      <c r="FY245" s="22"/>
      <c r="FZ245" s="22"/>
      <c r="GA245" s="29" t="str">
        <f t="shared" ref="GA245" ca="1" si="1051">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8"/>
        <v>EN RANGO PARA TOMAR EXAMEN</v>
      </c>
      <c r="GE245" s="22"/>
      <c r="GF245" s="22"/>
      <c r="GG245" s="29" t="str">
        <f t="shared" ca="1" si="926"/>
        <v>EN ESPERA-ESTÁ I TRIM O II TRIM</v>
      </c>
      <c r="GH245" s="22"/>
      <c r="GI245" s="29"/>
      <c r="GJ245" s="22"/>
      <c r="GK245" s="22"/>
      <c r="GL245" s="22"/>
      <c r="GM245" s="22"/>
      <c r="GN245" s="28"/>
      <c r="GO245" s="22"/>
      <c r="GP245" s="29" t="str">
        <f t="shared" si="866"/>
        <v>TOMAR EXAMEN</v>
      </c>
      <c r="GQ245" s="28"/>
      <c r="GR245" s="28"/>
      <c r="GS245" s="22" t="str">
        <f t="shared" si="1047"/>
        <v/>
      </c>
      <c r="GT245" s="22"/>
      <c r="GU245" s="29" t="str">
        <f t="shared" si="867"/>
        <v>TOMAR EXAMEN</v>
      </c>
      <c r="GV245" s="21" t="str">
        <f t="shared" si="868"/>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9"/>
        <v>#REF!</v>
      </c>
      <c r="HI245" s="22" t="e">
        <f t="shared" ca="1" si="870"/>
        <v>#REF!</v>
      </c>
      <c r="HJ245" s="21" t="str">
        <f t="shared" ca="1" si="871"/>
        <v>***********************ANTECEDENTE MUERTE PERINATAL*RIESGO POR EDAD***************</v>
      </c>
      <c r="HK245" s="21" t="str">
        <f t="shared" si="872"/>
        <v>SIN ANTECEDENTES DE RIESGO</v>
      </c>
      <c r="HL245" s="24" t="str">
        <f t="shared" si="873"/>
        <v>APARENTEMENTE NORMAL</v>
      </c>
      <c r="HM245" s="21" t="e">
        <f t="shared" ca="1" si="874"/>
        <v>#REF!</v>
      </c>
      <c r="HN245" s="30" t="str">
        <f t="shared" si="927"/>
        <v>ACTIVA INGRESO A CPN</v>
      </c>
      <c r="HO245" s="21"/>
      <c r="HP245" s="21"/>
      <c r="HQ245" s="349"/>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5"/>
        <v>PENDIENTE CONSULTA</v>
      </c>
      <c r="IA245" s="26"/>
      <c r="IB245" s="26"/>
      <c r="IC245" s="111"/>
      <c r="ID245" s="22"/>
      <c r="IE245" s="22" t="str">
        <f t="shared" ca="1" si="876"/>
        <v>PROGRAMAR APLICACION DE VACUNA</v>
      </c>
      <c r="IF245" s="22"/>
      <c r="IG245" s="22">
        <f t="shared" si="877"/>
        <v>45350</v>
      </c>
      <c r="IH245" s="29">
        <f t="shared" ca="1" si="878"/>
        <v>118</v>
      </c>
      <c r="II245" s="22" t="str">
        <f t="shared" ca="1" si="879"/>
        <v>PENDIENTE</v>
      </c>
      <c r="IJ245" s="22"/>
      <c r="IK245" s="21"/>
      <c r="IL245" s="21"/>
      <c r="IM245" s="34"/>
      <c r="IN245" s="22"/>
      <c r="IO245" s="21"/>
      <c r="IP245" s="29" t="str">
        <f t="shared" si="880"/>
        <v/>
      </c>
      <c r="IQ245" s="35"/>
      <c r="IR245" s="21"/>
      <c r="IS245" s="21"/>
      <c r="IT245" s="21"/>
      <c r="IU245" s="21"/>
      <c r="IV245" s="21"/>
      <c r="IW245" s="21"/>
      <c r="IX245" s="21"/>
      <c r="IY245" s="21"/>
      <c r="IZ245" s="21"/>
      <c r="JA245" s="21"/>
      <c r="JB245" s="30"/>
      <c r="JC245" s="21"/>
      <c r="JD245" s="36"/>
      <c r="JE245" s="21" t="str">
        <f t="shared" si="881"/>
        <v/>
      </c>
      <c r="JF245" s="30"/>
      <c r="JG245" s="21"/>
      <c r="JH245" s="21"/>
      <c r="JI245" s="21"/>
      <c r="JJ245" s="30"/>
      <c r="JK245" s="22"/>
      <c r="JL245" s="22"/>
      <c r="JM245" s="21"/>
      <c r="JN245" s="36"/>
      <c r="JO245" s="21" t="str">
        <f t="shared" si="882"/>
        <v/>
      </c>
      <c r="JP245" s="22"/>
      <c r="JQ245" s="21"/>
      <c r="JR245" s="21"/>
      <c r="JS245" s="21"/>
      <c r="JT245" s="30"/>
      <c r="JU245" s="22"/>
      <c r="JV245" s="22"/>
      <c r="JW245" s="33"/>
      <c r="JX245" s="28" t="str">
        <f t="shared" si="883"/>
        <v/>
      </c>
      <c r="JY245" s="33"/>
      <c r="JZ245" s="28" t="str">
        <f t="shared" si="884"/>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5"/>
        <v>0</v>
      </c>
      <c r="MI245" s="43" t="str">
        <f t="shared" si="929"/>
        <v/>
      </c>
      <c r="MJ245" s="43" t="str">
        <f t="shared" si="887"/>
        <v/>
      </c>
      <c r="MK245" s="43">
        <f t="shared" si="888"/>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30"/>
        <v>12.428571428571429</v>
      </c>
      <c r="MN245" s="43">
        <f t="shared" si="931"/>
        <v>8</v>
      </c>
      <c r="MO245" s="43">
        <f t="shared" si="932"/>
        <v>2023</v>
      </c>
      <c r="MP245" s="43" t="str">
        <f t="shared" si="892"/>
        <v>III TRIMESTRE AÑO</v>
      </c>
      <c r="MQ245" s="43">
        <f t="shared" si="933"/>
        <v>37.341217696014013</v>
      </c>
      <c r="MR245" s="43">
        <f t="shared" si="894"/>
        <v>2</v>
      </c>
      <c r="MS245" s="43" t="str">
        <f t="shared" si="895"/>
        <v xml:space="preserve"> DE 35 A 39 AÑOS</v>
      </c>
      <c r="MT245" s="43">
        <f t="shared" si="896"/>
        <v>1</v>
      </c>
      <c r="MU245" s="43">
        <f t="shared" si="897"/>
        <v>0</v>
      </c>
      <c r="MV245" s="43">
        <f t="shared" si="898"/>
        <v>0</v>
      </c>
      <c r="MW245" s="43">
        <f t="shared" si="899"/>
        <v>0</v>
      </c>
      <c r="MX245" s="43" t="str">
        <f t="shared" si="900"/>
        <v/>
      </c>
      <c r="MY245" s="43" t="str">
        <f t="shared" ca="1" si="901"/>
        <v/>
      </c>
      <c r="MZ245" s="43" t="str">
        <f t="shared" si="902"/>
        <v/>
      </c>
      <c r="NA245" s="43" t="str">
        <f t="shared" si="903"/>
        <v/>
      </c>
      <c r="NB245" s="43" t="str">
        <f t="shared" si="904"/>
        <v/>
      </c>
      <c r="NC245" s="43" t="str">
        <f t="shared" si="905"/>
        <v/>
      </c>
      <c r="ND245" s="43">
        <f t="shared" ca="1" si="934"/>
        <v>3</v>
      </c>
      <c r="NE245" s="43">
        <f>IF(OR(O245&gt;0,R245&gt;0),SUM(COUNTIF(Tabla1[[#This Row],[AÑOS AL INICIO5 CPN]],"&gt;=40"),COUNTIF(AS245,"0"),COUNTIF(AR245,"SI"),COUNTIF(CC245,"SI"),COUNTIF(BQ245,"&gt;119"),COUNTIF(CI245,"&gt;=35")),"")</f>
        <v>0</v>
      </c>
      <c r="NF245" s="43" t="str">
        <f t="shared" si="935"/>
        <v/>
      </c>
      <c r="NG245" s="43">
        <f t="shared" si="908"/>
        <v>0</v>
      </c>
      <c r="NH245" s="43" t="str">
        <f t="shared" si="909"/>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6"/>
        <v>X</v>
      </c>
      <c r="NM245" s="43" t="str">
        <f t="shared" si="941"/>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12"/>
        <v>II TRIM</v>
      </c>
      <c r="NQ245" s="21" t="str">
        <f t="shared" si="1046"/>
        <v/>
      </c>
      <c r="NR245" s="21">
        <f t="shared" ca="1" si="937"/>
        <v>1</v>
      </c>
      <c r="NS245" s="205">
        <f t="shared" ca="1" si="914"/>
        <v>0</v>
      </c>
      <c r="NT245" s="21">
        <f t="shared" ca="1" si="915"/>
        <v>0</v>
      </c>
      <c r="NU245" s="21" t="str">
        <f t="shared" ca="1" si="916"/>
        <v>INCOMPLETO</v>
      </c>
      <c r="NV245" s="21" t="str">
        <f t="shared" ca="1" si="917"/>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8"/>
        <v>SIN VACUNAR</v>
      </c>
      <c r="NY245" s="43">
        <f>ROW(Tabla1[[#This Row],['# DE TAMIZAJES SIFILIS TOMADOS ]])</f>
        <v>245</v>
      </c>
      <c r="NZ245" s="43">
        <f t="shared" si="942"/>
        <v>12</v>
      </c>
      <c r="OA245" s="43" t="str">
        <f t="shared" si="943"/>
        <v/>
      </c>
      <c r="OB245" s="43" t="str">
        <f t="shared" si="944"/>
        <v/>
      </c>
      <c r="OC245" s="43" t="str">
        <f t="shared" si="945"/>
        <v/>
      </c>
      <c r="OD245" s="43" t="str">
        <f t="shared" si="946"/>
        <v>NORMAL</v>
      </c>
      <c r="OE245" s="43" t="str">
        <f t="shared" si="947"/>
        <v/>
      </c>
      <c r="OF245" s="43" t="str">
        <f t="shared" si="948"/>
        <v/>
      </c>
      <c r="OG245" s="43" t="str">
        <f t="shared" si="949"/>
        <v/>
      </c>
      <c r="OH245" s="43" t="str">
        <f t="shared" si="950"/>
        <v/>
      </c>
      <c r="OI245" s="43" t="str">
        <f t="shared" si="951"/>
        <v/>
      </c>
      <c r="OJ245" s="43" t="str">
        <f t="shared" si="952"/>
        <v/>
      </c>
      <c r="OK245" s="43" t="str">
        <f t="shared" si="953"/>
        <v/>
      </c>
      <c r="OL245" s="43" t="str">
        <f t="shared" si="954"/>
        <v/>
      </c>
      <c r="OM245" s="43" t="str">
        <f t="shared" si="955"/>
        <v/>
      </c>
      <c r="ON245" s="43" t="str">
        <f t="shared" si="956"/>
        <v/>
      </c>
      <c r="OO245" s="43" t="str">
        <f t="shared" si="957"/>
        <v/>
      </c>
      <c r="OP245" s="43" t="str">
        <f t="shared" si="958"/>
        <v/>
      </c>
      <c r="OQ245" s="43" t="str">
        <f t="shared" si="959"/>
        <v/>
      </c>
      <c r="OR245" s="43" t="str">
        <f t="shared" si="960"/>
        <v/>
      </c>
      <c r="OS245" s="43" t="str">
        <f t="shared" si="961"/>
        <v/>
      </c>
      <c r="OT245" s="43" t="str">
        <f t="shared" si="962"/>
        <v/>
      </c>
      <c r="OU245" s="43" t="str">
        <f t="shared" si="963"/>
        <v/>
      </c>
      <c r="OV245" s="110" t="str">
        <f t="shared" si="964"/>
        <v/>
      </c>
      <c r="OW245" s="43" t="str">
        <f t="shared" si="965"/>
        <v/>
      </c>
      <c r="OX245" s="43" t="str">
        <f t="shared" si="966"/>
        <v/>
      </c>
      <c r="OY245" s="43" t="str">
        <f t="shared" si="967"/>
        <v/>
      </c>
      <c r="OZ245" s="43" t="str">
        <f t="shared" si="968"/>
        <v/>
      </c>
      <c r="PA245" s="43" t="str">
        <f t="shared" si="969"/>
        <v/>
      </c>
      <c r="PB245" s="43" t="str">
        <f t="shared" si="970"/>
        <v/>
      </c>
      <c r="PC245" s="43" t="str">
        <f t="shared" si="971"/>
        <v/>
      </c>
      <c r="PD245" s="43" t="str">
        <f t="shared" si="972"/>
        <v/>
      </c>
      <c r="PE245" s="43" t="str">
        <f t="shared" si="973"/>
        <v/>
      </c>
      <c r="PF245" s="43" t="str">
        <f t="shared" si="974"/>
        <v/>
      </c>
      <c r="PG245" s="43" t="str">
        <f t="shared" si="975"/>
        <v/>
      </c>
      <c r="PH245" s="43" t="str">
        <f t="shared" si="976"/>
        <v/>
      </c>
      <c r="PI245" s="43">
        <f t="shared" si="977"/>
        <v>12</v>
      </c>
      <c r="PJ245" s="43" t="str">
        <f t="shared" si="978"/>
        <v/>
      </c>
      <c r="PK245" s="43" t="str">
        <f t="shared" si="979"/>
        <v/>
      </c>
      <c r="PL245" s="43" t="str">
        <f t="shared" si="980"/>
        <v/>
      </c>
      <c r="PM245" s="43" t="str">
        <f t="shared" si="981"/>
        <v>NORMAL</v>
      </c>
      <c r="PN245" s="43" t="str">
        <f t="shared" si="982"/>
        <v/>
      </c>
      <c r="PO245" s="43" t="str">
        <f t="shared" si="983"/>
        <v/>
      </c>
      <c r="PP245" s="43" t="str">
        <f t="shared" si="984"/>
        <v/>
      </c>
      <c r="PQ245" s="43" t="str">
        <f t="shared" si="985"/>
        <v/>
      </c>
      <c r="PR245" s="43" t="str">
        <f t="shared" si="986"/>
        <v/>
      </c>
      <c r="PS245" s="43" t="str">
        <f t="shared" si="987"/>
        <v/>
      </c>
      <c r="PT245" s="43" t="str">
        <f t="shared" si="988"/>
        <v/>
      </c>
      <c r="PU245" s="43" t="str">
        <f t="shared" si="989"/>
        <v/>
      </c>
      <c r="PV245" s="43" t="str">
        <f t="shared" si="990"/>
        <v/>
      </c>
      <c r="PW245" s="43" t="str">
        <f t="shared" si="991"/>
        <v/>
      </c>
      <c r="PX245" s="43" t="str">
        <f t="shared" si="992"/>
        <v/>
      </c>
      <c r="PY245" s="43" t="str">
        <f t="shared" si="993"/>
        <v/>
      </c>
      <c r="PZ245" s="43" t="str">
        <f t="shared" si="994"/>
        <v/>
      </c>
      <c r="QA245" s="43" t="str">
        <f t="shared" si="995"/>
        <v/>
      </c>
      <c r="QB245" s="43" t="str">
        <f t="shared" si="996"/>
        <v/>
      </c>
      <c r="QC245" s="43" t="str">
        <f t="shared" si="997"/>
        <v/>
      </c>
      <c r="QD245" s="43" t="str">
        <f t="shared" si="998"/>
        <v/>
      </c>
      <c r="QE245" s="43" t="str">
        <f t="shared" si="999"/>
        <v/>
      </c>
      <c r="QF245" s="43" t="str">
        <f t="shared" si="1000"/>
        <v/>
      </c>
      <c r="QG245" s="43" t="str">
        <f t="shared" si="1001"/>
        <v/>
      </c>
      <c r="QH245" s="43" t="str">
        <f t="shared" si="1002"/>
        <v/>
      </c>
      <c r="QI245" s="43" t="str">
        <f t="shared" si="1003"/>
        <v/>
      </c>
      <c r="QJ245" s="43" t="str">
        <f t="shared" si="1004"/>
        <v/>
      </c>
      <c r="QK245" s="43" t="str">
        <f t="shared" si="1005"/>
        <v/>
      </c>
      <c r="QL245" s="43" t="str">
        <f t="shared" si="1006"/>
        <v/>
      </c>
      <c r="QM245" s="43" t="str">
        <f t="shared" si="1007"/>
        <v/>
      </c>
      <c r="QN245" s="43" t="str">
        <f t="shared" si="1008"/>
        <v/>
      </c>
      <c r="QO245" s="43" t="str">
        <f t="shared" si="1009"/>
        <v/>
      </c>
      <c r="QP245" s="43" t="str">
        <f t="shared" si="1010"/>
        <v/>
      </c>
      <c r="QQ245" s="43" t="str">
        <f t="shared" si="1011"/>
        <v/>
      </c>
      <c r="QR245" s="43" t="str">
        <f t="shared" si="1012"/>
        <v>Menor</v>
      </c>
      <c r="QS245" s="43"/>
      <c r="QT245" s="21" t="str">
        <f t="shared" si="1013"/>
        <v/>
      </c>
      <c r="QU245" s="21" t="str">
        <f t="shared" si="1014"/>
        <v/>
      </c>
      <c r="QV245" s="21" t="str">
        <f t="shared" si="1015"/>
        <v/>
      </c>
      <c r="QW245" s="21" t="str">
        <f t="shared" si="1016"/>
        <v/>
      </c>
      <c r="QX245" s="21" t="str">
        <f t="shared" si="1017"/>
        <v/>
      </c>
      <c r="QY245" s="21" t="str">
        <f t="shared" si="1018"/>
        <v/>
      </c>
      <c r="QZ245" s="21" t="str">
        <f t="shared" si="1019"/>
        <v/>
      </c>
      <c r="RA245" s="21" t="str">
        <f t="shared" si="1020"/>
        <v/>
      </c>
      <c r="RB245" s="21" t="str">
        <f t="shared" si="1021"/>
        <v/>
      </c>
      <c r="RC245" s="21" t="str">
        <f t="shared" si="1022"/>
        <v/>
      </c>
      <c r="RD245" s="21" t="str">
        <f t="shared" si="1023"/>
        <v/>
      </c>
      <c r="RE245" s="21" t="str">
        <f t="shared" si="1024"/>
        <v/>
      </c>
      <c r="RF245" s="21" t="str">
        <f t="shared" si="1025"/>
        <v/>
      </c>
      <c r="RG245" s="21" t="str">
        <f t="shared" si="1026"/>
        <v/>
      </c>
      <c r="RH245" s="21" t="str">
        <f t="shared" si="1027"/>
        <v/>
      </c>
      <c r="RI245" s="21" t="str">
        <f t="shared" si="1028"/>
        <v/>
      </c>
      <c r="RJ245" s="21" t="str">
        <f t="shared" si="1029"/>
        <v/>
      </c>
      <c r="RK245" s="21" t="str">
        <f t="shared" si="1030"/>
        <v/>
      </c>
      <c r="RL245" s="21" t="str">
        <f t="shared" si="1031"/>
        <v/>
      </c>
      <c r="RM245" s="21" t="str">
        <f t="shared" si="1032"/>
        <v/>
      </c>
      <c r="RN245" s="21" t="str">
        <f t="shared" si="1033"/>
        <v/>
      </c>
      <c r="RO245" s="21" t="str">
        <f t="shared" si="1034"/>
        <v/>
      </c>
      <c r="RP245" s="21" t="str">
        <f t="shared" si="1035"/>
        <v/>
      </c>
      <c r="RQ245" s="21" t="str">
        <f t="shared" si="1036"/>
        <v/>
      </c>
      <c r="RR245" s="21" t="str">
        <f t="shared" si="1037"/>
        <v/>
      </c>
      <c r="RS245" s="21" t="str">
        <f t="shared" si="1038"/>
        <v/>
      </c>
      <c r="RT245" s="21" t="str">
        <f t="shared" si="1039"/>
        <v/>
      </c>
      <c r="RU245" s="21" t="str">
        <f t="shared" si="1040"/>
        <v/>
      </c>
      <c r="RV245" s="21">
        <f t="shared" si="1041"/>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42"/>
        <v>x</v>
      </c>
    </row>
    <row r="246" spans="1:493" ht="45" customHeight="1" x14ac:dyDescent="0.25">
      <c r="A246" s="109"/>
      <c r="B246" s="43"/>
      <c r="C246" s="43" t="s">
        <v>845</v>
      </c>
      <c r="D246" s="124"/>
      <c r="E246" s="43" t="s">
        <v>1677</v>
      </c>
      <c r="F246" s="43" t="s">
        <v>962</v>
      </c>
      <c r="G246" s="43" t="s">
        <v>1678</v>
      </c>
      <c r="H246" s="43" t="s">
        <v>1679</v>
      </c>
      <c r="I246" s="109" t="s">
        <v>1094</v>
      </c>
      <c r="J246" s="343" t="s">
        <v>1676</v>
      </c>
      <c r="K246" s="43" t="s">
        <v>904</v>
      </c>
      <c r="L246" s="175" t="s">
        <v>1509</v>
      </c>
      <c r="M246" s="22">
        <v>40479</v>
      </c>
      <c r="N246" s="213">
        <f t="shared" ca="1" si="841"/>
        <v>13.021917808219179</v>
      </c>
      <c r="O246" s="22">
        <v>45164</v>
      </c>
      <c r="P246" s="214" t="str">
        <f t="shared" si="919"/>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2"/>
        <v>0</v>
      </c>
      <c r="BR246" s="223" t="str">
        <f t="shared" si="843"/>
        <v/>
      </c>
      <c r="BS246" s="224">
        <f t="shared" si="844"/>
        <v>28.428571428571427</v>
      </c>
      <c r="BT246" s="216" t="str">
        <f t="shared" si="845"/>
        <v>DEFINIR CON ECO</v>
      </c>
      <c r="BU246" s="214">
        <f t="shared" ca="1" si="928"/>
        <v>38.142857142857146</v>
      </c>
      <c r="BV246" s="25"/>
      <c r="BW246" s="22"/>
      <c r="BX246" s="28"/>
      <c r="BY246" s="28"/>
      <c r="BZ246" s="22"/>
      <c r="CA246" s="21"/>
      <c r="CB246" s="26"/>
      <c r="CC246" s="26"/>
      <c r="CD246" s="26"/>
      <c r="CE246" s="26"/>
      <c r="CF246" s="22" t="s">
        <v>1517</v>
      </c>
      <c r="CG246" s="21">
        <v>1.41</v>
      </c>
      <c r="CH246" s="21">
        <v>22.1</v>
      </c>
      <c r="CI246" s="214">
        <f t="shared" si="847"/>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8"/>
        <v>45164</v>
      </c>
      <c r="CL246" s="21">
        <v>22.1</v>
      </c>
      <c r="CM246" s="214">
        <f t="shared" si="849"/>
        <v>11.116141039183141</v>
      </c>
      <c r="CN246" s="216">
        <f t="shared" si="850"/>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5"/>
        <v/>
      </c>
      <c r="DA246" s="21">
        <v>90</v>
      </c>
      <c r="DB246" s="21">
        <v>60</v>
      </c>
      <c r="DC246" s="217" t="str">
        <f t="shared" si="851"/>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20"/>
        <v>CONCERTAR PLAN DE PARTO INMEDIATO</v>
      </c>
      <c r="DV246" s="226" t="str">
        <f t="shared" si="921"/>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2"/>
        <v>#REF!</v>
      </c>
      <c r="DY246" s="212">
        <f>IF(R246="","",IF(R246&gt;0,MAX(Tabla1[[#This Row],[FECHA C2]:[FECHA C13]],Tabla1[[#This Row],[FECHA CONSULTA PRIMERA VEZ PROGRAMA CPN ]])))</f>
        <v>45164</v>
      </c>
      <c r="DZ246" s="216">
        <f t="shared" si="853"/>
        <v>28</v>
      </c>
      <c r="EA246" s="222">
        <f>IF(R246&gt;0,SUM(COUNTA(DF246:DQ246)+COUNTA(Tabla1[[#This Row],[FECHA CONSULTA PRIMERA VEZ PROGRAMA CPN ]])),"")</f>
        <v>1</v>
      </c>
      <c r="EB246" s="222" t="str">
        <f t="shared" si="854"/>
        <v>NO</v>
      </c>
      <c r="EC246" s="214">
        <f t="shared" si="855"/>
        <v>4</v>
      </c>
      <c r="ED246" s="227">
        <f t="shared" si="856"/>
        <v>0.25</v>
      </c>
      <c r="EE246" s="22">
        <v>45164</v>
      </c>
      <c r="EF246" s="22">
        <v>45164</v>
      </c>
      <c r="EG246" s="22">
        <v>45164</v>
      </c>
      <c r="EH246" s="22"/>
      <c r="EI246" s="22">
        <v>45164</v>
      </c>
      <c r="EJ246" s="22"/>
      <c r="EK246" s="22"/>
      <c r="EL246" s="21"/>
      <c r="EM246" s="21"/>
      <c r="EN246" s="22"/>
      <c r="EO246" s="222" t="str">
        <f t="shared" si="857"/>
        <v>TOMAR EXAMEN</v>
      </c>
      <c r="EP246" s="214" t="str">
        <f t="shared" si="858"/>
        <v/>
      </c>
      <c r="EQ246" s="216" t="str">
        <f t="shared" si="859"/>
        <v>POR DEFINIR</v>
      </c>
      <c r="ER246" s="24"/>
      <c r="ES246" s="22"/>
      <c r="ET246" s="29" t="str">
        <f t="shared" ca="1" si="922"/>
        <v>TOMA DE HEMOGLOBINA TARDÍA</v>
      </c>
      <c r="EU246" s="25" t="str">
        <f t="shared" si="860"/>
        <v/>
      </c>
      <c r="EV246" s="24"/>
      <c r="EW246" s="24"/>
      <c r="EX246" s="22"/>
      <c r="EY246" s="29" t="str">
        <f t="shared" si="1043"/>
        <v>TOMAR EXAMEN</v>
      </c>
      <c r="EZ246" s="25" t="str">
        <f t="shared" ca="1" si="1044"/>
        <v/>
      </c>
      <c r="FA246" s="21"/>
      <c r="FB246" s="22"/>
      <c r="FC246" s="29" t="str">
        <f t="shared" si="861"/>
        <v>PIERDE TOMA TAMIZAJE- INGRESO TARDIO</v>
      </c>
      <c r="FD246" s="29"/>
      <c r="FE246" s="29"/>
      <c r="FF246" s="29"/>
      <c r="FG246" s="21" t="str">
        <f t="shared" ca="1" si="862"/>
        <v>TOMAR PTOG</v>
      </c>
      <c r="FH246" s="31"/>
      <c r="FI246" s="29" t="str">
        <f t="shared" si="863"/>
        <v>TOMAR EXAMEN</v>
      </c>
      <c r="FJ246" s="22"/>
      <c r="FK246" s="22"/>
      <c r="FL246" s="29" t="str">
        <f t="shared" ca="1" si="864"/>
        <v>NO APLICA-INGRESO TARDIO</v>
      </c>
      <c r="FM246" s="22"/>
      <c r="FN246" s="32"/>
      <c r="FO246" s="29" t="str">
        <f t="shared" ca="1" si="923"/>
        <v>NO APLICA-INGRESO TARDIO</v>
      </c>
      <c r="FP246" s="22"/>
      <c r="FQ246" s="32"/>
      <c r="FR246" s="29" t="str">
        <f t="shared" ca="1" si="924"/>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5"/>
        <v>TOMAR EXAMEN</v>
      </c>
      <c r="FY246" s="22"/>
      <c r="FZ246" s="22"/>
      <c r="GA246" s="29" t="str">
        <f t="shared" ca="1" si="939"/>
        <v>NO APLICA-INGRESO TARDIO</v>
      </c>
      <c r="GB246" s="22"/>
      <c r="GC246" s="22"/>
      <c r="GD246" s="29" t="str">
        <f t="shared" ca="1" si="1048"/>
        <v>NO APLICA-INGRESO TARDIO</v>
      </c>
      <c r="GE246" s="22"/>
      <c r="GF246" s="22"/>
      <c r="GG246" s="29" t="str">
        <f t="shared" ca="1" si="926"/>
        <v>TOMA INMEDIATA DE TAMIZAJE</v>
      </c>
      <c r="GH246" s="22"/>
      <c r="GI246" s="29"/>
      <c r="GJ246" s="22"/>
      <c r="GK246" s="22"/>
      <c r="GL246" s="22"/>
      <c r="GM246" s="22"/>
      <c r="GN246" s="28"/>
      <c r="GO246" s="22"/>
      <c r="GP246" s="29" t="str">
        <f t="shared" si="866"/>
        <v>TOMAR EXAMEN</v>
      </c>
      <c r="GQ246" s="28"/>
      <c r="GR246" s="28"/>
      <c r="GS246" s="22" t="str">
        <f t="shared" si="1047"/>
        <v/>
      </c>
      <c r="GT246" s="22"/>
      <c r="GU246" s="29" t="str">
        <f t="shared" si="867"/>
        <v>TOMAR EXAMEN</v>
      </c>
      <c r="GV246" s="21" t="str">
        <f t="shared" si="868"/>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9"/>
        <v>#REF!</v>
      </c>
      <c r="HI246" s="22" t="e">
        <f t="shared" ca="1" si="870"/>
        <v>#REF!</v>
      </c>
      <c r="HJ246" s="21" t="str">
        <f t="shared" ca="1" si="871"/>
        <v>**********************MULTIPARIDAD**RIESGO POR EDAD***************</v>
      </c>
      <c r="HK246" s="21" t="str">
        <f t="shared" si="872"/>
        <v>SIN ANTECEDENTES DE RIESGO</v>
      </c>
      <c r="HL246" s="24" t="str">
        <f t="shared" si="873"/>
        <v>APARENTEMENTE NORMAL</v>
      </c>
      <c r="HM246" s="21" t="e">
        <f t="shared" ca="1" si="874"/>
        <v>#REF!</v>
      </c>
      <c r="HN246" s="30" t="str">
        <f t="shared" si="927"/>
        <v>ACTIVA INGRESO A CPN</v>
      </c>
      <c r="HO246" s="21"/>
      <c r="HP246" s="21"/>
      <c r="HQ246" s="349"/>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5"/>
        <v>PENDIENTE CONSULTA</v>
      </c>
      <c r="IA246" s="26"/>
      <c r="IB246" s="26"/>
      <c r="IC246" s="111"/>
      <c r="ID246" s="22"/>
      <c r="IE246" s="22" t="str">
        <f t="shared" ca="1" si="876"/>
        <v>INASISTENTE</v>
      </c>
      <c r="IF246" s="22"/>
      <c r="IG246" s="22">
        <f t="shared" si="877"/>
        <v>45245</v>
      </c>
      <c r="IH246" s="29">
        <f t="shared" ca="1" si="878"/>
        <v>13</v>
      </c>
      <c r="II246" s="22" t="str">
        <f t="shared" ca="1" si="879"/>
        <v>MENOS DE 4 SEMANAS</v>
      </c>
      <c r="IJ246" s="22"/>
      <c r="IK246" s="21"/>
      <c r="IL246" s="21"/>
      <c r="IM246" s="34"/>
      <c r="IN246" s="22"/>
      <c r="IO246" s="21"/>
      <c r="IP246" s="29" t="str">
        <f t="shared" si="880"/>
        <v/>
      </c>
      <c r="IQ246" s="35"/>
      <c r="IR246" s="21"/>
      <c r="IS246" s="21"/>
      <c r="IT246" s="21"/>
      <c r="IU246" s="21"/>
      <c r="IV246" s="21"/>
      <c r="IW246" s="21"/>
      <c r="IX246" s="21"/>
      <c r="IY246" s="21"/>
      <c r="IZ246" s="21"/>
      <c r="JA246" s="21"/>
      <c r="JB246" s="30"/>
      <c r="JC246" s="21"/>
      <c r="JD246" s="36"/>
      <c r="JE246" s="21" t="str">
        <f t="shared" si="881"/>
        <v/>
      </c>
      <c r="JF246" s="30"/>
      <c r="JG246" s="21"/>
      <c r="JH246" s="21"/>
      <c r="JI246" s="21"/>
      <c r="JJ246" s="30"/>
      <c r="JK246" s="22"/>
      <c r="JL246" s="22"/>
      <c r="JM246" s="21"/>
      <c r="JN246" s="36"/>
      <c r="JO246" s="21" t="str">
        <f t="shared" si="882"/>
        <v/>
      </c>
      <c r="JP246" s="22"/>
      <c r="JQ246" s="21"/>
      <c r="JR246" s="21"/>
      <c r="JS246" s="21"/>
      <c r="JT246" s="30"/>
      <c r="JU246" s="22"/>
      <c r="JV246" s="22"/>
      <c r="JW246" s="33"/>
      <c r="JX246" s="28" t="str">
        <f t="shared" si="883"/>
        <v/>
      </c>
      <c r="JY246" s="33"/>
      <c r="JZ246" s="28" t="str">
        <f t="shared" si="884"/>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5"/>
        <v>0</v>
      </c>
      <c r="MI246" s="43" t="str">
        <f t="shared" si="929"/>
        <v/>
      </c>
      <c r="MJ246" s="43" t="str">
        <f t="shared" si="887"/>
        <v/>
      </c>
      <c r="MK246" s="43">
        <f t="shared" si="888"/>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30"/>
        <v>28.428571428571427</v>
      </c>
      <c r="MN246" s="43">
        <f t="shared" si="931"/>
        <v>8</v>
      </c>
      <c r="MO246" s="43">
        <f t="shared" si="932"/>
        <v>2023</v>
      </c>
      <c r="MP246" s="43" t="str">
        <f t="shared" si="892"/>
        <v>III TRIMESTRE AÑO</v>
      </c>
      <c r="MQ246" s="43">
        <f t="shared" si="933"/>
        <v>12.642356548401226</v>
      </c>
      <c r="MR246" s="43">
        <f t="shared" si="894"/>
        <v>2</v>
      </c>
      <c r="MS246" s="43" t="str">
        <f t="shared" si="895"/>
        <v>MENOR 14 AÑOS</v>
      </c>
      <c r="MT246" s="43">
        <f t="shared" si="896"/>
        <v>0</v>
      </c>
      <c r="MU246" s="43">
        <f t="shared" si="897"/>
        <v>1</v>
      </c>
      <c r="MV246" s="43">
        <f t="shared" si="898"/>
        <v>0</v>
      </c>
      <c r="MW246" s="43">
        <f t="shared" si="899"/>
        <v>0</v>
      </c>
      <c r="MX246" s="43" t="str">
        <f t="shared" si="900"/>
        <v/>
      </c>
      <c r="MY246" s="43" t="str">
        <f t="shared" ca="1" si="901"/>
        <v/>
      </c>
      <c r="MZ246" s="43" t="str">
        <f t="shared" si="902"/>
        <v/>
      </c>
      <c r="NA246" s="43" t="str">
        <f t="shared" si="903"/>
        <v/>
      </c>
      <c r="NB246" s="43" t="str">
        <f t="shared" si="904"/>
        <v/>
      </c>
      <c r="NC246" s="43" t="str">
        <f t="shared" si="905"/>
        <v/>
      </c>
      <c r="ND246" s="43">
        <f t="shared" ca="1" si="934"/>
        <v>3</v>
      </c>
      <c r="NE246" s="43">
        <f>IF(OR(O246&gt;0,R246&gt;0),SUM(COUNTIF(Tabla1[[#This Row],[AÑOS AL INICIO5 CPN]],"&gt;=40"),COUNTIF(AS246,"0"),COUNTIF(AR246,"SI"),COUNTIF(CC246,"SI"),COUNTIF(BQ246,"&gt;119"),COUNTIF(CI246,"&gt;=35")),"")</f>
        <v>1</v>
      </c>
      <c r="NF246" s="43" t="str">
        <f t="shared" si="935"/>
        <v/>
      </c>
      <c r="NG246" s="43">
        <f t="shared" si="908"/>
        <v>0</v>
      </c>
      <c r="NH246" s="43" t="str">
        <f t="shared" si="909"/>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6"/>
        <v>X</v>
      </c>
      <c r="NM246" s="43" t="str">
        <f t="shared" si="941"/>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12"/>
        <v>DEFINIR CON ECO</v>
      </c>
      <c r="NQ246" s="21" t="str">
        <f t="shared" si="1046"/>
        <v/>
      </c>
      <c r="NR246" s="21">
        <f t="shared" si="937"/>
        <v>1</v>
      </c>
      <c r="NS246" s="205">
        <f t="shared" ca="1" si="914"/>
        <v>0</v>
      </c>
      <c r="NT246" s="21">
        <f t="shared" ca="1" si="915"/>
        <v>0</v>
      </c>
      <c r="NU246" s="21" t="str">
        <f t="shared" ca="1" si="916"/>
        <v>INCOMPLETO</v>
      </c>
      <c r="NV246" s="21" t="str">
        <f t="shared" ca="1" si="917"/>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8"/>
        <v>SIN VACUNAR</v>
      </c>
      <c r="NY246" s="43">
        <f>ROW(Tabla1[[#This Row],['# DE TAMIZAJES SIFILIS TOMADOS ]])</f>
        <v>246</v>
      </c>
      <c r="NZ246" s="43">
        <f t="shared" si="942"/>
        <v>28</v>
      </c>
      <c r="OA246" s="43" t="str">
        <f t="shared" si="943"/>
        <v/>
      </c>
      <c r="OB246" s="43" t="str">
        <f t="shared" si="944"/>
        <v/>
      </c>
      <c r="OC246" s="43" t="str">
        <f t="shared" si="945"/>
        <v/>
      </c>
      <c r="OD246" s="43" t="str">
        <f t="shared" si="946"/>
        <v/>
      </c>
      <c r="OE246" s="43" t="str">
        <f t="shared" si="947"/>
        <v/>
      </c>
      <c r="OF246" s="43" t="str">
        <f t="shared" si="948"/>
        <v/>
      </c>
      <c r="OG246" s="43" t="str">
        <f t="shared" si="949"/>
        <v/>
      </c>
      <c r="OH246" s="43" t="str">
        <f t="shared" si="950"/>
        <v/>
      </c>
      <c r="OI246" s="43" t="str">
        <f t="shared" si="951"/>
        <v/>
      </c>
      <c r="OJ246" s="43" t="str">
        <f t="shared" si="952"/>
        <v/>
      </c>
      <c r="OK246" s="43" t="str">
        <f t="shared" si="953"/>
        <v/>
      </c>
      <c r="OL246" s="43" t="str">
        <f t="shared" si="954"/>
        <v/>
      </c>
      <c r="OM246" s="43" t="str">
        <f t="shared" si="955"/>
        <v/>
      </c>
      <c r="ON246" s="43" t="str">
        <f t="shared" si="956"/>
        <v/>
      </c>
      <c r="OO246" s="43" t="str">
        <f t="shared" si="957"/>
        <v/>
      </c>
      <c r="OP246" s="43" t="str">
        <f t="shared" si="958"/>
        <v/>
      </c>
      <c r="OQ246" s="43" t="str">
        <f t="shared" si="959"/>
        <v/>
      </c>
      <c r="OR246" s="43" t="str">
        <f t="shared" si="960"/>
        <v/>
      </c>
      <c r="OS246" s="43" t="str">
        <f t="shared" si="961"/>
        <v/>
      </c>
      <c r="OT246" s="43" t="str">
        <f t="shared" si="962"/>
        <v>BAJO PESO</v>
      </c>
      <c r="OU246" s="43" t="str">
        <f t="shared" si="963"/>
        <v/>
      </c>
      <c r="OV246" s="110" t="str">
        <f t="shared" si="964"/>
        <v/>
      </c>
      <c r="OW246" s="43" t="str">
        <f t="shared" si="965"/>
        <v/>
      </c>
      <c r="OX246" s="43" t="str">
        <f t="shared" si="966"/>
        <v/>
      </c>
      <c r="OY246" s="43" t="str">
        <f t="shared" si="967"/>
        <v/>
      </c>
      <c r="OZ246" s="43" t="str">
        <f t="shared" si="968"/>
        <v/>
      </c>
      <c r="PA246" s="43" t="str">
        <f t="shared" si="969"/>
        <v/>
      </c>
      <c r="PB246" s="43" t="str">
        <f t="shared" si="970"/>
        <v/>
      </c>
      <c r="PC246" s="43" t="str">
        <f t="shared" si="971"/>
        <v/>
      </c>
      <c r="PD246" s="43" t="str">
        <f t="shared" si="972"/>
        <v/>
      </c>
      <c r="PE246" s="43" t="str">
        <f t="shared" si="973"/>
        <v/>
      </c>
      <c r="PF246" s="43" t="str">
        <f t="shared" si="974"/>
        <v/>
      </c>
      <c r="PG246" s="43" t="str">
        <f t="shared" si="975"/>
        <v/>
      </c>
      <c r="PH246" s="43" t="str">
        <f t="shared" si="976"/>
        <v/>
      </c>
      <c r="PI246" s="43">
        <f t="shared" si="977"/>
        <v>28</v>
      </c>
      <c r="PJ246" s="43" t="str">
        <f t="shared" si="978"/>
        <v/>
      </c>
      <c r="PK246" s="43" t="str">
        <f t="shared" si="979"/>
        <v/>
      </c>
      <c r="PL246" s="43" t="str">
        <f t="shared" si="980"/>
        <v/>
      </c>
      <c r="PM246" s="43" t="str">
        <f t="shared" si="981"/>
        <v/>
      </c>
      <c r="PN246" s="43" t="str">
        <f t="shared" si="982"/>
        <v/>
      </c>
      <c r="PO246" s="43" t="str">
        <f t="shared" si="983"/>
        <v/>
      </c>
      <c r="PP246" s="43" t="str">
        <f t="shared" si="984"/>
        <v/>
      </c>
      <c r="PQ246" s="43" t="str">
        <f t="shared" si="985"/>
        <v/>
      </c>
      <c r="PR246" s="43" t="str">
        <f t="shared" si="986"/>
        <v/>
      </c>
      <c r="PS246" s="43" t="str">
        <f t="shared" si="987"/>
        <v/>
      </c>
      <c r="PT246" s="43" t="str">
        <f t="shared" si="988"/>
        <v/>
      </c>
      <c r="PU246" s="43" t="str">
        <f t="shared" si="989"/>
        <v/>
      </c>
      <c r="PV246" s="43" t="str">
        <f t="shared" si="990"/>
        <v/>
      </c>
      <c r="PW246" s="43" t="str">
        <f t="shared" si="991"/>
        <v/>
      </c>
      <c r="PX246" s="43" t="str">
        <f t="shared" si="992"/>
        <v/>
      </c>
      <c r="PY246" s="43" t="str">
        <f t="shared" si="993"/>
        <v/>
      </c>
      <c r="PZ246" s="43" t="str">
        <f t="shared" si="994"/>
        <v/>
      </c>
      <c r="QA246" s="43" t="str">
        <f t="shared" si="995"/>
        <v/>
      </c>
      <c r="QB246" s="43" t="str">
        <f t="shared" si="996"/>
        <v/>
      </c>
      <c r="QC246" s="43" t="str">
        <f t="shared" si="997"/>
        <v>BAJO PESO</v>
      </c>
      <c r="QD246" s="43" t="str">
        <f t="shared" si="998"/>
        <v/>
      </c>
      <c r="QE246" s="43" t="str">
        <f t="shared" si="999"/>
        <v/>
      </c>
      <c r="QF246" s="43" t="str">
        <f t="shared" si="1000"/>
        <v/>
      </c>
      <c r="QG246" s="43" t="str">
        <f t="shared" si="1001"/>
        <v/>
      </c>
      <c r="QH246" s="43" t="str">
        <f t="shared" si="1002"/>
        <v/>
      </c>
      <c r="QI246" s="43" t="str">
        <f t="shared" si="1003"/>
        <v/>
      </c>
      <c r="QJ246" s="43" t="str">
        <f t="shared" si="1004"/>
        <v/>
      </c>
      <c r="QK246" s="43" t="str">
        <f t="shared" si="1005"/>
        <v/>
      </c>
      <c r="QL246" s="43" t="str">
        <f t="shared" si="1006"/>
        <v/>
      </c>
      <c r="QM246" s="43" t="str">
        <f t="shared" si="1007"/>
        <v/>
      </c>
      <c r="QN246" s="43" t="str">
        <f t="shared" si="1008"/>
        <v/>
      </c>
      <c r="QO246" s="43" t="str">
        <f t="shared" si="1009"/>
        <v/>
      </c>
      <c r="QP246" s="43" t="str">
        <f t="shared" si="1010"/>
        <v/>
      </c>
      <c r="QQ246" s="43" t="str">
        <f t="shared" si="1011"/>
        <v/>
      </c>
      <c r="QR246" s="43">
        <f t="shared" si="1012"/>
        <v>28</v>
      </c>
      <c r="QS246" s="43"/>
      <c r="QT246" s="21" t="str">
        <f t="shared" si="1013"/>
        <v/>
      </c>
      <c r="QU246" s="21" t="str">
        <f t="shared" si="1014"/>
        <v/>
      </c>
      <c r="QV246" s="21" t="str">
        <f t="shared" si="1015"/>
        <v/>
      </c>
      <c r="QW246" s="21" t="str">
        <f t="shared" si="1016"/>
        <v/>
      </c>
      <c r="QX246" s="21" t="str">
        <f t="shared" si="1017"/>
        <v/>
      </c>
      <c r="QY246" s="21" t="str">
        <f t="shared" si="1018"/>
        <v/>
      </c>
      <c r="QZ246" s="21" t="str">
        <f t="shared" si="1019"/>
        <v/>
      </c>
      <c r="RA246" s="21" t="str">
        <f t="shared" si="1020"/>
        <v/>
      </c>
      <c r="RB246" s="21" t="str">
        <f t="shared" si="1021"/>
        <v/>
      </c>
      <c r="RC246" s="21" t="str">
        <f t="shared" si="1022"/>
        <v/>
      </c>
      <c r="RD246" s="21" t="str">
        <f t="shared" si="1023"/>
        <v/>
      </c>
      <c r="RE246" s="21" t="str">
        <f t="shared" si="1024"/>
        <v/>
      </c>
      <c r="RF246" s="21" t="str">
        <f t="shared" si="1025"/>
        <v/>
      </c>
      <c r="RG246" s="21" t="str">
        <f t="shared" si="1026"/>
        <v/>
      </c>
      <c r="RH246" s="21" t="str">
        <f t="shared" si="1027"/>
        <v/>
      </c>
      <c r="RI246" s="21" t="str">
        <f t="shared" si="1028"/>
        <v>ADECUADO PARA EDAD GESTACIONAL</v>
      </c>
      <c r="RJ246" s="21" t="str">
        <f t="shared" si="1029"/>
        <v/>
      </c>
      <c r="RK246" s="21" t="str">
        <f t="shared" si="1030"/>
        <v/>
      </c>
      <c r="RL246" s="21" t="str">
        <f t="shared" si="1031"/>
        <v/>
      </c>
      <c r="RM246" s="21" t="str">
        <f t="shared" si="1032"/>
        <v/>
      </c>
      <c r="RN246" s="21" t="str">
        <f t="shared" si="1033"/>
        <v/>
      </c>
      <c r="RO246" s="21" t="str">
        <f t="shared" si="1034"/>
        <v/>
      </c>
      <c r="RP246" s="21" t="str">
        <f t="shared" si="1035"/>
        <v/>
      </c>
      <c r="RQ246" s="21" t="str">
        <f t="shared" si="1036"/>
        <v/>
      </c>
      <c r="RR246" s="21" t="str">
        <f t="shared" si="1037"/>
        <v/>
      </c>
      <c r="RS246" s="21" t="str">
        <f t="shared" si="1038"/>
        <v/>
      </c>
      <c r="RT246" s="21" t="str">
        <f t="shared" si="1039"/>
        <v/>
      </c>
      <c r="RU246" s="21" t="str">
        <f t="shared" si="1040"/>
        <v/>
      </c>
      <c r="RV246" s="21">
        <f t="shared" si="1041"/>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42"/>
        <v>x</v>
      </c>
    </row>
    <row r="247" spans="1:493" ht="45" customHeight="1" x14ac:dyDescent="0.25">
      <c r="A247" s="109"/>
      <c r="B247" s="43"/>
      <c r="C247" s="43" t="s">
        <v>845</v>
      </c>
      <c r="D247" s="124"/>
      <c r="E247" s="43" t="s">
        <v>1286</v>
      </c>
      <c r="F247" s="43" t="s">
        <v>943</v>
      </c>
      <c r="G247" s="43" t="s">
        <v>1681</v>
      </c>
      <c r="H247" s="43"/>
      <c r="I247" s="109" t="s">
        <v>851</v>
      </c>
      <c r="J247" s="343" t="s">
        <v>1680</v>
      </c>
      <c r="K247" s="43" t="s">
        <v>852</v>
      </c>
      <c r="L247" s="175" t="s">
        <v>1509</v>
      </c>
      <c r="M247" s="22">
        <v>30236</v>
      </c>
      <c r="N247" s="213">
        <f t="shared" ca="1" si="841"/>
        <v>41.084931506849315</v>
      </c>
      <c r="O247" s="22">
        <v>45164</v>
      </c>
      <c r="P247" s="214" t="str">
        <f t="shared" si="919"/>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2"/>
        <v>0</v>
      </c>
      <c r="BR247" s="223" t="str">
        <f t="shared" si="843"/>
        <v/>
      </c>
      <c r="BS247" s="224">
        <f t="shared" si="844"/>
        <v>5.1428571428571432</v>
      </c>
      <c r="BT247" s="216" t="str">
        <f t="shared" si="845"/>
        <v>DEFINIR CON ECO</v>
      </c>
      <c r="BU247" s="214">
        <f t="shared" ca="1" si="928"/>
        <v>14.857142857142858</v>
      </c>
      <c r="BV247" s="25"/>
      <c r="BW247" s="22"/>
      <c r="BX247" s="28"/>
      <c r="BY247" s="28"/>
      <c r="BZ247" s="22"/>
      <c r="CA247" s="21"/>
      <c r="CB247" s="26"/>
      <c r="CC247" s="26"/>
      <c r="CD247" s="26"/>
      <c r="CE247" s="26"/>
      <c r="CF247" s="22" t="s">
        <v>1517</v>
      </c>
      <c r="CG247" s="21">
        <v>1.44</v>
      </c>
      <c r="CH247" s="21">
        <v>57</v>
      </c>
      <c r="CI247" s="214">
        <f t="shared" si="847"/>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8"/>
        <v>45164</v>
      </c>
      <c r="CL247" s="21">
        <v>57</v>
      </c>
      <c r="CM247" s="214">
        <f t="shared" si="849"/>
        <v>27.488425925925927</v>
      </c>
      <c r="CN247" s="216">
        <f t="shared" si="850"/>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5"/>
        <v/>
      </c>
      <c r="DA247" s="21">
        <v>98</v>
      </c>
      <c r="DB247" s="21">
        <v>60</v>
      </c>
      <c r="DC247" s="217" t="str">
        <f t="shared" si="851"/>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20"/>
        <v>EN ESPERA</v>
      </c>
      <c r="DV247" s="226" t="str">
        <f t="shared" si="921"/>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2"/>
        <v>#REF!</v>
      </c>
      <c r="DY247" s="212">
        <f>IF(R247="","",IF(R247&gt;0,MAX(Tabla1[[#This Row],[FECHA C2]:[FECHA C13]],Tabla1[[#This Row],[FECHA CONSULTA PRIMERA VEZ PROGRAMA CPN ]])))</f>
        <v>45164</v>
      </c>
      <c r="DZ247" s="216">
        <f t="shared" si="853"/>
        <v>5</v>
      </c>
      <c r="EA247" s="222">
        <f>IF(R247&gt;0,SUM(COUNTA(DF247:DQ247)+COUNTA(Tabla1[[#This Row],[FECHA CONSULTA PRIMERA VEZ PROGRAMA CPN ]])),"")</f>
        <v>1</v>
      </c>
      <c r="EB247" s="222" t="str">
        <f t="shared" si="854"/>
        <v>NO</v>
      </c>
      <c r="EC247" s="214">
        <f t="shared" si="855"/>
        <v>10</v>
      </c>
      <c r="ED247" s="227">
        <f t="shared" si="856"/>
        <v>0.1</v>
      </c>
      <c r="EE247" s="22">
        <v>45164</v>
      </c>
      <c r="EF247" s="22"/>
      <c r="EG247" s="22">
        <v>45164</v>
      </c>
      <c r="EH247" s="22"/>
      <c r="EI247" s="22">
        <v>45164</v>
      </c>
      <c r="EJ247" s="22"/>
      <c r="EK247" s="22"/>
      <c r="EL247" s="21"/>
      <c r="EM247" s="21"/>
      <c r="EN247" s="22"/>
      <c r="EO247" s="222" t="str">
        <f t="shared" si="857"/>
        <v>TOMAR EXAMEN</v>
      </c>
      <c r="EP247" s="214" t="str">
        <f t="shared" si="858"/>
        <v/>
      </c>
      <c r="EQ247" s="216" t="str">
        <f t="shared" si="859"/>
        <v>POR DEFINIR</v>
      </c>
      <c r="ER247" s="24"/>
      <c r="ES247" s="22"/>
      <c r="ET247" s="29" t="str">
        <f t="shared" ca="1" si="922"/>
        <v>EN ESPERA PARA TOMA EXAMEN</v>
      </c>
      <c r="EU247" s="25" t="str">
        <f t="shared" si="860"/>
        <v/>
      </c>
      <c r="EV247" s="24"/>
      <c r="EW247" s="24"/>
      <c r="EX247" s="22"/>
      <c r="EY247" s="29" t="str">
        <f t="shared" si="1043"/>
        <v>TOMAR EXAMEN</v>
      </c>
      <c r="EZ247" s="25" t="str">
        <f t="shared" ca="1" si="1044"/>
        <v/>
      </c>
      <c r="FA247" s="21"/>
      <c r="FB247" s="22"/>
      <c r="FC247" s="29" t="str">
        <f t="shared" si="861"/>
        <v>TOMAR EXAMEN</v>
      </c>
      <c r="FD247" s="29"/>
      <c r="FE247" s="29"/>
      <c r="FF247" s="29"/>
      <c r="FG247" s="21" t="str">
        <f t="shared" ca="1" si="862"/>
        <v/>
      </c>
      <c r="FH247" s="31"/>
      <c r="FI247" s="29" t="str">
        <f t="shared" si="863"/>
        <v>TOMAR EXAMEN</v>
      </c>
      <c r="FJ247" s="22"/>
      <c r="FK247" s="22"/>
      <c r="FL247" s="29" t="str">
        <f t="shared" ca="1" si="864"/>
        <v>PIERDE TOMA DE TAMIZAJE</v>
      </c>
      <c r="FM247" s="22"/>
      <c r="FN247" s="32"/>
      <c r="FO247" s="29" t="str">
        <f t="shared" ca="1" si="923"/>
        <v>EN RANGO PARA TOMAR EXAMEN</v>
      </c>
      <c r="FP247" s="22"/>
      <c r="FQ247" s="32"/>
      <c r="FR247" s="29" t="str">
        <f t="shared" ca="1" si="924"/>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5"/>
        <v>TOMAR EXAMEN</v>
      </c>
      <c r="FY247" s="22"/>
      <c r="FZ247" s="22"/>
      <c r="GA247" s="29" t="str">
        <f t="shared" ref="GA247" ca="1" si="1052">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8"/>
        <v>EN RANGO PARA TOMAR EXAMEN</v>
      </c>
      <c r="GE247" s="22"/>
      <c r="GF247" s="22"/>
      <c r="GG247" s="29" t="str">
        <f t="shared" ca="1" si="926"/>
        <v>EN ESPERA-ESTÁ I TRIM O II TRIM</v>
      </c>
      <c r="GH247" s="22"/>
      <c r="GI247" s="29"/>
      <c r="GJ247" s="22"/>
      <c r="GK247" s="22"/>
      <c r="GL247" s="22"/>
      <c r="GM247" s="22"/>
      <c r="GN247" s="28"/>
      <c r="GO247" s="22"/>
      <c r="GP247" s="29" t="str">
        <f t="shared" si="866"/>
        <v>TOMAR EXAMEN</v>
      </c>
      <c r="GQ247" s="28"/>
      <c r="GR247" s="28"/>
      <c r="GS247" s="22" t="str">
        <f t="shared" si="1047"/>
        <v/>
      </c>
      <c r="GT247" s="22"/>
      <c r="GU247" s="29" t="str">
        <f t="shared" si="867"/>
        <v>TOMAR EXAMEN</v>
      </c>
      <c r="GV247" s="21" t="str">
        <f t="shared" si="868"/>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9"/>
        <v>#REF!</v>
      </c>
      <c r="HI247" s="22" t="e">
        <f t="shared" ca="1" si="870"/>
        <v>#REF!</v>
      </c>
      <c r="HJ247" s="21" t="str">
        <f t="shared" ca="1" si="871"/>
        <v>************************RIESGO POR EDAD***************</v>
      </c>
      <c r="HK247" s="21" t="str">
        <f t="shared" si="872"/>
        <v>SIN ANTECEDENTES DE RIESGO</v>
      </c>
      <c r="HL247" s="24" t="str">
        <f t="shared" si="873"/>
        <v>APARENTEMENTE NORMAL</v>
      </c>
      <c r="HM247" s="21" t="e">
        <f t="shared" ca="1" si="874"/>
        <v>#REF!</v>
      </c>
      <c r="HN247" s="30" t="str">
        <f t="shared" si="927"/>
        <v>ACTIVA INGRESO A CPN</v>
      </c>
      <c r="HO247" s="21"/>
      <c r="HP247" s="21"/>
      <c r="HQ247" s="349"/>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5"/>
        <v>PENDIENTE CONSULTA</v>
      </c>
      <c r="IA247" s="26"/>
      <c r="IB247" s="26"/>
      <c r="IC247" s="111"/>
      <c r="ID247" s="22"/>
      <c r="IE247" s="22" t="str">
        <f t="shared" ca="1" si="876"/>
        <v>EN ESPERA PARA VACUNAR</v>
      </c>
      <c r="IF247" s="22"/>
      <c r="IG247" s="22">
        <f t="shared" si="877"/>
        <v>45408</v>
      </c>
      <c r="IH247" s="29">
        <f t="shared" ca="1" si="878"/>
        <v>176</v>
      </c>
      <c r="II247" s="22" t="str">
        <f t="shared" ca="1" si="879"/>
        <v>PENDIENTE</v>
      </c>
      <c r="IJ247" s="22"/>
      <c r="IK247" s="21"/>
      <c r="IL247" s="21"/>
      <c r="IM247" s="34"/>
      <c r="IN247" s="22"/>
      <c r="IO247" s="21"/>
      <c r="IP247" s="29" t="str">
        <f t="shared" si="880"/>
        <v/>
      </c>
      <c r="IQ247" s="35"/>
      <c r="IR247" s="21"/>
      <c r="IS247" s="21"/>
      <c r="IT247" s="21"/>
      <c r="IU247" s="21"/>
      <c r="IV247" s="21"/>
      <c r="IW247" s="21"/>
      <c r="IX247" s="21"/>
      <c r="IY247" s="21"/>
      <c r="IZ247" s="21"/>
      <c r="JA247" s="21"/>
      <c r="JB247" s="30"/>
      <c r="JC247" s="21"/>
      <c r="JD247" s="36"/>
      <c r="JE247" s="21" t="str">
        <f t="shared" si="881"/>
        <v/>
      </c>
      <c r="JF247" s="30"/>
      <c r="JG247" s="21"/>
      <c r="JH247" s="21"/>
      <c r="JI247" s="21"/>
      <c r="JJ247" s="30"/>
      <c r="JK247" s="22"/>
      <c r="JL247" s="22"/>
      <c r="JM247" s="21"/>
      <c r="JN247" s="36"/>
      <c r="JO247" s="21" t="str">
        <f t="shared" si="882"/>
        <v/>
      </c>
      <c r="JP247" s="22"/>
      <c r="JQ247" s="21"/>
      <c r="JR247" s="21"/>
      <c r="JS247" s="21"/>
      <c r="JT247" s="30"/>
      <c r="JU247" s="22"/>
      <c r="JV247" s="22"/>
      <c r="JW247" s="33"/>
      <c r="JX247" s="28" t="str">
        <f t="shared" si="883"/>
        <v/>
      </c>
      <c r="JY247" s="159"/>
      <c r="JZ247" s="28" t="str">
        <f t="shared" si="884"/>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5"/>
        <v>0</v>
      </c>
      <c r="MI247" s="43" t="str">
        <f t="shared" si="929"/>
        <v/>
      </c>
      <c r="MJ247" s="43" t="str">
        <f t="shared" si="887"/>
        <v/>
      </c>
      <c r="MK247" s="43">
        <f t="shared" si="888"/>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30"/>
        <v>5.1428571428571432</v>
      </c>
      <c r="MN247" s="43">
        <f t="shared" si="931"/>
        <v>8</v>
      </c>
      <c r="MO247" s="43">
        <f t="shared" si="932"/>
        <v>2023</v>
      </c>
      <c r="MP247" s="43" t="str">
        <f t="shared" si="892"/>
        <v>III TRIMESTRE AÑO</v>
      </c>
      <c r="MQ247" s="43">
        <f t="shared" si="933"/>
        <v>40.2814279456855</v>
      </c>
      <c r="MR247" s="43">
        <f t="shared" si="894"/>
        <v>2</v>
      </c>
      <c r="MS247" s="43" t="str">
        <f t="shared" si="895"/>
        <v xml:space="preserve"> DE 40 Y MAS</v>
      </c>
      <c r="MT247" s="43">
        <f t="shared" si="896"/>
        <v>0</v>
      </c>
      <c r="MU247" s="43">
        <f t="shared" si="897"/>
        <v>0</v>
      </c>
      <c r="MV247" s="43">
        <f t="shared" si="898"/>
        <v>0</v>
      </c>
      <c r="MW247" s="43">
        <f t="shared" si="899"/>
        <v>0</v>
      </c>
      <c r="MX247" s="43" t="str">
        <f t="shared" si="900"/>
        <v/>
      </c>
      <c r="MY247" s="43" t="str">
        <f t="shared" ca="1" si="901"/>
        <v/>
      </c>
      <c r="MZ247" s="43" t="str">
        <f t="shared" si="902"/>
        <v/>
      </c>
      <c r="NA247" s="43" t="str">
        <f t="shared" si="903"/>
        <v/>
      </c>
      <c r="NB247" s="43" t="str">
        <f t="shared" si="904"/>
        <v/>
      </c>
      <c r="NC247" s="43" t="str">
        <f t="shared" si="905"/>
        <v/>
      </c>
      <c r="ND247" s="43">
        <f t="shared" ca="1" si="934"/>
        <v>2</v>
      </c>
      <c r="NE247" s="43">
        <f>IF(OR(O247&gt;0,R247&gt;0),SUM(COUNTIF(Tabla1[[#This Row],[AÑOS AL INICIO5 CPN]],"&gt;=40"),COUNTIF(AS247,"0"),COUNTIF(AR247,"SI"),COUNTIF(CC247,"SI"),COUNTIF(BQ247,"&gt;119"),COUNTIF(CI247,"&gt;=35")),"")</f>
        <v>1</v>
      </c>
      <c r="NF247" s="43" t="str">
        <f t="shared" si="935"/>
        <v/>
      </c>
      <c r="NG247" s="43">
        <f t="shared" si="908"/>
        <v>0</v>
      </c>
      <c r="NH247" s="43" t="str">
        <f t="shared" si="909"/>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6"/>
        <v>X</v>
      </c>
      <c r="NM247" s="43" t="str">
        <f t="shared" si="941"/>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12"/>
        <v>DEFINIR CON ECO</v>
      </c>
      <c r="NQ247" s="21" t="str">
        <f t="shared" si="1046"/>
        <v/>
      </c>
      <c r="NR247" s="21">
        <f t="shared" ca="1" si="937"/>
        <v>2</v>
      </c>
      <c r="NS247" s="205">
        <f t="shared" ca="1" si="914"/>
        <v>0</v>
      </c>
      <c r="NT247" s="21">
        <f t="shared" ca="1" si="915"/>
        <v>0</v>
      </c>
      <c r="NU247" s="21" t="str">
        <f t="shared" ca="1" si="916"/>
        <v>INCOMPLETO</v>
      </c>
      <c r="NV247" s="21" t="str">
        <f t="shared" ca="1" si="917"/>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8"/>
        <v>SIN VACUNAR</v>
      </c>
      <c r="NY247" s="43">
        <f>ROW(Tabla1[[#This Row],['# DE TAMIZAJES SIFILIS TOMADOS ]])</f>
        <v>247</v>
      </c>
      <c r="NZ247" s="43" t="str">
        <f t="shared" si="942"/>
        <v>Menor</v>
      </c>
      <c r="OA247" s="43" t="str">
        <f t="shared" si="943"/>
        <v>SOBREPESO</v>
      </c>
      <c r="OB247" s="43" t="str">
        <f t="shared" si="944"/>
        <v/>
      </c>
      <c r="OC247" s="43" t="str">
        <f t="shared" si="945"/>
        <v/>
      </c>
      <c r="OD247" s="43" t="str">
        <f t="shared" si="946"/>
        <v/>
      </c>
      <c r="OE247" s="43" t="str">
        <f t="shared" si="947"/>
        <v/>
      </c>
      <c r="OF247" s="43" t="str">
        <f t="shared" si="948"/>
        <v/>
      </c>
      <c r="OG247" s="43" t="str">
        <f t="shared" si="949"/>
        <v/>
      </c>
      <c r="OH247" s="43" t="str">
        <f t="shared" si="950"/>
        <v/>
      </c>
      <c r="OI247" s="43" t="str">
        <f t="shared" si="951"/>
        <v/>
      </c>
      <c r="OJ247" s="43" t="str">
        <f t="shared" si="952"/>
        <v/>
      </c>
      <c r="OK247" s="43" t="str">
        <f t="shared" si="953"/>
        <v/>
      </c>
      <c r="OL247" s="43" t="str">
        <f t="shared" si="954"/>
        <v/>
      </c>
      <c r="OM247" s="43" t="str">
        <f t="shared" si="955"/>
        <v/>
      </c>
      <c r="ON247" s="43" t="str">
        <f t="shared" si="956"/>
        <v/>
      </c>
      <c r="OO247" s="43" t="str">
        <f t="shared" si="957"/>
        <v/>
      </c>
      <c r="OP247" s="43" t="str">
        <f t="shared" si="958"/>
        <v/>
      </c>
      <c r="OQ247" s="43" t="str">
        <f t="shared" si="959"/>
        <v/>
      </c>
      <c r="OR247" s="43" t="str">
        <f t="shared" si="960"/>
        <v/>
      </c>
      <c r="OS247" s="43" t="str">
        <f t="shared" si="961"/>
        <v/>
      </c>
      <c r="OT247" s="43" t="str">
        <f t="shared" si="962"/>
        <v/>
      </c>
      <c r="OU247" s="43" t="str">
        <f t="shared" si="963"/>
        <v/>
      </c>
      <c r="OV247" s="110" t="str">
        <f t="shared" si="964"/>
        <v/>
      </c>
      <c r="OW247" s="43" t="str">
        <f t="shared" si="965"/>
        <v/>
      </c>
      <c r="OX247" s="43" t="str">
        <f t="shared" si="966"/>
        <v/>
      </c>
      <c r="OY247" s="43" t="str">
        <f t="shared" si="967"/>
        <v/>
      </c>
      <c r="OZ247" s="43" t="str">
        <f t="shared" si="968"/>
        <v/>
      </c>
      <c r="PA247" s="43" t="str">
        <f t="shared" si="969"/>
        <v/>
      </c>
      <c r="PB247" s="43" t="str">
        <f t="shared" si="970"/>
        <v/>
      </c>
      <c r="PC247" s="43" t="str">
        <f t="shared" si="971"/>
        <v/>
      </c>
      <c r="PD247" s="43" t="str">
        <f t="shared" si="972"/>
        <v/>
      </c>
      <c r="PE247" s="43" t="str">
        <f t="shared" si="973"/>
        <v/>
      </c>
      <c r="PF247" s="43" t="str">
        <f t="shared" si="974"/>
        <v/>
      </c>
      <c r="PG247" s="43" t="str">
        <f t="shared" si="975"/>
        <v/>
      </c>
      <c r="PH247" s="43" t="str">
        <f t="shared" si="976"/>
        <v/>
      </c>
      <c r="PI247" s="43" t="str">
        <f t="shared" si="977"/>
        <v>Menor</v>
      </c>
      <c r="PJ247" s="43" t="str">
        <f t="shared" si="978"/>
        <v>SOBREPESO</v>
      </c>
      <c r="PK247" s="43" t="str">
        <f t="shared" si="979"/>
        <v/>
      </c>
      <c r="PL247" s="43" t="str">
        <f t="shared" si="980"/>
        <v/>
      </c>
      <c r="PM247" s="43" t="str">
        <f t="shared" si="981"/>
        <v/>
      </c>
      <c r="PN247" s="43" t="str">
        <f t="shared" si="982"/>
        <v/>
      </c>
      <c r="PO247" s="43" t="str">
        <f t="shared" si="983"/>
        <v/>
      </c>
      <c r="PP247" s="43" t="str">
        <f t="shared" si="984"/>
        <v/>
      </c>
      <c r="PQ247" s="43" t="str">
        <f t="shared" si="985"/>
        <v/>
      </c>
      <c r="PR247" s="43" t="str">
        <f t="shared" si="986"/>
        <v/>
      </c>
      <c r="PS247" s="43" t="str">
        <f t="shared" si="987"/>
        <v/>
      </c>
      <c r="PT247" s="43" t="str">
        <f t="shared" si="988"/>
        <v/>
      </c>
      <c r="PU247" s="43" t="str">
        <f t="shared" si="989"/>
        <v/>
      </c>
      <c r="PV247" s="43" t="str">
        <f t="shared" si="990"/>
        <v/>
      </c>
      <c r="PW247" s="43" t="str">
        <f t="shared" si="991"/>
        <v/>
      </c>
      <c r="PX247" s="43" t="str">
        <f t="shared" si="992"/>
        <v/>
      </c>
      <c r="PY247" s="43" t="str">
        <f t="shared" si="993"/>
        <v/>
      </c>
      <c r="PZ247" s="43" t="str">
        <f t="shared" si="994"/>
        <v/>
      </c>
      <c r="QA247" s="43" t="str">
        <f t="shared" si="995"/>
        <v/>
      </c>
      <c r="QB247" s="43" t="str">
        <f t="shared" si="996"/>
        <v/>
      </c>
      <c r="QC247" s="43" t="str">
        <f t="shared" si="997"/>
        <v/>
      </c>
      <c r="QD247" s="43" t="str">
        <f t="shared" si="998"/>
        <v/>
      </c>
      <c r="QE247" s="43" t="str">
        <f t="shared" si="999"/>
        <v/>
      </c>
      <c r="QF247" s="43" t="str">
        <f t="shared" si="1000"/>
        <v/>
      </c>
      <c r="QG247" s="43" t="str">
        <f t="shared" si="1001"/>
        <v/>
      </c>
      <c r="QH247" s="43" t="str">
        <f t="shared" si="1002"/>
        <v/>
      </c>
      <c r="QI247" s="43" t="str">
        <f t="shared" si="1003"/>
        <v/>
      </c>
      <c r="QJ247" s="43" t="str">
        <f t="shared" si="1004"/>
        <v/>
      </c>
      <c r="QK247" s="43" t="str">
        <f t="shared" si="1005"/>
        <v/>
      </c>
      <c r="QL247" s="43" t="str">
        <f t="shared" si="1006"/>
        <v/>
      </c>
      <c r="QM247" s="43" t="str">
        <f t="shared" si="1007"/>
        <v/>
      </c>
      <c r="QN247" s="43" t="str">
        <f t="shared" si="1008"/>
        <v/>
      </c>
      <c r="QO247" s="43" t="str">
        <f t="shared" si="1009"/>
        <v/>
      </c>
      <c r="QP247" s="43" t="str">
        <f t="shared" si="1010"/>
        <v/>
      </c>
      <c r="QQ247" s="43" t="str">
        <f t="shared" si="1011"/>
        <v/>
      </c>
      <c r="QR247" s="43" t="str">
        <f t="shared" si="1012"/>
        <v>Menor</v>
      </c>
      <c r="QS247" s="43"/>
      <c r="QT247" s="21" t="str">
        <f t="shared" si="1013"/>
        <v/>
      </c>
      <c r="QU247" s="21" t="str">
        <f t="shared" si="1014"/>
        <v/>
      </c>
      <c r="QV247" s="21" t="str">
        <f t="shared" si="1015"/>
        <v/>
      </c>
      <c r="QW247" s="21" t="str">
        <f t="shared" si="1016"/>
        <v/>
      </c>
      <c r="QX247" s="21" t="str">
        <f t="shared" si="1017"/>
        <v/>
      </c>
      <c r="QY247" s="21" t="str">
        <f t="shared" si="1018"/>
        <v/>
      </c>
      <c r="QZ247" s="21" t="str">
        <f t="shared" si="1019"/>
        <v/>
      </c>
      <c r="RA247" s="21" t="str">
        <f t="shared" si="1020"/>
        <v/>
      </c>
      <c r="RB247" s="21" t="str">
        <f t="shared" si="1021"/>
        <v/>
      </c>
      <c r="RC247" s="21" t="str">
        <f t="shared" si="1022"/>
        <v/>
      </c>
      <c r="RD247" s="21" t="str">
        <f t="shared" si="1023"/>
        <v/>
      </c>
      <c r="RE247" s="21" t="str">
        <f t="shared" si="1024"/>
        <v/>
      </c>
      <c r="RF247" s="21" t="str">
        <f t="shared" si="1025"/>
        <v/>
      </c>
      <c r="RG247" s="21" t="str">
        <f t="shared" si="1026"/>
        <v/>
      </c>
      <c r="RH247" s="21" t="str">
        <f t="shared" si="1027"/>
        <v/>
      </c>
      <c r="RI247" s="21" t="str">
        <f t="shared" si="1028"/>
        <v/>
      </c>
      <c r="RJ247" s="21" t="str">
        <f t="shared" si="1029"/>
        <v/>
      </c>
      <c r="RK247" s="21" t="str">
        <f t="shared" si="1030"/>
        <v/>
      </c>
      <c r="RL247" s="21" t="str">
        <f t="shared" si="1031"/>
        <v/>
      </c>
      <c r="RM247" s="21" t="str">
        <f t="shared" si="1032"/>
        <v/>
      </c>
      <c r="RN247" s="21" t="str">
        <f t="shared" si="1033"/>
        <v/>
      </c>
      <c r="RO247" s="21" t="str">
        <f t="shared" si="1034"/>
        <v/>
      </c>
      <c r="RP247" s="21" t="str">
        <f t="shared" si="1035"/>
        <v/>
      </c>
      <c r="RQ247" s="21" t="str">
        <f t="shared" si="1036"/>
        <v/>
      </c>
      <c r="RR247" s="21" t="str">
        <f t="shared" si="1037"/>
        <v/>
      </c>
      <c r="RS247" s="21" t="str">
        <f t="shared" si="1038"/>
        <v/>
      </c>
      <c r="RT247" s="21" t="str">
        <f t="shared" si="1039"/>
        <v/>
      </c>
      <c r="RU247" s="21" t="str">
        <f t="shared" si="1040"/>
        <v/>
      </c>
      <c r="RV247" s="21">
        <f t="shared" si="1041"/>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42"/>
        <v>x</v>
      </c>
    </row>
    <row r="248" spans="1:493" ht="45" customHeight="1" x14ac:dyDescent="0.25">
      <c r="A248" s="109"/>
      <c r="B248" s="43"/>
      <c r="C248" s="43" t="s">
        <v>845</v>
      </c>
      <c r="D248" s="124"/>
      <c r="E248" s="43" t="s">
        <v>848</v>
      </c>
      <c r="F248" s="43" t="s">
        <v>914</v>
      </c>
      <c r="G248" s="43" t="s">
        <v>1683</v>
      </c>
      <c r="H248" s="43"/>
      <c r="I248" s="109" t="s">
        <v>851</v>
      </c>
      <c r="J248" s="343" t="s">
        <v>1682</v>
      </c>
      <c r="K248" s="43" t="s">
        <v>852</v>
      </c>
      <c r="L248" s="175" t="s">
        <v>1509</v>
      </c>
      <c r="M248" s="22">
        <v>39320</v>
      </c>
      <c r="N248" s="213">
        <f t="shared" ca="1" si="841"/>
        <v>16.197260273972603</v>
      </c>
      <c r="O248" s="22">
        <v>45164</v>
      </c>
      <c r="P248" s="214" t="str">
        <f t="shared" si="919"/>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2"/>
        <v>0</v>
      </c>
      <c r="BR248" s="223" t="str">
        <f t="shared" si="843"/>
        <v/>
      </c>
      <c r="BS248" s="224">
        <f t="shared" si="844"/>
        <v>10.285714285714286</v>
      </c>
      <c r="BT248" s="216" t="str">
        <f t="shared" si="845"/>
        <v>DEFINIR CON ECO</v>
      </c>
      <c r="BU248" s="214">
        <f t="shared" ca="1" si="928"/>
        <v>20</v>
      </c>
      <c r="BV248" s="25"/>
      <c r="BW248" s="22"/>
      <c r="BX248" s="28"/>
      <c r="BY248" s="28"/>
      <c r="BZ248" s="22"/>
      <c r="CA248" s="21"/>
      <c r="CB248" s="26"/>
      <c r="CC248" s="26"/>
      <c r="CD248" s="26"/>
      <c r="CE248" s="26"/>
      <c r="CF248" s="22" t="s">
        <v>1517</v>
      </c>
      <c r="CG248" s="21">
        <v>1.5</v>
      </c>
      <c r="CH248" s="21">
        <v>49</v>
      </c>
      <c r="CI248" s="214">
        <f t="shared" si="847"/>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8"/>
        <v>45164</v>
      </c>
      <c r="CL248" s="21">
        <v>49</v>
      </c>
      <c r="CM248" s="214">
        <f t="shared" si="849"/>
        <v>21.777777777777779</v>
      </c>
      <c r="CN248" s="216">
        <f t="shared" si="850"/>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51"/>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20"/>
        <v>EN ESPERA</v>
      </c>
      <c r="DV248" s="226" t="str">
        <f t="shared" si="921"/>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2"/>
        <v>#REF!</v>
      </c>
      <c r="DY248" s="212">
        <f>IF(R248="","",IF(R248&gt;0,MAX(Tabla1[[#This Row],[FECHA C2]:[FECHA C13]],Tabla1[[#This Row],[FECHA CONSULTA PRIMERA VEZ PROGRAMA CPN ]])))</f>
        <v>45164</v>
      </c>
      <c r="DZ248" s="216">
        <f t="shared" si="853"/>
        <v>10</v>
      </c>
      <c r="EA248" s="222">
        <f>IF(R248&gt;0,SUM(COUNTA(DF248:DQ248)+COUNTA(Tabla1[[#This Row],[FECHA CONSULTA PRIMERA VEZ PROGRAMA CPN ]])),"")</f>
        <v>1</v>
      </c>
      <c r="EB248" s="222" t="str">
        <f t="shared" si="854"/>
        <v>NO</v>
      </c>
      <c r="EC248" s="214">
        <f t="shared" si="855"/>
        <v>9</v>
      </c>
      <c r="ED248" s="227">
        <f t="shared" si="856"/>
        <v>0.1111111111111111</v>
      </c>
      <c r="EE248" s="22">
        <v>45164</v>
      </c>
      <c r="EF248" s="22">
        <v>45164</v>
      </c>
      <c r="EG248" s="22">
        <v>45164</v>
      </c>
      <c r="EH248" s="22"/>
      <c r="EI248" s="22">
        <v>45164</v>
      </c>
      <c r="EJ248" s="22"/>
      <c r="EK248" s="22"/>
      <c r="EL248" s="21"/>
      <c r="EM248" s="21"/>
      <c r="EN248" s="22"/>
      <c r="EO248" s="222" t="str">
        <f t="shared" si="857"/>
        <v>TOMAR EXAMEN</v>
      </c>
      <c r="EP248" s="214" t="str">
        <f t="shared" si="858"/>
        <v/>
      </c>
      <c r="EQ248" s="216" t="str">
        <f t="shared" si="859"/>
        <v>POR DEFINIR</v>
      </c>
      <c r="ER248" s="24"/>
      <c r="ES248" s="22"/>
      <c r="ET248" s="29" t="str">
        <f t="shared" ca="1" si="922"/>
        <v>EN ESPERA PARA TOMA EXAMEN</v>
      </c>
      <c r="EU248" s="25" t="str">
        <f t="shared" si="860"/>
        <v/>
      </c>
      <c r="EV248" s="24"/>
      <c r="EW248" s="24"/>
      <c r="EX248" s="22"/>
      <c r="EY248" s="29" t="str">
        <f t="shared" si="1043"/>
        <v>TOMAR EXAMEN</v>
      </c>
      <c r="EZ248" s="25" t="str">
        <f t="shared" ca="1" si="1044"/>
        <v/>
      </c>
      <c r="FA248" s="21"/>
      <c r="FB248" s="22"/>
      <c r="FC248" s="29" t="str">
        <f t="shared" si="861"/>
        <v>TOMAR EXAMEN</v>
      </c>
      <c r="FD248" s="29"/>
      <c r="FE248" s="29"/>
      <c r="FF248" s="29"/>
      <c r="FG248" s="21" t="str">
        <f t="shared" ca="1" si="862"/>
        <v>PROGRAMAR TOMA PTOG SIGUIENTE CONTROL</v>
      </c>
      <c r="FH248" s="31"/>
      <c r="FI248" s="29" t="str">
        <f t="shared" si="863"/>
        <v>TOMAR EXAMEN</v>
      </c>
      <c r="FJ248" s="22"/>
      <c r="FK248" s="22"/>
      <c r="FL248" s="29" t="str">
        <f t="shared" ca="1" si="864"/>
        <v>PIERDE TOMA DE TAMIZAJE</v>
      </c>
      <c r="FM248" s="22"/>
      <c r="FN248" s="32"/>
      <c r="FO248" s="29" t="str">
        <f t="shared" ca="1" si="923"/>
        <v>EN RANGO PARA TOMAR EXAMEN</v>
      </c>
      <c r="FP248" s="22"/>
      <c r="FQ248" s="32"/>
      <c r="FR248" s="29" t="str">
        <f t="shared" ca="1" si="924"/>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5"/>
        <v>TOMAR EXAMEN</v>
      </c>
      <c r="FY248" s="22"/>
      <c r="FZ248" s="22"/>
      <c r="GA248" s="29" t="str">
        <f t="shared" ca="1" si="939"/>
        <v>PIERDE TOMA DE TAMIZAJE</v>
      </c>
      <c r="GB248" s="22"/>
      <c r="GC248" s="22"/>
      <c r="GD248" s="29" t="str">
        <f t="shared" ca="1" si="1048"/>
        <v>EN RANGO PARA TOMAR EXAMEN</v>
      </c>
      <c r="GE248" s="22"/>
      <c r="GF248" s="22"/>
      <c r="GG248" s="29" t="str">
        <f t="shared" ca="1" si="926"/>
        <v>EN ESPERA-ESTÁ I TRIM O II TRIM</v>
      </c>
      <c r="GH248" s="22"/>
      <c r="GI248" s="29"/>
      <c r="GJ248" s="22"/>
      <c r="GK248" s="22"/>
      <c r="GL248" s="22"/>
      <c r="GM248" s="22"/>
      <c r="GN248" s="28"/>
      <c r="GO248" s="22"/>
      <c r="GP248" s="29" t="str">
        <f t="shared" si="866"/>
        <v>TOMAR EXAMEN</v>
      </c>
      <c r="GQ248" s="28"/>
      <c r="GR248" s="28"/>
      <c r="GS248" s="22" t="str">
        <f t="shared" si="1047"/>
        <v/>
      </c>
      <c r="GT248" s="22"/>
      <c r="GU248" s="29" t="str">
        <f t="shared" si="867"/>
        <v>TOMAR EXAMEN</v>
      </c>
      <c r="GV248" s="21" t="str">
        <f t="shared" si="868"/>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9"/>
        <v>#REF!</v>
      </c>
      <c r="HI248" s="22" t="e">
        <f t="shared" ca="1" si="870"/>
        <v>#REF!</v>
      </c>
      <c r="HJ248" s="21" t="str">
        <f t="shared" ca="1" si="871"/>
        <v>**********************MULTIPARIDAD**RIESGO POR EDAD***************</v>
      </c>
      <c r="HK248" s="21" t="str">
        <f t="shared" si="872"/>
        <v>SIN ANTECEDENTES DE RIESGO</v>
      </c>
      <c r="HL248" s="24" t="str">
        <f t="shared" si="873"/>
        <v>APARENTEMENTE NORMAL</v>
      </c>
      <c r="HM248" s="21" t="e">
        <f t="shared" ca="1" si="874"/>
        <v>#REF!</v>
      </c>
      <c r="HN248" s="30" t="str">
        <f t="shared" si="927"/>
        <v>ACTIVA INGRESO A CPN</v>
      </c>
      <c r="HO248" s="21"/>
      <c r="HP248" s="21"/>
      <c r="HQ248" s="349"/>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5"/>
        <v>10.285714285714286</v>
      </c>
      <c r="IA248" s="26"/>
      <c r="IB248" s="26"/>
      <c r="IC248" s="111"/>
      <c r="ID248" s="22"/>
      <c r="IE248" s="22" t="str">
        <f t="shared" ca="1" si="876"/>
        <v>PROGRAMAR APLICACION DE VACUNA</v>
      </c>
      <c r="IF248" s="22"/>
      <c r="IG248" s="22">
        <f t="shared" si="877"/>
        <v>45372</v>
      </c>
      <c r="IH248" s="29">
        <f t="shared" ca="1" si="878"/>
        <v>140</v>
      </c>
      <c r="II248" s="22" t="str">
        <f t="shared" ca="1" si="879"/>
        <v>PENDIENTE</v>
      </c>
      <c r="IJ248" s="22"/>
      <c r="IK248" s="21"/>
      <c r="IL248" s="21"/>
      <c r="IM248" s="34"/>
      <c r="IN248" s="22"/>
      <c r="IO248" s="21"/>
      <c r="IP248" s="29" t="str">
        <f t="shared" si="880"/>
        <v/>
      </c>
      <c r="IQ248" s="35"/>
      <c r="IR248" s="21"/>
      <c r="IS248" s="21"/>
      <c r="IT248" s="21"/>
      <c r="IU248" s="21"/>
      <c r="IV248" s="21"/>
      <c r="IW248" s="21"/>
      <c r="IX248" s="21"/>
      <c r="IY248" s="21"/>
      <c r="IZ248" s="21"/>
      <c r="JA248" s="21"/>
      <c r="JB248" s="30"/>
      <c r="JC248" s="21"/>
      <c r="JD248" s="36"/>
      <c r="JE248" s="21" t="str">
        <f t="shared" si="881"/>
        <v/>
      </c>
      <c r="JF248" s="30"/>
      <c r="JG248" s="21"/>
      <c r="JH248" s="21"/>
      <c r="JI248" s="21"/>
      <c r="JJ248" s="30"/>
      <c r="JK248" s="22"/>
      <c r="JL248" s="22"/>
      <c r="JM248" s="21"/>
      <c r="JN248" s="36"/>
      <c r="JO248" s="21" t="str">
        <f t="shared" si="882"/>
        <v/>
      </c>
      <c r="JP248" s="22"/>
      <c r="JQ248" s="21"/>
      <c r="JR248" s="21"/>
      <c r="JS248" s="21"/>
      <c r="JT248" s="30"/>
      <c r="JU248" s="22"/>
      <c r="JV248" s="22"/>
      <c r="JW248" s="33"/>
      <c r="JX248" s="28" t="str">
        <f t="shared" si="883"/>
        <v/>
      </c>
      <c r="JY248" s="33"/>
      <c r="JZ248" s="28" t="str">
        <f t="shared" si="884"/>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5"/>
        <v>0</v>
      </c>
      <c r="MI248" s="43" t="str">
        <f t="shared" si="929"/>
        <v/>
      </c>
      <c r="MJ248" s="43" t="str">
        <f t="shared" si="887"/>
        <v/>
      </c>
      <c r="MK248" s="43">
        <f t="shared" si="888"/>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30"/>
        <v>10.285714285714286</v>
      </c>
      <c r="MN248" s="43">
        <f t="shared" si="931"/>
        <v>8</v>
      </c>
      <c r="MO248" s="43">
        <f t="shared" si="932"/>
        <v>2023</v>
      </c>
      <c r="MP248" s="43" t="str">
        <f t="shared" si="892"/>
        <v>III TRIMESTRE AÑO</v>
      </c>
      <c r="MQ248" s="43">
        <f t="shared" si="933"/>
        <v>15.768725361366622</v>
      </c>
      <c r="MR248" s="43">
        <f t="shared" si="894"/>
        <v>1</v>
      </c>
      <c r="MS248" s="43" t="str">
        <f t="shared" si="895"/>
        <v>DE 14 A 19AÑOS</v>
      </c>
      <c r="MT248" s="43">
        <f t="shared" si="896"/>
        <v>0</v>
      </c>
      <c r="MU248" s="43">
        <f t="shared" si="897"/>
        <v>1</v>
      </c>
      <c r="MV248" s="43">
        <f t="shared" si="898"/>
        <v>0</v>
      </c>
      <c r="MW248" s="43">
        <f t="shared" si="899"/>
        <v>0</v>
      </c>
      <c r="MX248" s="43" t="str">
        <f t="shared" si="900"/>
        <v/>
      </c>
      <c r="MY248" s="43" t="str">
        <f t="shared" ca="1" si="901"/>
        <v/>
      </c>
      <c r="MZ248" s="43" t="str">
        <f t="shared" si="902"/>
        <v/>
      </c>
      <c r="NA248" s="43" t="str">
        <f t="shared" si="903"/>
        <v/>
      </c>
      <c r="NB248" s="43" t="str">
        <f t="shared" si="904"/>
        <v/>
      </c>
      <c r="NC248" s="43" t="str">
        <f t="shared" si="905"/>
        <v/>
      </c>
      <c r="ND248" s="43">
        <f t="shared" ca="1" si="934"/>
        <v>2</v>
      </c>
      <c r="NE248" s="43">
        <f>IF(OR(O248&gt;0,R248&gt;0),SUM(COUNTIF(Tabla1[[#This Row],[AÑOS AL INICIO5 CPN]],"&gt;=40"),COUNTIF(AS248,"0"),COUNTIF(AR248,"SI"),COUNTIF(CC248,"SI"),COUNTIF(BQ248,"&gt;119"),COUNTIF(CI248,"&gt;=35")),"")</f>
        <v>1</v>
      </c>
      <c r="NF248" s="43" t="str">
        <f t="shared" si="935"/>
        <v/>
      </c>
      <c r="NG248" s="43">
        <f t="shared" si="908"/>
        <v>0</v>
      </c>
      <c r="NH248" s="43" t="str">
        <f t="shared" si="909"/>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6"/>
        <v>X</v>
      </c>
      <c r="NM248" s="43" t="str">
        <f t="shared" si="941"/>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12"/>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7"/>
        <v>2</v>
      </c>
      <c r="NS248" s="205">
        <f t="shared" ca="1" si="914"/>
        <v>0</v>
      </c>
      <c r="NT248" s="21">
        <f t="shared" ca="1" si="915"/>
        <v>0</v>
      </c>
      <c r="NU248" s="21" t="str">
        <f t="shared" ca="1" si="916"/>
        <v>INCOMPLETO</v>
      </c>
      <c r="NV248" s="21" t="str">
        <f t="shared" ca="1" si="917"/>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8"/>
        <v>SIN VACUNAR</v>
      </c>
      <c r="NY248" s="43">
        <f>ROW(Tabla1[[#This Row],['# DE TAMIZAJES SIFILIS TOMADOS ]])</f>
        <v>248</v>
      </c>
      <c r="NZ248" s="43">
        <f t="shared" si="942"/>
        <v>10</v>
      </c>
      <c r="OA248" s="43" t="str">
        <f t="shared" si="943"/>
        <v/>
      </c>
      <c r="OB248" s="43" t="str">
        <f t="shared" si="944"/>
        <v>NORMAL</v>
      </c>
      <c r="OC248" s="43" t="str">
        <f t="shared" si="945"/>
        <v/>
      </c>
      <c r="OD248" s="43" t="str">
        <f t="shared" si="946"/>
        <v/>
      </c>
      <c r="OE248" s="43" t="str">
        <f t="shared" si="947"/>
        <v/>
      </c>
      <c r="OF248" s="43" t="str">
        <f t="shared" si="948"/>
        <v/>
      </c>
      <c r="OG248" s="43" t="str">
        <f t="shared" si="949"/>
        <v/>
      </c>
      <c r="OH248" s="43" t="str">
        <f t="shared" si="950"/>
        <v/>
      </c>
      <c r="OI248" s="43" t="str">
        <f t="shared" si="951"/>
        <v/>
      </c>
      <c r="OJ248" s="43" t="str">
        <f t="shared" si="952"/>
        <v/>
      </c>
      <c r="OK248" s="43" t="str">
        <f t="shared" si="953"/>
        <v/>
      </c>
      <c r="OL248" s="43" t="str">
        <f t="shared" si="954"/>
        <v/>
      </c>
      <c r="OM248" s="43" t="str">
        <f t="shared" si="955"/>
        <v/>
      </c>
      <c r="ON248" s="43" t="str">
        <f t="shared" si="956"/>
        <v/>
      </c>
      <c r="OO248" s="43" t="str">
        <f t="shared" si="957"/>
        <v/>
      </c>
      <c r="OP248" s="43" t="str">
        <f t="shared" si="958"/>
        <v/>
      </c>
      <c r="OQ248" s="43" t="str">
        <f t="shared" si="959"/>
        <v/>
      </c>
      <c r="OR248" s="43" t="str">
        <f t="shared" si="960"/>
        <v/>
      </c>
      <c r="OS248" s="43" t="str">
        <f t="shared" si="961"/>
        <v/>
      </c>
      <c r="OT248" s="43" t="str">
        <f t="shared" si="962"/>
        <v/>
      </c>
      <c r="OU248" s="43" t="str">
        <f t="shared" si="963"/>
        <v/>
      </c>
      <c r="OV248" s="110" t="str">
        <f t="shared" si="964"/>
        <v/>
      </c>
      <c r="OW248" s="43" t="str">
        <f t="shared" si="965"/>
        <v/>
      </c>
      <c r="OX248" s="43" t="str">
        <f t="shared" si="966"/>
        <v/>
      </c>
      <c r="OY248" s="43" t="str">
        <f t="shared" si="967"/>
        <v/>
      </c>
      <c r="OZ248" s="43" t="str">
        <f t="shared" si="968"/>
        <v/>
      </c>
      <c r="PA248" s="43" t="str">
        <f t="shared" si="969"/>
        <v/>
      </c>
      <c r="PB248" s="43" t="str">
        <f t="shared" si="970"/>
        <v/>
      </c>
      <c r="PC248" s="43" t="str">
        <f t="shared" si="971"/>
        <v/>
      </c>
      <c r="PD248" s="43" t="str">
        <f t="shared" si="972"/>
        <v/>
      </c>
      <c r="PE248" s="43" t="str">
        <f t="shared" si="973"/>
        <v/>
      </c>
      <c r="PF248" s="43" t="str">
        <f t="shared" si="974"/>
        <v/>
      </c>
      <c r="PG248" s="43" t="str">
        <f t="shared" si="975"/>
        <v/>
      </c>
      <c r="PH248" s="43" t="str">
        <f t="shared" si="976"/>
        <v/>
      </c>
      <c r="PI248" s="43">
        <f t="shared" si="977"/>
        <v>10</v>
      </c>
      <c r="PJ248" s="43" t="str">
        <f t="shared" si="978"/>
        <v/>
      </c>
      <c r="PK248" s="43" t="str">
        <f t="shared" si="979"/>
        <v>NORMAL</v>
      </c>
      <c r="PL248" s="43" t="str">
        <f t="shared" si="980"/>
        <v/>
      </c>
      <c r="PM248" s="43" t="str">
        <f t="shared" si="981"/>
        <v/>
      </c>
      <c r="PN248" s="43" t="str">
        <f t="shared" si="982"/>
        <v/>
      </c>
      <c r="PO248" s="43" t="str">
        <f t="shared" si="983"/>
        <v/>
      </c>
      <c r="PP248" s="43" t="str">
        <f t="shared" si="984"/>
        <v/>
      </c>
      <c r="PQ248" s="43" t="str">
        <f t="shared" si="985"/>
        <v/>
      </c>
      <c r="PR248" s="43" t="str">
        <f t="shared" si="986"/>
        <v/>
      </c>
      <c r="PS248" s="43" t="str">
        <f t="shared" si="987"/>
        <v/>
      </c>
      <c r="PT248" s="43" t="str">
        <f t="shared" si="988"/>
        <v/>
      </c>
      <c r="PU248" s="43" t="str">
        <f t="shared" si="989"/>
        <v/>
      </c>
      <c r="PV248" s="43" t="str">
        <f t="shared" si="990"/>
        <v/>
      </c>
      <c r="PW248" s="43" t="str">
        <f t="shared" si="991"/>
        <v/>
      </c>
      <c r="PX248" s="43" t="str">
        <f t="shared" si="992"/>
        <v/>
      </c>
      <c r="PY248" s="43" t="str">
        <f t="shared" si="993"/>
        <v/>
      </c>
      <c r="PZ248" s="43" t="str">
        <f t="shared" si="994"/>
        <v/>
      </c>
      <c r="QA248" s="43" t="str">
        <f t="shared" si="995"/>
        <v/>
      </c>
      <c r="QB248" s="43" t="str">
        <f t="shared" si="996"/>
        <v/>
      </c>
      <c r="QC248" s="43" t="str">
        <f t="shared" si="997"/>
        <v/>
      </c>
      <c r="QD248" s="43" t="str">
        <f t="shared" si="998"/>
        <v/>
      </c>
      <c r="QE248" s="43" t="str">
        <f t="shared" si="999"/>
        <v/>
      </c>
      <c r="QF248" s="43" t="str">
        <f t="shared" si="1000"/>
        <v/>
      </c>
      <c r="QG248" s="43" t="str">
        <f t="shared" si="1001"/>
        <v/>
      </c>
      <c r="QH248" s="43" t="str">
        <f t="shared" si="1002"/>
        <v/>
      </c>
      <c r="QI248" s="43" t="str">
        <f t="shared" si="1003"/>
        <v/>
      </c>
      <c r="QJ248" s="43" t="str">
        <f t="shared" si="1004"/>
        <v/>
      </c>
      <c r="QK248" s="43" t="str">
        <f t="shared" si="1005"/>
        <v/>
      </c>
      <c r="QL248" s="43" t="str">
        <f t="shared" si="1006"/>
        <v/>
      </c>
      <c r="QM248" s="43" t="str">
        <f t="shared" si="1007"/>
        <v/>
      </c>
      <c r="QN248" s="43" t="str">
        <f t="shared" si="1008"/>
        <v/>
      </c>
      <c r="QO248" s="43" t="str">
        <f t="shared" si="1009"/>
        <v/>
      </c>
      <c r="QP248" s="43" t="str">
        <f t="shared" si="1010"/>
        <v/>
      </c>
      <c r="QQ248" s="43" t="str">
        <f t="shared" si="1011"/>
        <v/>
      </c>
      <c r="QR248" s="43" t="str">
        <f t="shared" si="1012"/>
        <v>Menor</v>
      </c>
      <c r="QS248" s="43"/>
      <c r="QT248" s="21" t="str">
        <f t="shared" si="1013"/>
        <v/>
      </c>
      <c r="QU248" s="21" t="str">
        <f t="shared" si="1014"/>
        <v/>
      </c>
      <c r="QV248" s="21" t="str">
        <f t="shared" si="1015"/>
        <v/>
      </c>
      <c r="QW248" s="21" t="str">
        <f t="shared" si="1016"/>
        <v/>
      </c>
      <c r="QX248" s="21" t="str">
        <f t="shared" si="1017"/>
        <v/>
      </c>
      <c r="QY248" s="21" t="str">
        <f t="shared" si="1018"/>
        <v/>
      </c>
      <c r="QZ248" s="21" t="str">
        <f t="shared" si="1019"/>
        <v/>
      </c>
      <c r="RA248" s="21" t="str">
        <f t="shared" si="1020"/>
        <v/>
      </c>
      <c r="RB248" s="21" t="str">
        <f t="shared" si="1021"/>
        <v/>
      </c>
      <c r="RC248" s="21" t="str">
        <f t="shared" si="1022"/>
        <v/>
      </c>
      <c r="RD248" s="21" t="str">
        <f t="shared" si="1023"/>
        <v/>
      </c>
      <c r="RE248" s="21" t="str">
        <f t="shared" si="1024"/>
        <v/>
      </c>
      <c r="RF248" s="21" t="str">
        <f t="shared" si="1025"/>
        <v/>
      </c>
      <c r="RG248" s="21" t="str">
        <f t="shared" si="1026"/>
        <v/>
      </c>
      <c r="RH248" s="21" t="str">
        <f t="shared" si="1027"/>
        <v/>
      </c>
      <c r="RI248" s="21" t="str">
        <f t="shared" si="1028"/>
        <v/>
      </c>
      <c r="RJ248" s="21" t="str">
        <f t="shared" si="1029"/>
        <v/>
      </c>
      <c r="RK248" s="21" t="str">
        <f t="shared" si="1030"/>
        <v/>
      </c>
      <c r="RL248" s="21" t="str">
        <f t="shared" si="1031"/>
        <v/>
      </c>
      <c r="RM248" s="21" t="str">
        <f t="shared" si="1032"/>
        <v/>
      </c>
      <c r="RN248" s="21" t="str">
        <f t="shared" si="1033"/>
        <v/>
      </c>
      <c r="RO248" s="21" t="str">
        <f t="shared" si="1034"/>
        <v/>
      </c>
      <c r="RP248" s="21" t="str">
        <f t="shared" si="1035"/>
        <v/>
      </c>
      <c r="RQ248" s="21" t="str">
        <f t="shared" si="1036"/>
        <v/>
      </c>
      <c r="RR248" s="21" t="str">
        <f t="shared" si="1037"/>
        <v/>
      </c>
      <c r="RS248" s="21" t="str">
        <f t="shared" si="1038"/>
        <v/>
      </c>
      <c r="RT248" s="21" t="str">
        <f t="shared" si="1039"/>
        <v/>
      </c>
      <c r="RU248" s="21" t="str">
        <f t="shared" si="1040"/>
        <v/>
      </c>
      <c r="RV248" s="21">
        <f t="shared" si="1041"/>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42"/>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C3:H1942 B3:B243 B245:B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RZ2:XFD2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FP4:FP201"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3FB2057D-5C1F-4FF9-8C5C-16BE9B6E81B3}"/>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239" priority="7494" operator="equal">
      <formula>"SD"</formula>
    </cfRule>
    <cfRule type="cellIs" dxfId="5238" priority="7504" operator="equal">
      <formula>"NO"</formula>
    </cfRule>
    <cfRule type="cellIs" dxfId="5237" priority="7505" operator="equal">
      <formula>"SI"</formula>
    </cfRule>
  </conditionalFormatting>
  <conditionalFormatting sqref="IU4:IZ248 KA4:KC248">
    <cfRule type="cellIs" dxfId="5236" priority="7467" operator="equal">
      <formula>"SD"</formula>
    </cfRule>
    <cfRule type="cellIs" dxfId="5235" priority="7468" operator="equal">
      <formula>"NO APLICA"</formula>
    </cfRule>
    <cfRule type="cellIs" dxfId="5234" priority="7469" operator="equal">
      <formula>"NO"</formula>
    </cfRule>
    <cfRule type="cellIs" dxfId="5233" priority="7470" operator="equal">
      <formula>"SI"</formula>
    </cfRule>
  </conditionalFormatting>
  <conditionalFormatting sqref="P3:P198 P200:P211 P213:P248">
    <cfRule type="containsText" dxfId="5232" priority="7438" operator="containsText" text="SI">
      <formula>NOT(ISERROR(SEARCH("SI",P3)))</formula>
    </cfRule>
    <cfRule type="containsText" dxfId="5231" priority="7439" operator="containsText" text="NO">
      <formula>NOT(ISERROR(SEARCH("NO",P3)))</formula>
    </cfRule>
    <cfRule type="containsText" dxfId="5230" priority="7440" operator="containsText" text="NA">
      <formula>NOT(ISERROR(SEARCH("NA",P3)))</formula>
    </cfRule>
  </conditionalFormatting>
  <conditionalFormatting sqref="Q3:Q198 Q202:Q211 Q213:Q248">
    <cfRule type="containsText" dxfId="5229" priority="7144" operator="containsText" text="SE TRASLADO DE EPS">
      <formula>NOT(ISERROR(SEARCH("SE TRASLADO DE EPS",Q3)))</formula>
    </cfRule>
    <cfRule type="containsText" dxfId="5228" priority="7433" operator="containsText" text="NOVEDAD">
      <formula>NOT(ISERROR(SEARCH("NOVEDAD",Q3)))</formula>
    </cfRule>
    <cfRule type="containsText" dxfId="5227" priority="7434" operator="containsText" text="IDENTIDAD">
      <formula>NOT(ISERROR(SEARCH("IDENTIDAD",Q3)))</formula>
    </cfRule>
    <cfRule type="containsText" dxfId="5226" priority="7435" operator="containsText" text="CPN">
      <formula>NOT(ISERROR(SEARCH("CPN",Q3)))</formula>
    </cfRule>
    <cfRule type="containsText" dxfId="5225" priority="7436" operator="containsText" text="VIENE">
      <formula>NOT(ISERROR(SEARCH("VIENE",Q3)))</formula>
    </cfRule>
    <cfRule type="cellIs" dxfId="5224" priority="7437" operator="equal">
      <formula>"TRAMITE DE PORTABILIDAD"</formula>
    </cfRule>
  </conditionalFormatting>
  <conditionalFormatting sqref="AC198 AC156:AC159 AC237:AC239 AC154 AC161:AC189 AC203:AC210 AC3:AC152 AC191:AC195 AC213:AC235">
    <cfRule type="containsText" dxfId="5223" priority="7429" operator="containsText" text="SABE">
      <formula>NOT(ISERROR(SEARCH("SABE",AC3)))</formula>
    </cfRule>
    <cfRule type="containsText" dxfId="5222" priority="7430" operator="containsText" text="SECUNDARIA">
      <formula>NOT(ISERROR(SEARCH("SECUNDARIA",AC3)))</formula>
    </cfRule>
    <cfRule type="containsText" dxfId="5221" priority="7431" operator="containsText" text="PRIMARIA INCOMPLETA">
      <formula>NOT(ISERROR(SEARCH("PRIMARIA INCOMPLETA",AC3)))</formula>
    </cfRule>
    <cfRule type="cellIs" dxfId="5220" priority="7432" operator="equal">
      <formula>"ANALFABETA"</formula>
    </cfRule>
  </conditionalFormatting>
  <conditionalFormatting sqref="AW203:AW210 AW243 AW245 AW247 AW3:AW201 AW213:AW238">
    <cfRule type="cellIs" dxfId="5219" priority="7424" operator="equal">
      <formula>1</formula>
    </cfRule>
    <cfRule type="cellIs" dxfId="5218" priority="7425" operator="equal">
      <formula>"3 O MAS"</formula>
    </cfRule>
    <cfRule type="cellIs" dxfId="5217" priority="7426" operator="equal">
      <formula>2</formula>
    </cfRule>
  </conditionalFormatting>
  <conditionalFormatting sqref="BP3:BP211 BP213:BP248">
    <cfRule type="cellIs" dxfId="5216" priority="6372" operator="equal">
      <formula>"NO"</formula>
    </cfRule>
    <cfRule type="cellIs" dxfId="5215" priority="7421" operator="equal">
      <formula>"SI"</formula>
    </cfRule>
    <cfRule type="cellIs" dxfId="5214" priority="7422" operator="equal">
      <formula>"CORREGIDA"</formula>
    </cfRule>
    <cfRule type="expression" dxfId="5213" priority="7423">
      <formula>IF(AND($BX3&gt;=1,$BX3&lt;21,RY3=1),1,0)</formula>
    </cfRule>
  </conditionalFormatting>
  <conditionalFormatting sqref="BT3:BT206 BT208:BT248">
    <cfRule type="cellIs" dxfId="5212" priority="7416" operator="equal">
      <formula>"DEFINIR CON ECO"</formula>
    </cfRule>
    <cfRule type="cellIs" dxfId="5211" priority="7417" operator="equal">
      <formula>"ERROR FUM O INGRESO O ECO"</formula>
    </cfRule>
    <cfRule type="cellIs" dxfId="5210" priority="7418" operator="equal">
      <formula>"III TRIM"</formula>
    </cfRule>
    <cfRule type="cellIs" dxfId="5209" priority="7419" operator="equal">
      <formula>"II TRIM"</formula>
    </cfRule>
    <cfRule type="cellIs" dxfId="5208" priority="7420" operator="equal">
      <formula>"I TRIM"</formula>
    </cfRule>
  </conditionalFormatting>
  <conditionalFormatting sqref="CJ3:CJ248">
    <cfRule type="containsText" dxfId="5207" priority="7410" operator="containsText" text="SOBREPESO">
      <formula>NOT(ISERROR(SEARCH("SOBREPESO",CJ3)))</formula>
    </cfRule>
    <cfRule type="containsText" dxfId="5206" priority="7411" operator="containsText" text="NORMAL">
      <formula>NOT(ISERROR(SEARCH("NORMAL",CJ3)))</formula>
    </cfRule>
    <cfRule type="containsText" dxfId="5205" priority="7412" operator="containsText" text="OBESIDAD">
      <formula>NOT(ISERROR(SEARCH("OBESIDAD",CJ3)))</formula>
    </cfRule>
    <cfRule type="containsText" dxfId="5204" priority="7413" operator="containsText" text="BAJO PESO">
      <formula>NOT(ISERROR(SEARCH("BAJO PESO",CJ3)))</formula>
    </cfRule>
    <cfRule type="containsText" dxfId="5203" priority="7414" operator="containsText" text="PREGESTACION">
      <formula>NOT(ISERROR(SEARCH("PREGESTACION",CJ3)))</formula>
    </cfRule>
    <cfRule type="containsText" dxfId="5202" priority="7415" operator="containsText" text="INGRESAR">
      <formula>NOT(ISERROR(SEARCH("INGRESAR",CJ3)))</formula>
    </cfRule>
  </conditionalFormatting>
  <conditionalFormatting sqref="CT3:CT248">
    <cfRule type="containsText" dxfId="5201" priority="6383" operator="containsText" text="NO APLICA">
      <formula>NOT(ISERROR(SEARCH("NO APLICA",CT3)))</formula>
    </cfRule>
    <cfRule type="containsText" dxfId="5200" priority="6741" operator="containsText" text="REGISTRE DATO TA ANTES SEMANA 12">
      <formula>NOT(ISERROR(SEARCH("REGISTRE DATO TA ANTES SEMANA 12",CT3)))</formula>
    </cfRule>
    <cfRule type="containsText" dxfId="5199" priority="7395" operator="containsText" text="HIPOTENSION">
      <formula>NOT(ISERROR(SEARCH("HIPOTENSION",CT3)))</formula>
    </cfRule>
    <cfRule type="containsText" dxfId="5198" priority="7396" operator="containsText" text="NORMAL">
      <formula>NOT(ISERROR(SEARCH("NORMAL",CT3)))</formula>
    </cfRule>
    <cfRule type="containsText" dxfId="5197" priority="7397" operator="containsText" text="HTA">
      <formula>NOT(ISERROR(SEARCH("HTA",CT3)))</formula>
    </cfRule>
  </conditionalFormatting>
  <conditionalFormatting sqref="CW3:CW248">
    <cfRule type="containsText" dxfId="5196" priority="6382" operator="containsText" text="NO APLICA">
      <formula>NOT(ISERROR(SEARCH("NO APLICA",CW3)))</formula>
    </cfRule>
    <cfRule type="containsText" dxfId="5195" priority="6739" operator="containsText" text="COMPLETE REGISTRO TA CONTROL SEM 20 A26">
      <formula>NOT(ISERROR(SEARCH("COMPLETE REGISTRO TA CONTROL SEM 20 A26",CW3)))</formula>
    </cfRule>
    <cfRule type="containsText" dxfId="5194" priority="6740" operator="containsText" text="ACUDE A CONTROL SEM 20 A 26 REGISTRE TA AHORA">
      <formula>NOT(ISERROR(SEARCH("ACUDE A CONTROL SEM 20 A 26 REGISTRE TA AHORA",CW3)))</formula>
    </cfRule>
    <cfRule type="containsText" dxfId="5193" priority="7391" operator="containsText" text="HIPOTENSION">
      <formula>NOT(ISERROR(SEARCH("HIPOTENSION",CW3)))</formula>
    </cfRule>
    <cfRule type="containsText" dxfId="5192" priority="7392" operator="containsText" text="VIGILAR">
      <formula>NOT(ISERROR(SEARCH("VIGILAR",CW3)))</formula>
    </cfRule>
    <cfRule type="containsText" dxfId="5191" priority="7393" operator="containsText" text="NORMAL">
      <formula>NOT(ISERROR(SEARCH("NORMAL",CW3)))</formula>
    </cfRule>
    <cfRule type="containsText" dxfId="5190" priority="7394" operator="containsText" text="HTA">
      <formula>NOT(ISERROR(SEARCH("HTA",CW3)))</formula>
    </cfRule>
  </conditionalFormatting>
  <conditionalFormatting sqref="DC3:DC248 HL3:HL248">
    <cfRule type="containsText" dxfId="5189" priority="7388" operator="containsText" text="NORMAL">
      <formula>NOT(ISERROR(SEARCH("NORMAL",DC3)))</formula>
    </cfRule>
    <cfRule type="containsText" dxfId="5188" priority="7389" operator="containsText" text="VIGILAR">
      <formula>NOT(ISERROR(SEARCH("VIGILAR",DC3)))</formula>
    </cfRule>
    <cfRule type="containsText" dxfId="5187" priority="7390" operator="containsText" text="HTA">
      <formula>NOT(ISERROR(SEARCH("HTA",DC3)))</formula>
    </cfRule>
  </conditionalFormatting>
  <conditionalFormatting sqref="EU3:EU248 EP3:EP248">
    <cfRule type="containsText" dxfId="5186" priority="7385" operator="containsText" text="DAR">
      <formula>NOT(ISERROR(SEARCH("DAR",EP3)))</formula>
    </cfRule>
    <cfRule type="containsText" dxfId="5185" priority="7386" operator="containsText" text="NORMAL">
      <formula>NOT(ISERROR(SEARCH("NORMAL",EP3)))</formula>
    </cfRule>
    <cfRule type="containsText" dxfId="5184" priority="7387" operator="containsText" text="ANEMIA">
      <formula>NOT(ISERROR(SEARCH("ANEMIA",EP3)))</formula>
    </cfRule>
  </conditionalFormatting>
  <conditionalFormatting sqref="DV3:DV248 HN3:HN248">
    <cfRule type="containsText" dxfId="5183" priority="7375" operator="containsText" text="activa sin">
      <formula>NOT(ISERROR(SEARCH("activa sin",DV3)))</formula>
    </cfRule>
    <cfRule type="containsText" dxfId="5182" priority="7376" operator="containsText" text="Activa ingreso">
      <formula>NOT(ISERROR(SEARCH("Activa ingreso",DV3)))</formula>
    </cfRule>
    <cfRule type="containsText" dxfId="5181" priority="7377" operator="containsText" text="seguimiento">
      <formula>NOT(ISERROR(SEARCH("seguimiento",DV3)))</formula>
    </cfRule>
    <cfRule type="containsText" dxfId="5180" priority="7378" operator="containsText" text="salio">
      <formula>NOT(ISERROR(SEARCH("salio",DV3)))</formula>
    </cfRule>
    <cfRule type="containsText" dxfId="5179" priority="7379" operator="containsText" text="sale">
      <formula>NOT(ISERROR(SEARCH("sale",DV3)))</formula>
    </cfRule>
  </conditionalFormatting>
  <conditionalFormatting sqref="HM3:HM248 DX3:DX248">
    <cfRule type="containsText" dxfId="5178" priority="7172" operator="containsText" text="DEFINIR">
      <formula>NOT(ISERROR(SEARCH("DEFINIR",DX3)))</formula>
    </cfRule>
    <cfRule type="containsText" dxfId="5177" priority="7369" operator="containsText" text="MES">
      <formula>NOT(ISERROR(SEARCH("MES",DX3)))</formula>
    </cfRule>
    <cfRule type="containsText" dxfId="5176" priority="7370" operator="containsText" text="SEMANA">
      <formula>NOT(ISERROR(SEARCH("SEMANA",DX3)))</formula>
    </cfRule>
    <cfRule type="containsText" dxfId="5175" priority="7371" operator="containsText" text="DIA">
      <formula>NOT(ISERROR(SEARCH("DIA",DX3)))</formula>
    </cfRule>
    <cfRule type="containsText" dxfId="5174" priority="7372" operator="containsText" text="FUERA">
      <formula>NOT(ISERROR(SEARCH("FUERA",DX3)))</formula>
    </cfRule>
    <cfRule type="containsText" dxfId="5173" priority="7373" operator="containsText" text="BUSCAR">
      <formula>NOT(ISERROR(SEARCH("BUSCAR",DX3)))</formula>
    </cfRule>
    <cfRule type="containsText" dxfId="5172"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171" priority="7338" operator="containsText" text="POSITIVO">
      <formula>NOT(ISERROR(SEARCH("POSITIVO",FV4)))</formula>
    </cfRule>
    <cfRule type="containsText" dxfId="5170" priority="7339" operator="containsText" text="NEGATIVO">
      <formula>NOT(ISERROR(SEARCH("NEGATIVO",FV4)))</formula>
    </cfRule>
  </conditionalFormatting>
  <conditionalFormatting sqref="FY214:FY248 GE4:GE248 GH4:GH248 GJ4:GJ248 GB4:GB248 FY4:FY212">
    <cfRule type="containsText" dxfId="5169" priority="7335" operator="containsText" text="P.R REACTIVA">
      <formula>NOT(ISERROR(SEARCH("P.R REACTIVA",FY4)))</formula>
    </cfRule>
    <cfRule type="containsText" dxfId="5168" priority="7336" operator="containsText" text="NO REACTIVA">
      <formula>NOT(ISERROR(SEARCH("NO REACTIVA",FY4)))</formula>
    </cfRule>
    <cfRule type="containsText" dxfId="5167" priority="7337" operator="containsText" text="ELISA REACTIVA">
      <formula>NOT(ISERROR(SEARCH("ELISA REACTIVA",FY4)))</formula>
    </cfRule>
  </conditionalFormatting>
  <conditionalFormatting sqref="GL4:GL248">
    <cfRule type="containsText" dxfId="5166" priority="7319" operator="containsText" text="NO APLICA">
      <formula>NOT(ISERROR(SEARCH("NO APLICA",GL4)))</formula>
    </cfRule>
    <cfRule type="containsText" dxfId="5165" priority="7320" operator="containsText" text="NO CONLUYENTE">
      <formula>NOT(ISERROR(SEARCH("NO CONLUYENTE",GL4)))</formula>
    </cfRule>
    <cfRule type="containsText" dxfId="5164" priority="7321" operator="containsText" text="NEGATIVA">
      <formula>NOT(ISERROR(SEARCH("NEGATIVA",GL4)))</formula>
    </cfRule>
    <cfRule type="containsText" dxfId="5163"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162" priority="7173" operator="containsText" text="NO SE FORMULA">
      <formula>NOT(ISERROR(SEARCH("NO SE FORMULA",HT4)))</formula>
    </cfRule>
    <cfRule type="containsText" dxfId="5161" priority="7280" operator="containsText" text="OTRO">
      <formula>NOT(ISERROR(SEARCH("OTRO",HT4)))</formula>
    </cfRule>
    <cfRule type="containsText" dxfId="5160" priority="7281" operator="containsText" text="IRREGULAR">
      <formula>NOT(ISERROR(SEARCH("IRREGULAR",HT4)))</formula>
    </cfRule>
    <cfRule type="containsText" dxfId="5159" priority="7282" operator="containsText" text="ADECUADO">
      <formula>NOT(ISERROR(SEARCH("ADECUADO",HT4)))</formula>
    </cfRule>
  </conditionalFormatting>
  <conditionalFormatting sqref="IK4:IK248">
    <cfRule type="containsText" dxfId="5158" priority="7266" operator="containsText" text="CAMBIO">
      <formula>NOT(ISERROR(SEARCH("CAMBIO",IK4)))</formula>
    </cfRule>
    <cfRule type="containsText" dxfId="5157" priority="7267" operator="containsText" text="NEGACION">
      <formula>NOT(ISERROR(SEARCH("NEGACION",IK4)))</formula>
    </cfRule>
    <cfRule type="containsText" dxfId="5156" priority="7268" operator="containsText" text="IVE">
      <formula>NOT(ISERROR(SEARCH("IVE",IK4)))</formula>
    </cfRule>
    <cfRule type="containsText" dxfId="5155" priority="7269" operator="containsText" text="ABORTO">
      <formula>NOT(ISERROR(SEARCH("ABORTO",IK4)))</formula>
    </cfRule>
    <cfRule type="containsText" dxfId="5154" priority="7270" operator="containsText" text="CESAREA">
      <formula>NOT(ISERROR(SEARCH("CESAREA",IK4)))</formula>
    </cfRule>
    <cfRule type="containsText" dxfId="5153" priority="7271" operator="containsText" text="PARTO">
      <formula>NOT(ISERROR(SEARCH("PARTO",IK4)))</formula>
    </cfRule>
  </conditionalFormatting>
  <conditionalFormatting sqref="IL4:IL248">
    <cfRule type="cellIs" dxfId="5152" priority="6779" operator="equal">
      <formula>"MORBILIDAD MATERNA EXTREMA"</formula>
    </cfRule>
    <cfRule type="containsText" dxfId="5151" priority="7262" operator="containsText" text="MME">
      <formula>NOT(ISERROR(SEARCH("MME",IL4)))</formula>
    </cfRule>
    <cfRule type="cellIs" dxfId="5150" priority="7263" operator="equal">
      <formula>"MUERTE Y MORBILIDAD MATERNA EXTREMA"</formula>
    </cfRule>
    <cfRule type="containsText" dxfId="5149" priority="7264" operator="containsText" text="MUERTE">
      <formula>NOT(ISERROR(SEARCH("MUERTE",IL4)))</formula>
    </cfRule>
    <cfRule type="containsText" dxfId="5148" priority="7265" operator="containsText" text="SANA">
      <formula>NOT(ISERROR(SEARCH("SANA",IL4)))</formula>
    </cfRule>
  </conditionalFormatting>
  <conditionalFormatting sqref="IM4:IM248">
    <cfRule type="cellIs" dxfId="5147" priority="6778" operator="equal">
      <formula>"MUERTE PERINATAL Y MALFORMACIÓN CONGÉNITA"</formula>
    </cfRule>
    <cfRule type="containsText" dxfId="5146" priority="7256" operator="containsText" text="SIFILIS">
      <formula>NOT(ISERROR(SEARCH("SIFILIS",IM4)))</formula>
    </cfRule>
    <cfRule type="containsText" dxfId="5145" priority="7257" operator="containsText" text="MALFORMACIÓN">
      <formula>NOT(ISERROR(SEARCH("MALFORMACIÓN",IM4)))</formula>
    </cfRule>
    <cfRule type="containsText" dxfId="5144" priority="7258" operator="containsText" text="MUERTE">
      <formula>NOT(ISERROR(SEARCH("MUERTE",IM4)))</formula>
    </cfRule>
    <cfRule type="containsText" dxfId="5143" priority="7259" operator="containsText" text="UCI">
      <formula>NOT(ISERROR(SEARCH("UCI",IM4)))</formula>
    </cfRule>
    <cfRule type="containsText" dxfId="5142" priority="7260" operator="containsText" text="HOSPITALIZACION">
      <formula>NOT(ISERROR(SEARCH("HOSPITALIZACION",IM4)))</formula>
    </cfRule>
    <cfRule type="containsText" dxfId="5141" priority="7261" operator="containsText" text="SANO">
      <formula>NOT(ISERROR(SEARCH("SANO",IM4)))</formula>
    </cfRule>
  </conditionalFormatting>
  <conditionalFormatting sqref="IO4:IO71 IO73:IO248">
    <cfRule type="containsText" dxfId="5140" priority="7252" operator="containsText" text="NO APLICA">
      <formula>NOT(ISERROR(SEARCH("NO APLICA",IO4)))</formula>
    </cfRule>
    <cfRule type="containsText" dxfId="5139" priority="7253" operator="containsText" text="OTRO">
      <formula>NOT(ISERROR(SEARCH("OTRO",IO4)))</formula>
    </cfRule>
    <cfRule type="containsText" dxfId="5138" priority="7254" operator="containsText" text="DOMICILIO">
      <formula>NOT(ISERROR(SEARCH("DOMICILIO",IO4)))</formula>
    </cfRule>
    <cfRule type="containsText" dxfId="5137"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136" priority="7248" operator="containsText" text="NO APLICA">
      <formula>NOT(ISERROR(SEARCH("NO APLICA",IR4)))</formula>
    </cfRule>
    <cfRule type="containsText" dxfId="5135" priority="7249" operator="containsText" text="ALTA">
      <formula>NOT(ISERROR(SEARCH("ALTA",IR4)))</formula>
    </cfRule>
    <cfRule type="containsText" dxfId="5134" priority="7250" operator="containsText" text="MEDIANA">
      <formula>NOT(ISERROR(SEARCH("MEDIANA",IR4)))</formula>
    </cfRule>
    <cfRule type="containsText" dxfId="5133"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132" priority="7241" operator="containsText" text="NO APLICA">
      <formula>NOT(ISERROR(SEARCH("NO APLICA",IS4)))</formula>
    </cfRule>
    <cfRule type="containsText" dxfId="5131" priority="7242" operator="containsText" text="SIN">
      <formula>NOT(ISERROR(SEARCH("SIN",IS4)))</formula>
    </cfRule>
    <cfRule type="containsText" dxfId="5130" priority="7243" operator="containsText" text="EQUIPO">
      <formula>NOT(ISERROR(SEARCH("EQUIPO",IS4)))</formula>
    </cfRule>
    <cfRule type="containsText" dxfId="5129" priority="7244" operator="containsText" text="MEDICO TRADICIONAL">
      <formula>NOT(ISERROR(SEARCH("MEDICO TRADICIONAL",IS4)))</formula>
    </cfRule>
    <cfRule type="containsText" dxfId="5128" priority="7245" operator="containsText" text="PARTERA">
      <formula>NOT(ISERROR(SEARCH("PARTERA",IS4)))</formula>
    </cfRule>
    <cfRule type="containsText" dxfId="5127" priority="7246" operator="containsText" text="TÉCNICO">
      <formula>NOT(ISERROR(SEARCH("TÉCNICO",IS4)))</formula>
    </cfRule>
    <cfRule type="containsText" dxfId="5126" priority="7247" operator="containsText" text="PROFESIONAL">
      <formula>NOT(ISERROR(SEARCH("PROFESIONAL",IS4)))</formula>
    </cfRule>
  </conditionalFormatting>
  <conditionalFormatting sqref="JA4:JA248">
    <cfRule type="containsText" dxfId="5125" priority="7238" operator="containsText" text="SIN DATO">
      <formula>NOT(ISERROR(SEARCH("SIN DATO",JA4)))</formula>
    </cfRule>
    <cfRule type="containsText" dxfId="5124" priority="7239" operator="containsText" text="SIN COMPLICACION">
      <formula>NOT(ISERROR(SEARCH("SIN COMPLICACION",JA4)))</formula>
    </cfRule>
    <cfRule type="notContainsBlanks" dxfId="5123" priority="7515">
      <formula>LEN(TRIM(JA4))&gt;0</formula>
    </cfRule>
  </conditionalFormatting>
  <conditionalFormatting sqref="JO3:JO248 JE3:JE248">
    <cfRule type="containsText" dxfId="5122" priority="7234" operator="containsText" text="PREMATURO">
      <formula>NOT(ISERROR(SEARCH("PREMATURO",JE3)))</formula>
    </cfRule>
    <cfRule type="containsText" dxfId="5121" priority="7235" operator="containsText" text="GRANDE">
      <formula>NOT(ISERROR(SEARCH("GRANDE",JE3)))</formula>
    </cfRule>
    <cfRule type="containsText" dxfId="5120" priority="7236" operator="containsText" text="ADECUADO">
      <formula>NOT(ISERROR(SEARCH("ADECUADO",JE3)))</formula>
    </cfRule>
    <cfRule type="containsText" dxfId="5119" priority="7237" operator="containsText" text="BAJO">
      <formula>NOT(ISERROR(SEARCH("BAJO",JE3)))</formula>
    </cfRule>
  </conditionalFormatting>
  <conditionalFormatting sqref="JQ4:JQ248 JG4:JG248">
    <cfRule type="containsText" dxfId="5118" priority="7227" operator="containsText" text="SIN DATO">
      <formula>NOT(ISERROR(SEARCH("SIN DATO",JG4)))</formula>
    </cfRule>
    <cfRule type="containsText" dxfId="5117" priority="7228" operator="containsText" text="ANORMAL">
      <formula>NOT(ISERROR(SEARCH("ANORMAL",JG4)))</formula>
    </cfRule>
    <cfRule type="containsText" dxfId="5116"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115" priority="7223" operator="containsText" text="NO APLICA">
      <formula>NOT(ISERROR(SEARCH("NO APLICA",JI4)))</formula>
    </cfRule>
    <cfRule type="containsText" dxfId="5114" priority="7224" operator="containsText" text="SIN DATO">
      <formula>NOT(ISERROR(SEARCH("SIN DATO",JI4)))</formula>
    </cfRule>
    <cfRule type="containsText" dxfId="5113" priority="7225" operator="containsText" text="NO">
      <formula>NOT(ISERROR(SEARCH("NO",JI4)))</formula>
    </cfRule>
    <cfRule type="containsText" dxfId="5112" priority="7226" operator="containsText" text="SI">
      <formula>NOT(ISERROR(SEARCH("SI",JI4)))</formula>
    </cfRule>
  </conditionalFormatting>
  <conditionalFormatting sqref="AK206:AK210 AK3:AK196 AK202:AK204 AK213:AK234">
    <cfRule type="containsText" dxfId="5111" priority="6763" operator="containsText" text="COMPLETAR EVALUACIÓN">
      <formula>NOT(ISERROR(SEARCH("COMPLETAR EVALUACIÓN",AK3)))</formula>
    </cfRule>
    <cfRule type="containsText" dxfId="5110" priority="7208" operator="containsText" text="CON RIESGO">
      <formula>NOT(ISERROR(SEARCH("CON RIESGO",AK3)))</formula>
    </cfRule>
    <cfRule type="containsText" dxfId="5109" priority="7209" operator="containsText" text="SIN RIESGO">
      <formula>NOT(ISERROR(SEARCH("SIN RIESGO",AK3)))</formula>
    </cfRule>
  </conditionalFormatting>
  <conditionalFormatting sqref="AI207 AI209:AI210 AI3:AI189 AI213:AI221">
    <cfRule type="containsText" dxfId="5108" priority="6734" operator="containsText" text="HABITANTE DE CALLE">
      <formula>NOT(ISERROR(SEARCH("HABITANTE DE CALLE",AI3)))</formula>
    </cfRule>
    <cfRule type="containsText" dxfId="5107" priority="7204" operator="containsText" text="NINGUNO">
      <formula>NOT(ISERROR(SEARCH("NINGUNO",AI3)))</formula>
    </cfRule>
    <cfRule type="containsText" dxfId="5106" priority="7205" operator="containsText" text="MIGRATORIA">
      <formula>NOT(ISERROR(SEARCH("MIGRATORIA",AI3)))</formula>
    </cfRule>
    <cfRule type="containsText" dxfId="5105" priority="7206" operator="containsText" text="DISCAPACIDAD">
      <formula>NOT(ISERROR(SEARCH("DISCAPACIDAD",AI3)))</formula>
    </cfRule>
    <cfRule type="containsText" dxfId="5104" priority="7207" operator="containsText" text="DESPLAZADA">
      <formula>NOT(ISERROR(SEARCH("DESPLAZADA",AI3)))</formula>
    </cfRule>
  </conditionalFormatting>
  <conditionalFormatting sqref="Q3:Q198 Q202:Q211 Q213:Q248">
    <cfRule type="containsText" dxfId="5103" priority="7149" operator="containsText" text="INMIGRANTE VENEZOLANA">
      <formula>NOT(ISERROR(SEARCH("INMIGRANTE VENEZOLANA",Q3)))</formula>
    </cfRule>
    <cfRule type="containsText" dxfId="5102" priority="7150" operator="containsText" text="SIN AFILIACIÓN A EPS">
      <formula>NOT(ISERROR(SEARCH("SIN AFILIACIÓN A EPS",Q3)))</formula>
    </cfRule>
  </conditionalFormatting>
  <conditionalFormatting sqref="HF4:HF248">
    <cfRule type="containsText" dxfId="5101" priority="6969" operator="containsText" text="COVID19 PUERPERIO">
      <formula>NOT(ISERROR(SEARCH("COVID19 PUERPERIO",HF4)))</formula>
    </cfRule>
    <cfRule type="containsText" dxfId="5100" priority="6970" operator="containsText" text="COVID19 TERCER TRIMESTRE">
      <formula>NOT(ISERROR(SEARCH("COVID19 TERCER TRIMESTRE",HF4)))</formula>
    </cfRule>
    <cfRule type="containsText" dxfId="5099" priority="6971" operator="containsText" text="COVID19 SEGUNDO TRIMESTRE">
      <formula>NOT(ISERROR(SEARCH("COVID19 SEGUNDO TRIMESTRE",HF4)))</formula>
    </cfRule>
    <cfRule type="containsText" dxfId="5098" priority="6972" operator="containsText" text="COVID19 PRIMER TRIMESTRE">
      <formula>NOT(ISERROR(SEARCH("COVID19 PRIMER TRIMESTRE",HF4)))</formula>
    </cfRule>
    <cfRule type="containsText" dxfId="5097" priority="6973" operator="containsText" text="FACTOR DE RIESGO">
      <formula>NOT(ISERROR(SEARCH("FACTOR DE RIESGO",HF4)))</formula>
    </cfRule>
    <cfRule type="containsText" dxfId="5096" priority="6974" operator="containsText" text="SIN INFECCIÓN">
      <formula>NOT(ISERROR(SEARCH("SIN INFECCIÓN",HF4)))</formula>
    </cfRule>
    <cfRule type="containsText" dxfId="5095" priority="6975" operator="containsText" text="NO SE EVALUA RIESGO INFECCIÓN COVID19">
      <formula>NOT(ISERROR(SEARCH("NO SE EVALUA RIESGO INFECCIÓN COVID19",HF4)))</formula>
    </cfRule>
  </conditionalFormatting>
  <conditionalFormatting sqref="BS2:BS248">
    <cfRule type="cellIs" dxfId="5094" priority="6968" operator="equal">
      <formula>"SIN SEMANAS X ECO"</formula>
    </cfRule>
  </conditionalFormatting>
  <conditionalFormatting sqref="D3:D248">
    <cfRule type="cellIs" dxfId="5093" priority="6960" operator="equal">
      <formula>"SIN DATO"</formula>
    </cfRule>
    <cfRule type="cellIs" dxfId="5092" priority="6961" operator="equal">
      <formula>"SIN ATENCIÓN"</formula>
    </cfRule>
    <cfRule type="cellIs" dxfId="5091" priority="6962" operator="equal">
      <formula>"PROCESO PARCIAL DE ATENCIÓN"</formula>
    </cfRule>
    <cfRule type="cellIs" dxfId="5090" priority="6963" operator="equal">
      <formula>"PROCESO COMPLETO DE ATENCIÓN"</formula>
    </cfRule>
  </conditionalFormatting>
  <conditionalFormatting sqref="CD206 CD209 CD225 CD230 CD233:CD248 CD3:CD161 CD163:CD203 CD212:CD222">
    <cfRule type="cellIs" dxfId="5089" priority="6955" operator="equal">
      <formula>"SD"</formula>
    </cfRule>
    <cfRule type="cellIs" dxfId="5088" priority="6956" operator="equal">
      <formula>"OBLICUA"</formula>
    </cfRule>
    <cfRule type="cellIs" dxfId="5087" priority="6958" operator="equal">
      <formula>"PODÁLICA"</formula>
    </cfRule>
    <cfRule type="cellIs" dxfId="5086" priority="6959" operator="equal">
      <formula>"CEFÁLICA"</formula>
    </cfRule>
  </conditionalFormatting>
  <conditionalFormatting sqref="FJ4:FJ169 FJ192:FJ212 FJ214:FJ248 FJ172:FJ176 FJ178:FJ189">
    <cfRule type="containsText" dxfId="5085" priority="6906" operator="containsText" text="POSITIVA CICATRIZ">
      <formula>NOT(ISERROR(SEARCH("POSITIVA CICATRIZ",FJ4)))</formula>
    </cfRule>
    <cfRule type="containsText" dxfId="5084" priority="6907" operator="containsText" text="POSITIVA CASO SIFILIS">
      <formula>NOT(ISERROR(SEARCH("POSITIVA CASO SIFILIS",FJ4)))</formula>
    </cfRule>
    <cfRule type="containsText" dxfId="5083" priority="6908" operator="containsText" text="NEGATIVA">
      <formula>NOT(ISERROR(SEARCH("NEGATIVA",FJ4)))</formula>
    </cfRule>
  </conditionalFormatting>
  <conditionalFormatting sqref="FM4:FM186 FM188:FM248 FS4:FS248 FP4:FP169 FP171:FP248">
    <cfRule type="containsText" dxfId="5082" priority="6865" operator="containsText" text="REINFECCIÓN">
      <formula>NOT(ISERROR(SEARCH("REINFECCIÓN",FM4)))</formula>
    </cfRule>
    <cfRule type="containsText" dxfId="5081" priority="6866" operator="containsText" text="DILUCIONES DISMINUYEN">
      <formula>NOT(ISERROR(SEARCH("DILUCIONES DISMINUYEN",FM4)))</formula>
    </cfRule>
    <cfRule type="containsText" dxfId="5080" priority="6867" operator="containsText" text="DILUCIONES ESTABLES">
      <formula>NOT(ISERROR(SEARCH("DILUCIONES ESTABLES",FM4)))</formula>
    </cfRule>
    <cfRule type="containsText" dxfId="5079" priority="6868" operator="containsText" text="POSITIVA CICATRIZ">
      <formula>NOT(ISERROR(SEARCH("POSITIVA CICATRIZ",FM4)))</formula>
    </cfRule>
    <cfRule type="containsText" dxfId="5078" priority="6869" operator="containsText" text="POSITIVA CASO SIFILIS">
      <formula>NOT(ISERROR(SEARCH("POSITIVA CASO SIFILIS",FM4)))</formula>
    </cfRule>
    <cfRule type="containsText" dxfId="5077" priority="6870" operator="containsText" text="NEGATIVA">
      <formula>NOT(ISERROR(SEARCH("NEGATIVA",FM4)))</formula>
    </cfRule>
  </conditionalFormatting>
  <conditionalFormatting sqref="GZ4:GZ248 HB4:HB248 HD4:HD248">
    <cfRule type="containsText" dxfId="5076" priority="6832" operator="containsText" text="INDETERMINADO">
      <formula>NOT(ISERROR(SEARCH("INDETERMINADO",GZ4)))</formula>
    </cfRule>
    <cfRule type="containsText" dxfId="5075" priority="6833" operator="containsText" text="NO TOMADO">
      <formula>NOT(ISERROR(SEARCH("NO TOMADO",GZ4)))</formula>
    </cfRule>
    <cfRule type="cellIs" dxfId="5074" priority="6835" operator="equal">
      <formula>"NEGATIVO"</formula>
    </cfRule>
    <cfRule type="cellIs" dxfId="5073" priority="6836" operator="equal">
      <formula>"POSITIVO"</formula>
    </cfRule>
  </conditionalFormatting>
  <conditionalFormatting sqref="DR3:DR248">
    <cfRule type="containsBlanks" priority="6803" stopIfTrue="1">
      <formula>LEN(TRIM(DR3))=0</formula>
    </cfRule>
    <cfRule type="cellIs" dxfId="5072" priority="6804" operator="greaterThanOrEqual">
      <formula>6</formula>
    </cfRule>
    <cfRule type="cellIs" dxfId="5071" priority="6805" operator="between">
      <formula>4</formula>
      <formula>5</formula>
    </cfRule>
    <cfRule type="cellIs" dxfId="5070" priority="6806" operator="between">
      <formula>0</formula>
      <formula>3</formula>
    </cfRule>
  </conditionalFormatting>
  <conditionalFormatting sqref="DU3:DU248">
    <cfRule type="cellIs" dxfId="5069" priority="6795" operator="between">
      <formula>28</formula>
      <formula>44</formula>
    </cfRule>
    <cfRule type="cellIs" dxfId="5068" priority="6797" operator="equal">
      <formula>"SALE SIN PLAN DE PARTO"</formula>
    </cfRule>
    <cfRule type="cellIs" dxfId="5067" priority="6798" operator="equal">
      <formula>"SALE PROGRAMA ANTES SEMANA 35"</formula>
    </cfRule>
    <cfRule type="cellIs" dxfId="5066" priority="6799" operator="equal">
      <formula>"EN ESPERA"</formula>
    </cfRule>
    <cfRule type="cellIs" dxfId="5065" priority="6800" operator="equal">
      <formula>"CONCERTAR PLAN DE PARTO INMEDIATO"</formula>
    </cfRule>
    <cfRule type="cellIs" dxfId="5064" priority="6801" operator="equal">
      <formula>"PLANEAR PLAN DE PARTO"</formula>
    </cfRule>
    <cfRule type="cellIs" dxfId="5063" priority="6802" operator="equal">
      <formula>"PLAN REALIZADO ANTES III TRIM"</formula>
    </cfRule>
  </conditionalFormatting>
  <conditionalFormatting sqref="HM3:HM248 DX3:DX248">
    <cfRule type="containsText" dxfId="5062"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061" priority="6781" operator="containsText" text="LE HACEN CESÁREA SIN INICIO TRABAJO DE PARTO">
      <formula>NOT(ISERROR(SEARCH("LE HACEN CESÁREA SIN INICIO TRABAJO DE PARTO",IT4)))</formula>
    </cfRule>
    <cfRule type="containsText" dxfId="5060" priority="6782" operator="containsText" text="LE HACEN INDUCCIÓN">
      <formula>NOT(ISERROR(SEARCH("LE HACEN INDUCCIÓN",IT4)))</formula>
    </cfRule>
    <cfRule type="containsText" dxfId="5059" priority="6783" operator="containsText" text="ESPONTÁNEO">
      <formula>NOT(ISERROR(SEARCH("ESPONTÁNEO",IT4)))</formula>
    </cfRule>
  </conditionalFormatting>
  <conditionalFormatting sqref="FM187">
    <cfRule type="containsText" dxfId="5058" priority="6769" operator="containsText" text="DILUCIONES DISMINUYEN">
      <formula>NOT(ISERROR(SEARCH("DILUCIONES DISMINUYEN",FM187)))</formula>
    </cfRule>
    <cfRule type="containsText" dxfId="5057" priority="6770" operator="containsText" text="DILUCIONES ESTABLES">
      <formula>NOT(ISERROR(SEARCH("DILUCIONES ESTABLES",FM187)))</formula>
    </cfRule>
    <cfRule type="containsText" dxfId="5056" priority="6771" operator="containsText" text="POSITIVA CICATRIZ">
      <formula>NOT(ISERROR(SEARCH("POSITIVA CICATRIZ",FM187)))</formula>
    </cfRule>
    <cfRule type="containsText" dxfId="5055" priority="6772" operator="containsText" text="POSITIVA CASO SIFILIS">
      <formula>NOT(ISERROR(SEARCH("POSITIVA CASO SIFILIS",FM187)))</formula>
    </cfRule>
    <cfRule type="containsText" dxfId="5054" priority="6773" operator="containsText" text="NEGATIVA">
      <formula>NOT(ISERROR(SEARCH("NEGATIVA",FM187)))</formula>
    </cfRule>
  </conditionalFormatting>
  <conditionalFormatting sqref="AE204:AF204 AE237:AF237 AE208 AE206:AF207 AE209:AF210 AE3:AF189 AE213:AF221">
    <cfRule type="containsText" dxfId="5053" priority="6764" operator="containsText" text="NO">
      <formula>NOT(ISERROR(SEARCH("NO",AE3)))</formula>
    </cfRule>
    <cfRule type="containsText" dxfId="5052" priority="6765" operator="containsText" text="SI">
      <formula>NOT(ISERROR(SEARCH("SI",AE3)))</formula>
    </cfRule>
  </conditionalFormatting>
  <conditionalFormatting sqref="AD3:AD154 AD156:AD183 AD185 AD187:AD239">
    <cfRule type="containsText" dxfId="5051" priority="6760" operator="containsText" text="No Consume">
      <formula>NOT(ISERROR(SEARCH("No Consume",AD3)))</formula>
    </cfRule>
    <cfRule type="containsText" dxfId="5050" priority="6761" operator="containsText" text="Hasta Antes de la Gestación">
      <formula>NOT(ISERROR(SEARCH("Hasta Antes de la Gestación",AD3)))</formula>
    </cfRule>
    <cfRule type="containsText" dxfId="5049"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048" priority="6689" operator="containsText" text="RH NEGATIVO SIN COOMB">
      <formula>NOT(ISERROR(SEARCH("RH NEGATIVO SIN COOMB",EV4)))</formula>
    </cfRule>
    <cfRule type="containsText" dxfId="5047" priority="6757" operator="containsText" text="RH NEGATIVO CON COOMBS POSITIVO">
      <formula>NOT(ISERROR(SEARCH("RH NEGATIVO CON COOMBS POSITIVO",EV4)))</formula>
    </cfRule>
    <cfRule type="containsText" dxfId="5046" priority="6758" operator="containsText" text="RH NEGATIVO CON COOMBS NEGATIVO">
      <formula>NOT(ISERROR(SEARCH("RH NEGATIVO CON COOMBS NEGATIVO",EV4)))</formula>
    </cfRule>
    <cfRule type="containsText" dxfId="5045" priority="6759" operator="containsText" text="RH POSITIVO">
      <formula>NOT(ISERROR(SEARCH("RH POSITIVO",EV4)))</formula>
    </cfRule>
  </conditionalFormatting>
  <conditionalFormatting sqref="BC209 BC3:BC189">
    <cfRule type="containsText" dxfId="5044" priority="6749" operator="containsText" text="SD">
      <formula>NOT(ISERROR(SEARCH("SD",BC3)))</formula>
    </cfRule>
    <cfRule type="containsText" dxfId="5043" priority="6750" operator="containsText" text="SI, NO CONTROLADA">
      <formula>NOT(ISERROR(SEARCH("SI, NO CONTROLADA",BC3)))</formula>
    </cfRule>
    <cfRule type="containsText" dxfId="5042" priority="6751" operator="containsText" text="SI, SIN MANEJO">
      <formula>NOT(ISERROR(SEARCH("SI, SIN MANEJO",BC3)))</formula>
    </cfRule>
    <cfRule type="containsText" dxfId="5041" priority="6752" operator="containsText" text="SI, CONTROLADA">
      <formula>NOT(ISERROR(SEARCH("SI, CONTROLADA",BC3)))</formula>
    </cfRule>
    <cfRule type="containsText" dxfId="5040" priority="6753" operator="containsText" text="NO">
      <formula>NOT(ISERROR(SEARCH("NO",BC3)))</formula>
    </cfRule>
  </conditionalFormatting>
  <conditionalFormatting sqref="CR4:CR155 CR157:CR212 CU4:CU204 CR214:CR248 CU206:CU248">
    <cfRule type="expression" dxfId="5039" priority="6745">
      <formula>IF(CT4="NO APLICA REGISTRO TA-INGRESO TARDIO",1,"")</formula>
    </cfRule>
  </conditionalFormatting>
  <conditionalFormatting sqref="CS4:CS155 CS157:CS212 CV4:CV204 CS214:CS248 CV206:CV248">
    <cfRule type="expression" dxfId="5038" priority="6744">
      <formula>IF(CT4="NO APLICA REGISTRO TA-INGRESO TARDIO",1,"")</formula>
    </cfRule>
  </conditionalFormatting>
  <conditionalFormatting sqref="FA4:FA212 FA214:FA248">
    <cfRule type="expression" dxfId="5037" priority="6737">
      <formula>IF(AND(FA4&gt;=126,FC4&lt;24),1,0)</formula>
    </cfRule>
  </conditionalFormatting>
  <conditionalFormatting sqref="BE219:BE221 BE209 BE3:BE189 BE213:BE215">
    <cfRule type="expression" dxfId="5036" priority="6735">
      <formula>IF(AND(FA3&gt;=126,FC3&lt;24),1,0)</formula>
    </cfRule>
  </conditionalFormatting>
  <conditionalFormatting sqref="L230 L232:L235 L207:L210 L3:L125 L164:L175 L157:L162 L152:L155 L127:L150 L177:L199 L213:L227">
    <cfRule type="containsText" dxfId="5035" priority="6711" operator="containsText" text="Empleo informal">
      <formula>NOT(ISERROR(SEARCH("Empleo informal",L3)))</formula>
    </cfRule>
    <cfRule type="containsText" dxfId="5034" priority="6712" operator="containsText" text="Empleada formalmente con riesgo a tóxicos">
      <formula>NOT(ISERROR(SEARCH("Empleada formalmente con riesgo a tóxicos",L3)))</formula>
    </cfRule>
    <cfRule type="containsText" dxfId="5033" priority="6713" operator="containsText" text="Empleada formalmente con riesgo de accidente laboral">
      <formula>NOT(ISERROR(SEARCH("Empleada formalmente con riesgo de accidente laboral",L3)))</formula>
    </cfRule>
    <cfRule type="containsText" dxfId="5032" priority="6714" operator="containsText" text="Empleada formalmente por jornada laboral extensa">
      <formula>NOT(ISERROR(SEARCH("Empleada formalmente por jornada laboral extensa",L3)))</formula>
    </cfRule>
    <cfRule type="containsText" dxfId="5031" priority="6715" operator="containsText" text="Empleada formalmente sin riesgo">
      <formula>NOT(ISERROR(SEARCH("Empleada formalmente sin riesgo",L3)))</formula>
    </cfRule>
    <cfRule type="containsText" dxfId="5030" priority="6716" operator="containsText" text="Actualmente desempleada">
      <formula>NOT(ISERROR(SEARCH("Actualmente desempleada",L3)))</formula>
    </cfRule>
    <cfRule type="containsText" dxfId="5029" priority="6717" operator="containsText" text="Hogar sin apoyo">
      <formula>NOT(ISERROR(SEARCH("Hogar sin apoyo",L3)))</formula>
    </cfRule>
    <cfRule type="containsText" dxfId="5028" priority="6718" operator="containsText" text="Empleada formalmente sin riesgo">
      <formula>NOT(ISERROR(SEARCH("Empleada formalmente sin riesgo",L3)))</formula>
    </cfRule>
    <cfRule type="containsText" dxfId="5027" priority="6719" operator="containsText" text="Hogar Con apoyo">
      <formula>NOT(ISERROR(SEARCH("Hogar Con apoyo",L3)))</formula>
    </cfRule>
  </conditionalFormatting>
  <conditionalFormatting sqref="DT3:DT248">
    <cfRule type="containsText" dxfId="5026" priority="6706" operator="containsText" text="Sin Acuerdo">
      <formula>NOT(ISERROR(SEARCH("Sin Acuerdo",DT3)))</formula>
    </cfRule>
    <cfRule type="containsText" dxfId="5025" priority="6707" operator="containsText" text="Sin Dato">
      <formula>NOT(ISERROR(SEARCH("Sin Dato",DT3)))</formula>
    </cfRule>
    <cfRule type="containsText" dxfId="5024" priority="6708" operator="containsText" text="IPS Remisión fuera Mpio">
      <formula>NOT(ISERROR(SEARCH("IPS Remisión fuera Mpio",DT3)))</formula>
    </cfRule>
    <cfRule type="containsText" dxfId="5023" priority="6709" operator="containsText" text="Domiciliario">
      <formula>NOT(ISERROR(SEARCH("Domiciliario",DT3)))</formula>
    </cfRule>
    <cfRule type="containsText" dxfId="5022" priority="6710" operator="containsText" text="IPS dentro Mpio">
      <formula>NOT(ISERROR(SEARCH("IPS dentro Mpio",DT3)))</formula>
    </cfRule>
  </conditionalFormatting>
  <conditionalFormatting sqref="IB4:IB248">
    <cfRule type="containsText" dxfId="5021" priority="6703" operator="containsText" text="NO Firma Disentimiento">
      <formula>NOT(ISERROR(SEARCH("NO Firma Disentimiento",IB4)))</formula>
    </cfRule>
    <cfRule type="containsText" dxfId="5020" priority="6704" operator="containsText" text="Firma Disentimiento">
      <formula>NOT(ISERROR(SEARCH("Firma Disentimiento",IB4)))</formula>
    </cfRule>
    <cfRule type="containsText" dxfId="5019" priority="6705" operator="containsText" text="No Vacunada">
      <formula>NOT(ISERROR(SEARCH("No Vacunada",IB4)))</formula>
    </cfRule>
  </conditionalFormatting>
  <conditionalFormatting sqref="GY4:GY248">
    <cfRule type="containsText" dxfId="5018" priority="6700" operator="containsText" text="Nunca se ha tomado / No vigente">
      <formula>NOT(ISERROR(SEARCH("Nunca se ha tomado / No vigente",GY4)))</formula>
    </cfRule>
    <cfRule type="containsText" dxfId="5017" priority="6701" operator="containsText" text="Esquema vigente – Alterado">
      <formula>NOT(ISERROR(SEARCH("Esquema vigente – Alterado",GY4)))</formula>
    </cfRule>
    <cfRule type="containsText" dxfId="5016" priority="6702" operator="containsText" text="Esquema vigente – Normal">
      <formula>NOT(ISERROR(SEARCH("Esquema vigente – Normal",GY4)))</formula>
    </cfRule>
  </conditionalFormatting>
  <conditionalFormatting sqref="ET3:ET248">
    <cfRule type="containsText" dxfId="5015" priority="6693" operator="containsText" text="NO APLICA-SALE ANTES SEM 28">
      <formula>NOT(ISERROR(SEARCH("NO APLICA-SALE ANTES SEM 28",ET3)))</formula>
    </cfRule>
    <cfRule type="containsText" dxfId="5014" priority="6694" operator="containsText" text="SALE SIN TAMIZAJE HEMOGLOBINA SEM 28">
      <formula>NOT(ISERROR(SEARCH("SALE SIN TAMIZAJE HEMOGLOBINA SEM 28",ET3)))</formula>
    </cfRule>
    <cfRule type="containsText" dxfId="5013" priority="6695" operator="containsText" text="EN ESPERA PARA TOMA EXAMEN">
      <formula>NOT(ISERROR(SEARCH("EN ESPERA PARA TOMA EXAMEN",ET3)))</formula>
    </cfRule>
    <cfRule type="containsText" dxfId="5012" priority="6696" operator="containsText" text="TOMA DE HEMOGLOBINA TARDÍA">
      <formula>NOT(ISERROR(SEARCH("TOMA DE HEMOGLOBINA TARDÍA",ET3)))</formula>
    </cfRule>
    <cfRule type="containsText" dxfId="5011" priority="6697" operator="containsText" text="EN SEMANA 28 TOMA INMEDIATA DE EXAMEN">
      <formula>NOT(ISERROR(SEARCH("EN SEMANA 28 TOMA INMEDIATA DE EXAMEN",ET3)))</formula>
    </cfRule>
    <cfRule type="containsText" dxfId="5010" priority="6698" operator="containsText" text="TOMA HEMOGLOBINA A SEM 28 EN 1 SEMANA">
      <formula>NOT(ISERROR(SEARCH("TOMA HEMOGLOBINA A SEM 28 EN 1 SEMANA",ET3)))</formula>
    </cfRule>
    <cfRule type="containsText" dxfId="5009" priority="6699" operator="containsText" text="PROGRAMAR TOMA HEMOGLOBINA A SEM 28">
      <formula>NOT(ISERROR(SEARCH("PROGRAMAR TOMA HEMOGLOBINA A SEM 28",ET3)))</formula>
    </cfRule>
  </conditionalFormatting>
  <conditionalFormatting sqref="EV3">
    <cfRule type="containsText" dxfId="5008" priority="6682" operator="containsText" text="RH NEGATIVO SIN COOMB">
      <formula>NOT(ISERROR(SEARCH("RH NEGATIVO SIN COOMB",EV3)))</formula>
    </cfRule>
    <cfRule type="containsText" dxfId="5007" priority="6683" operator="containsText" text="RH NEGATIVO CON COOMBS POSITIVO">
      <formula>NOT(ISERROR(SEARCH("RH NEGATIVO CON COOMBS POSITIVO",EV3)))</formula>
    </cfRule>
    <cfRule type="containsText" dxfId="5006" priority="6684" operator="containsText" text="RH NEGATIVO CON COOMBS NEGATIVO">
      <formula>NOT(ISERROR(SEARCH("RH NEGATIVO CON COOMBS NEGATIVO",EV3)))</formula>
    </cfRule>
    <cfRule type="containsText" dxfId="5005" priority="6685" operator="containsText" text="RH POSITIVO">
      <formula>NOT(ISERROR(SEARCH("RH POSITIVO",EV3)))</formula>
    </cfRule>
  </conditionalFormatting>
  <conditionalFormatting sqref="EZ3:EZ248">
    <cfRule type="cellIs" dxfId="5004" priority="6666" operator="between">
      <formula>1</formula>
      <formula>27.99</formula>
    </cfRule>
    <cfRule type="cellIs" dxfId="5003" priority="6667" operator="between">
      <formula>28</formula>
      <formula>28.99</formula>
    </cfRule>
    <cfRule type="cellIs" dxfId="5002" priority="6668" operator="between">
      <formula>29</formula>
      <formula>42</formula>
    </cfRule>
    <cfRule type="containsText" dxfId="5001" priority="6669" operator="containsText" text="DEBE APLICAR RHESUMAN, ES NO OPORTUNO &gt; 28 SEMANAS">
      <formula>NOT(ISERROR(SEARCH("DEBE APLICAR RHESUMAN, ES NO OPORTUNO &gt; 28 SEMANAS",EZ3)))</formula>
    </cfRule>
    <cfRule type="containsText" dxfId="5000" priority="6670" operator="containsText" text="SEMANA 28 APLICAR DE INMEDIATO RHESUMAN">
      <formula>NOT(ISERROR(SEARCH("SEMANA 28 APLICAR DE INMEDIATO RHESUMAN",EZ3)))</formula>
    </cfRule>
    <cfRule type="containsText" dxfId="4999" priority="6671" operator="containsText" text="FALTAN 1 SEMANAS PARA APLICAR RHESUMAN A SEM 28">
      <formula>NOT(ISERROR(SEARCH("FALTAN 1 SEMANAS PARA APLICAR RHESUMAN A SEM 28",EZ3)))</formula>
    </cfRule>
    <cfRule type="containsText" dxfId="4998" priority="6672" operator="containsText" text="FALTAN DE 4 A 2 SEMANAS PARA APLICAR RHESUMAN A SEM 28">
      <formula>NOT(ISERROR(SEARCH("FALTAN DE 4 A 2 SEMANAS PARA APLICAR RHESUMAN A SEM 28",EZ3)))</formula>
    </cfRule>
    <cfRule type="containsText" dxfId="4997" priority="6681" operator="containsText" text="TOMAR COOMBS INMEDIATO">
      <formula>NOT(ISERROR(SEARCH("TOMAR COOMBS INMEDIATO",EZ3)))</formula>
    </cfRule>
    <cfRule type="containsText" dxfId="4996" priority="6754" operator="containsText" text="TOMAR COOMBS CUANTITATIVO Y REMISIÓN">
      <formula>NOT(ISERROR(SEARCH("TOMAR COOMBS CUANTITATIVO Y REMISIÓN",EZ3)))</formula>
    </cfRule>
    <cfRule type="containsText" dxfId="4995" priority="6755" operator="containsText" text="COOMBS C/MES Y RHESUMAN SEM 28">
      <formula>NOT(ISERROR(SEARCH("COOMBS C/MES Y RHESUMAN SEM 28",EZ3)))</formula>
    </cfRule>
    <cfRule type="containsText" dxfId="4994" priority="6756" operator="containsText" text="SIN RIESGO DE ISOINMUNIZACIÓN">
      <formula>NOT(ISERROR(SEARCH("SIN RIESGO DE ISOINMUNIZACIÓN",EZ3)))</formula>
    </cfRule>
  </conditionalFormatting>
  <conditionalFormatting sqref="EW3">
    <cfRule type="containsText" dxfId="4993" priority="6673" operator="containsText" text="RH NEGATIVO SIN COOMB">
      <formula>NOT(ISERROR(SEARCH("RH NEGATIVO SIN COOMB",EW3)))</formula>
    </cfRule>
    <cfRule type="containsText" dxfId="4992" priority="6674" operator="containsText" text="RH NEGATIVO CON COOMBS POSITIVO">
      <formula>NOT(ISERROR(SEARCH("RH NEGATIVO CON COOMBS POSITIVO",EW3)))</formula>
    </cfRule>
    <cfRule type="containsText" dxfId="4991" priority="6675" operator="containsText" text="RH NEGATIVO CON COOMBS NEGATIVO">
      <formula>NOT(ISERROR(SEARCH("RH NEGATIVO CON COOMBS NEGATIVO",EW3)))</formula>
    </cfRule>
    <cfRule type="containsText" dxfId="4990" priority="6676" operator="containsText" text="RH POSITIVO">
      <formula>NOT(ISERROR(SEARCH("RH POSITIVO",EW3)))</formula>
    </cfRule>
  </conditionalFormatting>
  <conditionalFormatting sqref="FA3">
    <cfRule type="expression" dxfId="4989" priority="6665">
      <formula>IF(AND(FA3&gt;=126,FC3&lt;24),1,0)</formula>
    </cfRule>
  </conditionalFormatting>
  <conditionalFormatting sqref="FR3:FR248 FO3:FO248">
    <cfRule type="containsText" dxfId="4988" priority="6659" operator="containsText" text="NO APLICA">
      <formula>NOT(ISERROR(SEARCH("NO APLICA",FO3)))</formula>
    </cfRule>
    <cfRule type="containsText" dxfId="4987" priority="6660" operator="containsText" text="PIERDE">
      <formula>NOT(ISERROR(SEARCH("PIERDE",FO3)))</formula>
    </cfRule>
    <cfRule type="containsText" dxfId="4986" priority="6661" operator="containsText" text="REGISTRAR">
      <formula>NOT(ISERROR(SEARCH("REGISTRAR",FO3)))</formula>
    </cfRule>
    <cfRule type="containsText" dxfId="4985" priority="6662" operator="containsText" text="EN ESPERA">
      <formula>NOT(ISERROR(SEARCH("EN ESPERA",FO3)))</formula>
    </cfRule>
    <cfRule type="containsText" dxfId="4984" priority="6663" operator="containsText" text="RANGO">
      <formula>NOT(ISERROR(SEARCH("RANGO",FO3)))</formula>
    </cfRule>
    <cfRule type="containsText" dxfId="4983" priority="6664" operator="containsText" text="INMEDIATA">
      <formula>NOT(ISERROR(SEARCH("INMEDIATA",FO3)))</formula>
    </cfRule>
  </conditionalFormatting>
  <conditionalFormatting sqref="FO3:FO248">
    <cfRule type="cellIs" dxfId="4982" priority="6658" operator="between">
      <formula>12</formula>
      <formula>28</formula>
    </cfRule>
  </conditionalFormatting>
  <conditionalFormatting sqref="FR3:FR248">
    <cfRule type="cellIs" dxfId="4981" priority="6654" operator="between">
      <formula>28</formula>
      <formula>44</formula>
    </cfRule>
  </conditionalFormatting>
  <conditionalFormatting sqref="GA3:GA248">
    <cfRule type="containsText" dxfId="4980" priority="6643" operator="containsText" text="NO APLICA">
      <formula>NOT(ISERROR(SEARCH("NO APLICA",GA3)))</formula>
    </cfRule>
    <cfRule type="containsText" dxfId="4979" priority="6644" operator="containsText" text="PIERDE">
      <formula>NOT(ISERROR(SEARCH("PIERDE",GA3)))</formula>
    </cfRule>
    <cfRule type="containsText" dxfId="4978" priority="6645" operator="containsText" text="REGISTRAR">
      <formula>NOT(ISERROR(SEARCH("REGISTRAR",GA3)))</formula>
    </cfRule>
    <cfRule type="cellIs" dxfId="4977" priority="6646" operator="between">
      <formula>0</formula>
      <formula>13</formula>
    </cfRule>
    <cfRule type="containsText" dxfId="4976" priority="6647" operator="containsText" text="EN ESPERA">
      <formula>NOT(ISERROR(SEARCH("EN ESPERA",GA3)))</formula>
    </cfRule>
    <cfRule type="containsText" dxfId="4975" priority="6648" operator="containsText" text="RANGO">
      <formula>NOT(ISERROR(SEARCH("RANGO",GA3)))</formula>
    </cfRule>
    <cfRule type="containsText" dxfId="4974" priority="6649" operator="containsText" text="INMEDIATA">
      <formula>NOT(ISERROR(SEARCH("INMEDIATA",GA3)))</formula>
    </cfRule>
  </conditionalFormatting>
  <conditionalFormatting sqref="GD3:GD248">
    <cfRule type="containsText" dxfId="4973" priority="6636" operator="containsText" text="NO APLICA">
      <formula>NOT(ISERROR(SEARCH("NO APLICA",GD3)))</formula>
    </cfRule>
    <cfRule type="containsText" dxfId="4972" priority="6637" operator="containsText" text="PIERDE">
      <formula>NOT(ISERROR(SEARCH("PIERDE",GD3)))</formula>
    </cfRule>
    <cfRule type="containsText" dxfId="4971" priority="6638" operator="containsText" text="REGISTRAR">
      <formula>NOT(ISERROR(SEARCH("REGISTRAR",GD3)))</formula>
    </cfRule>
    <cfRule type="cellIs" dxfId="4970" priority="6639" operator="between">
      <formula>12</formula>
      <formula>28</formula>
    </cfRule>
    <cfRule type="containsText" dxfId="4969" priority="6640" operator="containsText" text="EN ESPERA">
      <formula>NOT(ISERROR(SEARCH("EN ESPERA",GD3)))</formula>
    </cfRule>
    <cfRule type="containsText" dxfId="4968" priority="6641" operator="containsText" text="RANGO">
      <formula>NOT(ISERROR(SEARCH("RANGO",GD3)))</formula>
    </cfRule>
    <cfRule type="containsText" dxfId="4967" priority="6642" operator="containsText" text="INMEDIATA">
      <formula>NOT(ISERROR(SEARCH("INMEDIATA",GD3)))</formula>
    </cfRule>
  </conditionalFormatting>
  <conditionalFormatting sqref="GG3:GG248">
    <cfRule type="containsText" dxfId="4966" priority="6629" operator="containsText" text="NO APLICA">
      <formula>NOT(ISERROR(SEARCH("NO APLICA",GG3)))</formula>
    </cfRule>
    <cfRule type="containsText" dxfId="4965" priority="6630" operator="containsText" text="PIERDE">
      <formula>NOT(ISERROR(SEARCH("PIERDE",GG3)))</formula>
    </cfRule>
    <cfRule type="containsText" dxfId="4964" priority="6631" operator="containsText" text="REGISTRAR">
      <formula>NOT(ISERROR(SEARCH("REGISTRAR",GG3)))</formula>
    </cfRule>
    <cfRule type="cellIs" dxfId="4963" priority="6632" operator="between">
      <formula>28</formula>
      <formula>44</formula>
    </cfRule>
    <cfRule type="containsText" dxfId="4962" priority="6633" operator="containsText" text="EN ESPERA">
      <formula>NOT(ISERROR(SEARCH("EN ESPERA",GG3)))</formula>
    </cfRule>
    <cfRule type="containsText" dxfId="4961" priority="6634" operator="containsText" text="RANGO">
      <formula>NOT(ISERROR(SEARCH("RANGO",GG3)))</formula>
    </cfRule>
    <cfRule type="containsText" dxfId="4960" priority="6635" operator="containsText" text="INMEDIATA">
      <formula>NOT(ISERROR(SEARCH("INMEDIATA",GG3)))</formula>
    </cfRule>
  </conditionalFormatting>
  <conditionalFormatting sqref="HK3:HK248">
    <cfRule type="cellIs" dxfId="4959" priority="6603" operator="equal">
      <formula>"SIN ANTECEDENTES DE RIESGO"</formula>
    </cfRule>
    <cfRule type="containsText" dxfId="4958" priority="6609" operator="containsText" text="ASA">
      <formula>NOT(ISERROR(SEARCH("ASA",HK3)))</formula>
    </cfRule>
  </conditionalFormatting>
  <conditionalFormatting sqref="HI3:HI248">
    <cfRule type="cellIs" dxfId="4957" priority="6606" operator="equal">
      <formula>"CON RIESGO"</formula>
    </cfRule>
    <cfRule type="containsText" dxfId="4956" priority="6607" operator="containsText" text="BAJO">
      <formula>NOT(ISERROR(SEARCH("BAJO",HI3)))</formula>
    </cfRule>
    <cfRule type="containsText" dxfId="4955" priority="6608" operator="containsText" text="ALTO">
      <formula>NOT(ISERROR(SEARCH("ALTO",HI3)))</formula>
    </cfRule>
  </conditionalFormatting>
  <conditionalFormatting sqref="HG3:HH248">
    <cfRule type="notContainsBlanks" dxfId="4954" priority="6610">
      <formula>LEN(TRIM(HG3))&gt;0</formula>
    </cfRule>
  </conditionalFormatting>
  <conditionalFormatting sqref="HG3:HG248">
    <cfRule type="cellIs" dxfId="4953" priority="6605" operator="equal">
      <formula>"******"</formula>
    </cfRule>
  </conditionalFormatting>
  <conditionalFormatting sqref="HH3:HH248">
    <cfRule type="cellIs" dxfId="4952" priority="6604" operator="equal">
      <formula>"************"</formula>
    </cfRule>
  </conditionalFormatting>
  <conditionalFormatting sqref="HJ3:HJ248">
    <cfRule type="cellIs" dxfId="4951" priority="6601" operator="equal">
      <formula>"***************************************"</formula>
    </cfRule>
    <cfRule type="notContainsBlanks" dxfId="4950" priority="6602">
      <formula>LEN(TRIM(HJ3))&gt;0</formula>
    </cfRule>
  </conditionalFormatting>
  <conditionalFormatting sqref="HR3:HR248">
    <cfRule type="containsText" dxfId="4949" priority="6593" operator="containsText" text="Iniciar de inmediato ASA">
      <formula>NOT(ISERROR(SEARCH("Iniciar de inmediato ASA",HR3)))</formula>
    </cfRule>
    <cfRule type="containsText" dxfId="4948" priority="6594" operator="containsText" text="Inicio no oportuno mayor a 16 semanas">
      <formula>NOT(ISERROR(SEARCH("Inicio no oportuno mayor a 16 semanas",HR3)))</formula>
    </cfRule>
    <cfRule type="containsText" dxfId="4947" priority="6595" operator="containsText" text="Pierde Oportunidad, Inicio tardío de ASA">
      <formula>NOT(ISERROR(SEARCH("Pierde Oportunidad, Inicio tardío de ASA",HR3)))</formula>
    </cfRule>
    <cfRule type="containsText" dxfId="4946" priority="6596" operator="containsText" text="Pendiente Inicio de ASA a la semana 12">
      <formula>NOT(ISERROR(SEARCH("Pendiente Inicio de ASA a la semana 12",HR3)))</formula>
    </cfRule>
    <cfRule type="containsText" dxfId="4945" priority="6597" operator="containsText" text="Inicia ASA ANTES de Sem 12">
      <formula>NOT(ISERROR(SEARCH("Inicia ASA ANTES de Sem 12",HR3)))</formula>
    </cfRule>
    <cfRule type="containsText" dxfId="4944" priority="6598" operator="containsText" text="Inicio oportuno de ASA">
      <formula>NOT(ISERROR(SEARCH("Inicio oportuno de ASA",HR3)))</formula>
    </cfRule>
    <cfRule type="containsText" dxfId="4943" priority="6599" operator="containsText" text="No Aplica para suministro de ASA">
      <formula>NOT(ISERROR(SEARCH("No Aplica para suministro de ASA",HR3)))</formula>
    </cfRule>
  </conditionalFormatting>
  <conditionalFormatting sqref="FG3:FG248">
    <cfRule type="containsText" dxfId="4942" priority="6566" operator="containsText" text="COMPLETA">
      <formula>NOT(ISERROR(SEARCH("COMPLETA",FG3)))</formula>
    </cfRule>
  </conditionalFormatting>
  <conditionalFormatting sqref="FG3:FG248">
    <cfRule type="containsText" dxfId="4941" priority="6561" operator="containsText" text="NORMAL,">
      <formula>NOT(ISERROR(SEARCH("NORMAL,",FG3)))</formula>
    </cfRule>
    <cfRule type="containsText" dxfId="4940" priority="6562" operator="containsText" text="PROGRAMAR">
      <formula>NOT(ISERROR(SEARCH("PROGRAMAR",FG3)))</formula>
    </cfRule>
    <cfRule type="containsText" dxfId="4939" priority="6563" operator="containsText" text="NORMAL">
      <formula>NOT(ISERROR(SEARCH("NORMAL",FG3)))</formula>
    </cfRule>
    <cfRule type="containsText" dxfId="4938" priority="6564" operator="containsText" text="DIABETES">
      <formula>NOT(ISERROR(SEARCH("DIABETES",FG3)))</formula>
    </cfRule>
    <cfRule type="containsText" dxfId="4937" priority="6565" operator="containsText" text="TOMAR">
      <formula>NOT(ISERROR(SEARCH("TOMAR",FG3)))</formula>
    </cfRule>
  </conditionalFormatting>
  <conditionalFormatting sqref="FJ3">
    <cfRule type="containsText" dxfId="4936" priority="6558" operator="containsText" text="POSITIVA CICATRIZ">
      <formula>NOT(ISERROR(SEARCH("POSITIVA CICATRIZ",FJ3)))</formula>
    </cfRule>
    <cfRule type="containsText" dxfId="4935" priority="6559" operator="containsText" text="POSITIVA CASO SIFILIS">
      <formula>NOT(ISERROR(SEARCH("POSITIVA CASO SIFILIS",FJ3)))</formula>
    </cfRule>
    <cfRule type="containsText" dxfId="4934" priority="6560" operator="containsText" text="NEGATIVA">
      <formula>NOT(ISERROR(SEARCH("NEGATIVA",FJ3)))</formula>
    </cfRule>
  </conditionalFormatting>
  <conditionalFormatting sqref="FL3:FL248">
    <cfRule type="containsText" dxfId="4933" priority="6551" operator="containsText" text="NO APLICA">
      <formula>NOT(ISERROR(SEARCH("NO APLICA",FL3)))</formula>
    </cfRule>
    <cfRule type="containsText" dxfId="4932" priority="6552" operator="containsText" text="PIERDE">
      <formula>NOT(ISERROR(SEARCH("PIERDE",FL3)))</formula>
    </cfRule>
    <cfRule type="containsText" dxfId="4931" priority="6553" operator="containsText" text="REGISTRAR">
      <formula>NOT(ISERROR(SEARCH("REGISTRAR",FL3)))</formula>
    </cfRule>
    <cfRule type="cellIs" dxfId="4930" priority="6554" operator="between">
      <formula>0</formula>
      <formula>13</formula>
    </cfRule>
    <cfRule type="containsText" dxfId="4929" priority="6555" operator="containsText" text="EN ESPERA">
      <formula>NOT(ISERROR(SEARCH("EN ESPERA",FL3)))</formula>
    </cfRule>
    <cfRule type="containsText" dxfId="4928" priority="6556" operator="containsText" text="RANGO">
      <formula>NOT(ISERROR(SEARCH("RANGO",FL3)))</formula>
    </cfRule>
    <cfRule type="containsText" dxfId="4927" priority="6557" operator="containsText" text="INMEDIATA">
      <formula>NOT(ISERROR(SEARCH("INMEDIATA",FL3)))</formula>
    </cfRule>
  </conditionalFormatting>
  <conditionalFormatting sqref="FM3">
    <cfRule type="containsText" dxfId="4926" priority="6545" operator="containsText" text="REINFECCIÓN">
      <formula>NOT(ISERROR(SEARCH("REINFECCIÓN",FM3)))</formula>
    </cfRule>
    <cfRule type="containsText" dxfId="4925" priority="6546" operator="containsText" text="DILUCIONES DISMINUYEN">
      <formula>NOT(ISERROR(SEARCH("DILUCIONES DISMINUYEN",FM3)))</formula>
    </cfRule>
    <cfRule type="containsText" dxfId="4924" priority="6547" operator="containsText" text="DILUCIONES ESTABLES">
      <formula>NOT(ISERROR(SEARCH("DILUCIONES ESTABLES",FM3)))</formula>
    </cfRule>
    <cfRule type="containsText" dxfId="4923" priority="6548" operator="containsText" text="POSITIVA CICATRIZ">
      <formula>NOT(ISERROR(SEARCH("POSITIVA CICATRIZ",FM3)))</formula>
    </cfRule>
    <cfRule type="containsText" dxfId="4922" priority="6549" operator="containsText" text="POSITIVA CASO SIFILIS">
      <formula>NOT(ISERROR(SEARCH("POSITIVA CASO SIFILIS",FM3)))</formula>
    </cfRule>
    <cfRule type="containsText" dxfId="4921" priority="6550" operator="containsText" text="NEGATIVA">
      <formula>NOT(ISERROR(SEARCH("NEGATIVA",FM3)))</formula>
    </cfRule>
  </conditionalFormatting>
  <conditionalFormatting sqref="FP3">
    <cfRule type="containsText" dxfId="4920" priority="6539" operator="containsText" text="REINFECCIÓN">
      <formula>NOT(ISERROR(SEARCH("REINFECCIÓN",FP3)))</formula>
    </cfRule>
    <cfRule type="containsText" dxfId="4919" priority="6540" operator="containsText" text="DILUCIONES DISMINUYEN">
      <formula>NOT(ISERROR(SEARCH("DILUCIONES DISMINUYEN",FP3)))</formula>
    </cfRule>
    <cfRule type="containsText" dxfId="4918" priority="6541" operator="containsText" text="DILUCIONES ESTABLES">
      <formula>NOT(ISERROR(SEARCH("DILUCIONES ESTABLES",FP3)))</formula>
    </cfRule>
    <cfRule type="containsText" dxfId="4917" priority="6542" operator="containsText" text="POSITIVA CICATRIZ">
      <formula>NOT(ISERROR(SEARCH("POSITIVA CICATRIZ",FP3)))</formula>
    </cfRule>
    <cfRule type="containsText" dxfId="4916" priority="6543" operator="containsText" text="POSITIVA CASO SIFILIS">
      <formula>NOT(ISERROR(SEARCH("POSITIVA CASO SIFILIS",FP3)))</formula>
    </cfRule>
    <cfRule type="containsText" dxfId="4915" priority="6544" operator="containsText" text="NEGATIVA">
      <formula>NOT(ISERROR(SEARCH("NEGATIVA",FP3)))</formula>
    </cfRule>
  </conditionalFormatting>
  <conditionalFormatting sqref="FU3:FU248">
    <cfRule type="containsText" dxfId="4914" priority="6538" operator="containsText" text="GESTACIONAL">
      <formula>NOT(ISERROR(SEARCH("GESTACIONAL",FU3)))</formula>
    </cfRule>
  </conditionalFormatting>
  <conditionalFormatting sqref="FV3">
    <cfRule type="containsText" dxfId="4913" priority="6536" operator="containsText" text="POSITIVO">
      <formula>NOT(ISERROR(SEARCH("POSITIVO",FV3)))</formula>
    </cfRule>
    <cfRule type="containsText" dxfId="4912" priority="6537" operator="containsText" text="NEGATIVO">
      <formula>NOT(ISERROR(SEARCH("NEGATIVO",FV3)))</formula>
    </cfRule>
  </conditionalFormatting>
  <conditionalFormatting sqref="FS3">
    <cfRule type="containsText" dxfId="4911" priority="6530" operator="containsText" text="REINFECCIÓN">
      <formula>NOT(ISERROR(SEARCH("REINFECCIÓN",FS3)))</formula>
    </cfRule>
    <cfRule type="containsText" dxfId="4910" priority="6531" operator="containsText" text="DILUCIONES DISMINUYEN">
      <formula>NOT(ISERROR(SEARCH("DILUCIONES DISMINUYEN",FS3)))</formula>
    </cfRule>
    <cfRule type="containsText" dxfId="4909" priority="6532" operator="containsText" text="DILUCIONES ESTABLES">
      <formula>NOT(ISERROR(SEARCH("DILUCIONES ESTABLES",FS3)))</formula>
    </cfRule>
    <cfRule type="containsText" dxfId="4908" priority="6533" operator="containsText" text="POSITIVA CICATRIZ">
      <formula>NOT(ISERROR(SEARCH("POSITIVA CICATRIZ",FS3)))</formula>
    </cfRule>
    <cfRule type="containsText" dxfId="4907" priority="6534" operator="containsText" text="POSITIVA CASO SIFILIS">
      <formula>NOT(ISERROR(SEARCH("POSITIVA CASO SIFILIS",FS3)))</formula>
    </cfRule>
    <cfRule type="containsText" dxfId="4906" priority="6535" operator="containsText" text="NEGATIVA">
      <formula>NOT(ISERROR(SEARCH("NEGATIVA",FS3)))</formula>
    </cfRule>
  </conditionalFormatting>
  <conditionalFormatting sqref="FY3">
    <cfRule type="containsText" dxfId="4905" priority="6527" operator="containsText" text="P.R REACTIVA">
      <formula>NOT(ISERROR(SEARCH("P.R REACTIVA",FY3)))</formula>
    </cfRule>
    <cfRule type="containsText" dxfId="4904" priority="6528" operator="containsText" text="NO REACTIVA">
      <formula>NOT(ISERROR(SEARCH("NO REACTIVA",FY3)))</formula>
    </cfRule>
    <cfRule type="containsText" dxfId="4903" priority="6529" operator="containsText" text="ELISA REACTIVA">
      <formula>NOT(ISERROR(SEARCH("ELISA REACTIVA",FY3)))</formula>
    </cfRule>
  </conditionalFormatting>
  <conditionalFormatting sqref="GB3">
    <cfRule type="containsText" dxfId="4902" priority="6524" operator="containsText" text="P.R REACTIVA">
      <formula>NOT(ISERROR(SEARCH("P.R REACTIVA",GB3)))</formula>
    </cfRule>
    <cfRule type="containsText" dxfId="4901" priority="6525" operator="containsText" text="NO REACTIVA">
      <formula>NOT(ISERROR(SEARCH("NO REACTIVA",GB3)))</formula>
    </cfRule>
    <cfRule type="containsText" dxfId="4900" priority="6526" operator="containsText" text="ELISA REACTIVA">
      <formula>NOT(ISERROR(SEARCH("ELISA REACTIVA",GB3)))</formula>
    </cfRule>
  </conditionalFormatting>
  <conditionalFormatting sqref="GE3">
    <cfRule type="containsText" dxfId="4899" priority="6521" operator="containsText" text="P.R REACTIVA">
      <formula>NOT(ISERROR(SEARCH("P.R REACTIVA",GE3)))</formula>
    </cfRule>
    <cfRule type="containsText" dxfId="4898" priority="6522" operator="containsText" text="NO REACTIVA">
      <formula>NOT(ISERROR(SEARCH("NO REACTIVA",GE3)))</formula>
    </cfRule>
    <cfRule type="containsText" dxfId="4897" priority="6523" operator="containsText" text="ELISA REACTIVA">
      <formula>NOT(ISERROR(SEARCH("ELISA REACTIVA",GE3)))</formula>
    </cfRule>
  </conditionalFormatting>
  <conditionalFormatting sqref="GN3">
    <cfRule type="containsText" dxfId="4896" priority="6519" operator="containsText" text="POSITIVO">
      <formula>NOT(ISERROR(SEARCH("POSITIVO",GN3)))</formula>
    </cfRule>
    <cfRule type="containsText" dxfId="4895" priority="6520" operator="containsText" text="NEGATIVO">
      <formula>NOT(ISERROR(SEARCH("NEGATIVO",GN3)))</formula>
    </cfRule>
  </conditionalFormatting>
  <conditionalFormatting sqref="GH3 GJ3">
    <cfRule type="containsText" dxfId="4894" priority="6516" operator="containsText" text="P.R REACTIVA">
      <formula>NOT(ISERROR(SEARCH("P.R REACTIVA",GH3)))</formula>
    </cfRule>
    <cfRule type="containsText" dxfId="4893" priority="6517" operator="containsText" text="NO REACTIVA">
      <formula>NOT(ISERROR(SEARCH("NO REACTIVA",GH3)))</formula>
    </cfRule>
    <cfRule type="containsText" dxfId="4892" priority="6518" operator="containsText" text="ELISA REACTIVA">
      <formula>NOT(ISERROR(SEARCH("ELISA REACTIVA",GH3)))</formula>
    </cfRule>
  </conditionalFormatting>
  <conditionalFormatting sqref="GL3">
    <cfRule type="containsText" dxfId="4891" priority="6512" operator="containsText" text="NO APLICA">
      <formula>NOT(ISERROR(SEARCH("NO APLICA",GL3)))</formula>
    </cfRule>
    <cfRule type="containsText" dxfId="4890" priority="6513" operator="containsText" text="NO CONLUYENTE">
      <formula>NOT(ISERROR(SEARCH("NO CONLUYENTE",GL3)))</formula>
    </cfRule>
    <cfRule type="containsText" dxfId="4889" priority="6514" operator="containsText" text="NEGATIVA">
      <formula>NOT(ISERROR(SEARCH("NEGATIVA",GL3)))</formula>
    </cfRule>
    <cfRule type="containsText" dxfId="4888" priority="6515" operator="containsText" text="POSITIVA">
      <formula>NOT(ISERROR(SEARCH("POSITIVA",GL3)))</formula>
    </cfRule>
  </conditionalFormatting>
  <conditionalFormatting sqref="GQ3:GR3">
    <cfRule type="containsText" dxfId="4887" priority="6510" operator="containsText" text="POSITIVO">
      <formula>NOT(ISERROR(SEARCH("POSITIVO",GQ3)))</formula>
    </cfRule>
    <cfRule type="containsText" dxfId="4886" priority="6511" operator="containsText" text="NEGATIVO">
      <formula>NOT(ISERROR(SEARCH("NEGATIVO",GQ3)))</formula>
    </cfRule>
  </conditionalFormatting>
  <conditionalFormatting sqref="GS3:GS137 GS139:GS248">
    <cfRule type="containsText" dxfId="4885" priority="6507" operator="containsText" text="Igm">
      <formula>NOT(ISERROR(SEARCH("Igm",GS3)))</formula>
    </cfRule>
    <cfRule type="containsText" dxfId="4884" priority="6508" operator="containsText" text="REMITIR">
      <formula>NOT(ISERROR(SEARCH("REMITIR",GS3)))</formula>
    </cfRule>
    <cfRule type="containsText" dxfId="4883" priority="6509" operator="containsText" text="EXCLUYE">
      <formula>NOT(ISERROR(SEARCH("EXCLUYE",GS3)))</formula>
    </cfRule>
  </conditionalFormatting>
  <conditionalFormatting sqref="GW3">
    <cfRule type="containsText" dxfId="4882" priority="6505" operator="containsText" text="POSITIVO">
      <formula>NOT(ISERROR(SEARCH("POSITIVO",GW3)))</formula>
    </cfRule>
    <cfRule type="containsText" dxfId="4881" priority="6506" operator="containsText" text="NEGATIVO">
      <formula>NOT(ISERROR(SEARCH("NEGATIVO",GW3)))</formula>
    </cfRule>
  </conditionalFormatting>
  <conditionalFormatting sqref="HF3">
    <cfRule type="containsText" dxfId="4880" priority="6498" operator="containsText" text="COVID19 PUERPERIO">
      <formula>NOT(ISERROR(SEARCH("COVID19 PUERPERIO",HF3)))</formula>
    </cfRule>
    <cfRule type="containsText" dxfId="4879" priority="6499" operator="containsText" text="COVID19 TERCER TRIMESTRE">
      <formula>NOT(ISERROR(SEARCH("COVID19 TERCER TRIMESTRE",HF3)))</formula>
    </cfRule>
    <cfRule type="containsText" dxfId="4878" priority="6500" operator="containsText" text="COVID19 SEGUNDO TRIMESTRE">
      <formula>NOT(ISERROR(SEARCH("COVID19 SEGUNDO TRIMESTRE",HF3)))</formula>
    </cfRule>
    <cfRule type="containsText" dxfId="4877" priority="6501" operator="containsText" text="COVID19 PRIMER TRIMESTRE">
      <formula>NOT(ISERROR(SEARCH("COVID19 PRIMER TRIMESTRE",HF3)))</formula>
    </cfRule>
    <cfRule type="containsText" dxfId="4876" priority="6502" operator="containsText" text="FACTOR DE RIESGO">
      <formula>NOT(ISERROR(SEARCH("FACTOR DE RIESGO",HF3)))</formula>
    </cfRule>
    <cfRule type="containsText" dxfId="4875" priority="6503" operator="containsText" text="SIN INFECCIÓN">
      <formula>NOT(ISERROR(SEARCH("SIN INFECCIÓN",HF3)))</formula>
    </cfRule>
    <cfRule type="containsText" dxfId="4874" priority="6504" operator="containsText" text="NO SE EVALUA RIESGO INFECCIÓN COVID19">
      <formula>NOT(ISERROR(SEARCH("NO SE EVALUA RIESGO INFECCIÓN COVID19",HF3)))</formula>
    </cfRule>
  </conditionalFormatting>
  <conditionalFormatting sqref="GZ3">
    <cfRule type="containsText" dxfId="4873" priority="6493" operator="containsText" text="INDETERMINADO">
      <formula>NOT(ISERROR(SEARCH("INDETERMINADO",GZ3)))</formula>
    </cfRule>
    <cfRule type="containsText" dxfId="4872" priority="6494" operator="containsText" text="NO TOMADO">
      <formula>NOT(ISERROR(SEARCH("NO TOMADO",GZ3)))</formula>
    </cfRule>
    <cfRule type="cellIs" dxfId="4871" priority="6496" operator="equal">
      <formula>"NEGATIVO"</formula>
    </cfRule>
    <cfRule type="cellIs" dxfId="4870" priority="6497" operator="equal">
      <formula>"POSITIVO"</formula>
    </cfRule>
  </conditionalFormatting>
  <conditionalFormatting sqref="HB3">
    <cfRule type="containsText" dxfId="4869" priority="6488" operator="containsText" text="INDETERMINADO">
      <formula>NOT(ISERROR(SEARCH("INDETERMINADO",HB3)))</formula>
    </cfRule>
    <cfRule type="containsText" dxfId="4868" priority="6489" operator="containsText" text="NO TOMADO">
      <formula>NOT(ISERROR(SEARCH("NO TOMADO",HB3)))</formula>
    </cfRule>
    <cfRule type="cellIs" dxfId="4867" priority="6491" operator="equal">
      <formula>"NEGATIVO"</formula>
    </cfRule>
    <cfRule type="cellIs" dxfId="4866" priority="6492" operator="equal">
      <formula>"POSITIVO"</formula>
    </cfRule>
  </conditionalFormatting>
  <conditionalFormatting sqref="HD3">
    <cfRule type="containsText" dxfId="4865" priority="6483" operator="containsText" text="INDETERMINADO">
      <formula>NOT(ISERROR(SEARCH("INDETERMINADO",HD3)))</formula>
    </cfRule>
    <cfRule type="containsText" dxfId="4864" priority="6484" operator="containsText" text="NO TOMADO">
      <formula>NOT(ISERROR(SEARCH("NO TOMADO",HD3)))</formula>
    </cfRule>
    <cfRule type="cellIs" dxfId="4863" priority="6486" operator="equal">
      <formula>"NEGATIVO"</formula>
    </cfRule>
    <cfRule type="cellIs" dxfId="4862" priority="6487" operator="equal">
      <formula>"POSITIVO"</formula>
    </cfRule>
  </conditionalFormatting>
  <conditionalFormatting sqref="GY3">
    <cfRule type="containsText" dxfId="4861" priority="6480" operator="containsText" text="Nunca se ha tomado / No vigente">
      <formula>NOT(ISERROR(SEARCH("Nunca se ha tomado / No vigente",GY3)))</formula>
    </cfRule>
    <cfRule type="containsText" dxfId="4860" priority="6481" operator="containsText" text="Esquema vigente – Alterado">
      <formula>NOT(ISERROR(SEARCH("Esquema vigente – Alterado",GY3)))</formula>
    </cfRule>
    <cfRule type="containsText" dxfId="4859" priority="6482" operator="containsText" text="Esquema vigente – Normal">
      <formula>NOT(ISERROR(SEARCH("Esquema vigente – Normal",GY3)))</formula>
    </cfRule>
  </conditionalFormatting>
  <conditionalFormatting sqref="HV3 HT3 HX3">
    <cfRule type="containsText" dxfId="4858" priority="6476" operator="containsText" text="NO SE FORMULA">
      <formula>NOT(ISERROR(SEARCH("NO SE FORMULA",HT3)))</formula>
    </cfRule>
    <cfRule type="containsText" dxfId="4857" priority="6477" operator="containsText" text="OTRO">
      <formula>NOT(ISERROR(SEARCH("OTRO",HT3)))</formula>
    </cfRule>
    <cfRule type="containsText" dxfId="4856" priority="6478" operator="containsText" text="IRREGULAR">
      <formula>NOT(ISERROR(SEARCH("IRREGULAR",HT3)))</formula>
    </cfRule>
    <cfRule type="containsText" dxfId="4855" priority="6479" operator="containsText" text="ADECUADO">
      <formula>NOT(ISERROR(SEARCH("ADECUADO",HT3)))</formula>
    </cfRule>
  </conditionalFormatting>
  <conditionalFormatting sqref="IE3:IE248">
    <cfRule type="containsText" dxfId="4854" priority="6468" operator="containsText" text="APLICADA ANTES">
      <formula>NOT(ISERROR(SEARCH("APLICADA ANTES",IE3)))</formula>
    </cfRule>
    <cfRule type="containsText" dxfId="4853" priority="6469" operator="containsText" text="EDAD">
      <formula>NOT(ISERROR(SEARCH("EDAD",IE3)))</formula>
    </cfRule>
    <cfRule type="containsText" dxfId="4852" priority="6470" operator="containsText" text="SALE">
      <formula>NOT(ISERROR(SEARCH("SALE",IE3)))</formula>
    </cfRule>
    <cfRule type="containsText" dxfId="4851" priority="6471" operator="containsText" text="SEMANA 26">
      <formula>NOT(ISERROR(SEARCH("SEMANA 26",IE3)))</formula>
    </cfRule>
    <cfRule type="containsText" dxfId="4850" priority="6472" operator="containsText" text="SEMANA 27">
      <formula>NOT(ISERROR(SEARCH("SEMANA 27",IE3)))</formula>
    </cfRule>
    <cfRule type="containsText" dxfId="4849" priority="6473" operator="containsText" text="INASISTENTE">
      <formula>NOT(ISERROR(SEARCH("INASISTENTE",IE3)))</formula>
    </cfRule>
    <cfRule type="containsText" dxfId="4848" priority="6474" operator="containsText" text="COLOCACIÓN">
      <formula>NOT(ISERROR(SEARCH("COLOCACIÓN",IE3)))</formula>
    </cfRule>
    <cfRule type="containsText" dxfId="4847" priority="6475" operator="containsText" text="ESPERA">
      <formula>NOT(ISERROR(SEARCH("ESPERA",IE3)))</formula>
    </cfRule>
  </conditionalFormatting>
  <conditionalFormatting sqref="IB3">
    <cfRule type="containsText" dxfId="4846" priority="6465" operator="containsText" text="NO Firma Disentimiento">
      <formula>NOT(ISERROR(SEARCH("NO Firma Disentimiento",IB3)))</formula>
    </cfRule>
    <cfRule type="containsText" dxfId="4845" priority="6466" operator="containsText" text="Firma Disentimiento">
      <formula>NOT(ISERROR(SEARCH("Firma Disentimiento",IB3)))</formula>
    </cfRule>
    <cfRule type="containsText" dxfId="4844" priority="6467" operator="containsText" text="No Vacunada">
      <formula>NOT(ISERROR(SEARCH("No Vacunada",IB3)))</formula>
    </cfRule>
  </conditionalFormatting>
  <conditionalFormatting sqref="II3:II248">
    <cfRule type="containsText" dxfId="4843" priority="6461" operator="containsText" text="PENDIENTE">
      <formula>NOT(ISERROR(SEARCH("PENDIENTE",II3)))</formula>
    </cfRule>
    <cfRule type="containsText" dxfId="4842" priority="6462" operator="containsText" text="SEMANA">
      <formula>NOT(ISERROR(SEARCH("SEMANA",II3)))</formula>
    </cfRule>
    <cfRule type="containsText" dxfId="4841" priority="6463" operator="containsText" text="MENOS">
      <formula>NOT(ISERROR(SEARCH("MENOS",II3)))</formula>
    </cfRule>
    <cfRule type="containsText" dxfId="4840" priority="6464" operator="containsText" text="POSIBLEMENTE">
      <formula>NOT(ISERROR(SEARCH("POSIBLEMENTE",II3)))</formula>
    </cfRule>
  </conditionalFormatting>
  <conditionalFormatting sqref="IU3:IZ3 KA3:KC3">
    <cfRule type="cellIs" dxfId="4839" priority="6456" operator="equal">
      <formula>"SD"</formula>
    </cfRule>
    <cfRule type="cellIs" dxfId="4838" priority="6457" operator="equal">
      <formula>"NO APLICA"</formula>
    </cfRule>
    <cfRule type="cellIs" dxfId="4837" priority="6458" operator="equal">
      <formula>"NO"</formula>
    </cfRule>
    <cfRule type="cellIs" dxfId="4836" priority="6459" operator="equal">
      <formula>"SI"</formula>
    </cfRule>
  </conditionalFormatting>
  <conditionalFormatting sqref="IK3">
    <cfRule type="containsText" dxfId="4835" priority="6450" operator="containsText" text="CAMBIO">
      <formula>NOT(ISERROR(SEARCH("CAMBIO",IK3)))</formula>
    </cfRule>
    <cfRule type="containsText" dxfId="4834" priority="6451" operator="containsText" text="NEGACION">
      <formula>NOT(ISERROR(SEARCH("NEGACION",IK3)))</formula>
    </cfRule>
    <cfRule type="containsText" dxfId="4833" priority="6452" operator="containsText" text="IVE">
      <formula>NOT(ISERROR(SEARCH("IVE",IK3)))</formula>
    </cfRule>
    <cfRule type="containsText" dxfId="4832" priority="6453" operator="containsText" text="ABORTO">
      <formula>NOT(ISERROR(SEARCH("ABORTO",IK3)))</formula>
    </cfRule>
    <cfRule type="containsText" dxfId="4831" priority="6454" operator="containsText" text="CESAREA">
      <formula>NOT(ISERROR(SEARCH("CESAREA",IK3)))</formula>
    </cfRule>
    <cfRule type="containsText" dxfId="4830" priority="6455" operator="containsText" text="PARTO">
      <formula>NOT(ISERROR(SEARCH("PARTO",IK3)))</formula>
    </cfRule>
  </conditionalFormatting>
  <conditionalFormatting sqref="IL3">
    <cfRule type="cellIs" dxfId="4829" priority="6401" operator="equal">
      <formula>"MORBILIDAD MATERNA EXTREMA"</formula>
    </cfRule>
    <cfRule type="containsText" dxfId="4828" priority="6446" operator="containsText" text="MME">
      <formula>NOT(ISERROR(SEARCH("MME",IL3)))</formula>
    </cfRule>
    <cfRule type="cellIs" dxfId="4827" priority="6447" operator="equal">
      <formula>"MUERTE Y MORBILIDAD MATERNA EXTREMA"</formula>
    </cfRule>
    <cfRule type="containsText" dxfId="4826" priority="6448" operator="containsText" text="MUERTE">
      <formula>NOT(ISERROR(SEARCH("MUERTE",IL3)))</formula>
    </cfRule>
    <cfRule type="containsText" dxfId="4825" priority="6449" operator="containsText" text="SANA">
      <formula>NOT(ISERROR(SEARCH("SANA",IL3)))</formula>
    </cfRule>
  </conditionalFormatting>
  <conditionalFormatting sqref="IM3">
    <cfRule type="cellIs" dxfId="4824" priority="6400" operator="equal">
      <formula>"MUERTE PERINATAL Y MALFORMACIÓN CONGÉNITA"</formula>
    </cfRule>
    <cfRule type="containsText" dxfId="4823" priority="6440" operator="containsText" text="SIFILIS">
      <formula>NOT(ISERROR(SEARCH("SIFILIS",IM3)))</formula>
    </cfRule>
    <cfRule type="containsText" dxfId="4822" priority="6441" operator="containsText" text="MALFORMACIÓN">
      <formula>NOT(ISERROR(SEARCH("MALFORMACIÓN",IM3)))</formula>
    </cfRule>
    <cfRule type="containsText" dxfId="4821" priority="6442" operator="containsText" text="MUERTE">
      <formula>NOT(ISERROR(SEARCH("MUERTE",IM3)))</formula>
    </cfRule>
    <cfRule type="containsText" dxfId="4820" priority="6443" operator="containsText" text="UCI">
      <formula>NOT(ISERROR(SEARCH("UCI",IM3)))</formula>
    </cfRule>
    <cfRule type="containsText" dxfId="4819" priority="6444" operator="containsText" text="HOSPITALIZACION">
      <formula>NOT(ISERROR(SEARCH("HOSPITALIZACION",IM3)))</formula>
    </cfRule>
    <cfRule type="containsText" dxfId="4818" priority="6445" operator="containsText" text="SANO">
      <formula>NOT(ISERROR(SEARCH("SANO",IM3)))</formula>
    </cfRule>
  </conditionalFormatting>
  <conditionalFormatting sqref="IO3">
    <cfRule type="containsText" dxfId="4817" priority="6436" operator="containsText" text="NO APLICA">
      <formula>NOT(ISERROR(SEARCH("NO APLICA",IO3)))</formula>
    </cfRule>
    <cfRule type="containsText" dxfId="4816" priority="6437" operator="containsText" text="OTRO">
      <formula>NOT(ISERROR(SEARCH("OTRO",IO3)))</formula>
    </cfRule>
    <cfRule type="containsText" dxfId="4815" priority="6438" operator="containsText" text="DOMICILIO">
      <formula>NOT(ISERROR(SEARCH("DOMICILIO",IO3)))</formula>
    </cfRule>
    <cfRule type="containsText" dxfId="4814" priority="6439" operator="containsText" text="INSTITUCIONAL">
      <formula>NOT(ISERROR(SEARCH("INSTITUCIONAL",IO3)))</formula>
    </cfRule>
  </conditionalFormatting>
  <conditionalFormatting sqref="IR3">
    <cfRule type="containsText" dxfId="4813" priority="6432" operator="containsText" text="NO APLICA">
      <formula>NOT(ISERROR(SEARCH("NO APLICA",IR3)))</formula>
    </cfRule>
    <cfRule type="containsText" dxfId="4812" priority="6433" operator="containsText" text="ALTA">
      <formula>NOT(ISERROR(SEARCH("ALTA",IR3)))</formula>
    </cfRule>
    <cfRule type="containsText" dxfId="4811" priority="6434" operator="containsText" text="MEDIANA">
      <formula>NOT(ISERROR(SEARCH("MEDIANA",IR3)))</formula>
    </cfRule>
    <cfRule type="containsText" dxfId="4810" priority="6435" operator="containsText" text="BAJA">
      <formula>NOT(ISERROR(SEARCH("BAJA",IR3)))</formula>
    </cfRule>
  </conditionalFormatting>
  <conditionalFormatting sqref="IS3:IT3">
    <cfRule type="containsText" dxfId="4809" priority="6425" operator="containsText" text="NO APLICA">
      <formula>NOT(ISERROR(SEARCH("NO APLICA",IS3)))</formula>
    </cfRule>
    <cfRule type="containsText" dxfId="4808" priority="6426" operator="containsText" text="SIN">
      <formula>NOT(ISERROR(SEARCH("SIN",IS3)))</formula>
    </cfRule>
    <cfRule type="containsText" dxfId="4807" priority="6427" operator="containsText" text="EQUIPO">
      <formula>NOT(ISERROR(SEARCH("EQUIPO",IS3)))</formula>
    </cfRule>
    <cfRule type="containsText" dxfId="4806" priority="6428" operator="containsText" text="MEDICO TRADICIONAL">
      <formula>NOT(ISERROR(SEARCH("MEDICO TRADICIONAL",IS3)))</formula>
    </cfRule>
    <cfRule type="containsText" dxfId="4805" priority="6429" operator="containsText" text="PARTERA">
      <formula>NOT(ISERROR(SEARCH("PARTERA",IS3)))</formula>
    </cfRule>
    <cfRule type="containsText" dxfId="4804" priority="6430" operator="containsText" text="TÉCNICO">
      <formula>NOT(ISERROR(SEARCH("TÉCNICO",IS3)))</formula>
    </cfRule>
    <cfRule type="containsText" dxfId="4803" priority="6431" operator="containsText" text="PROFESIONAL">
      <formula>NOT(ISERROR(SEARCH("PROFESIONAL",IS3)))</formula>
    </cfRule>
  </conditionalFormatting>
  <conditionalFormatting sqref="JA3">
    <cfRule type="containsText" dxfId="4802" priority="6423" operator="containsText" text="SIN DATO">
      <formula>NOT(ISERROR(SEARCH("SIN DATO",JA3)))</formula>
    </cfRule>
    <cfRule type="containsText" dxfId="4801" priority="6424" operator="containsText" text="SIN COMPLICACION">
      <formula>NOT(ISERROR(SEARCH("SIN COMPLICACION",JA3)))</formula>
    </cfRule>
    <cfRule type="notContainsBlanks" dxfId="4800" priority="6460">
      <formula>LEN(TRIM(JA3))&gt;0</formula>
    </cfRule>
  </conditionalFormatting>
  <conditionalFormatting sqref="JG3 JQ3">
    <cfRule type="containsText" dxfId="4799" priority="6416" operator="containsText" text="SIN DATO">
      <formula>NOT(ISERROR(SEARCH("SIN DATO",JG3)))</formula>
    </cfRule>
    <cfRule type="containsText" dxfId="4798" priority="6417" operator="containsText" text="ANORMAL">
      <formula>NOT(ISERROR(SEARCH("ANORMAL",JG3)))</formula>
    </cfRule>
    <cfRule type="containsText" dxfId="4797" priority="6418" operator="containsText" text="NORMAL">
      <formula>NOT(ISERROR(SEARCH("NORMAL",JG3)))</formula>
    </cfRule>
  </conditionalFormatting>
  <conditionalFormatting sqref="JI3 JS3">
    <cfRule type="containsText" dxfId="4796" priority="6412" operator="containsText" text="NO APLICA">
      <formula>NOT(ISERROR(SEARCH("NO APLICA",JI3)))</formula>
    </cfRule>
    <cfRule type="containsText" dxfId="4795" priority="6413" operator="containsText" text="SIN DATO">
      <formula>NOT(ISERROR(SEARCH("SIN DATO",JI3)))</formula>
    </cfRule>
    <cfRule type="containsText" dxfId="4794" priority="6414" operator="containsText" text="NO">
      <formula>NOT(ISERROR(SEARCH("NO",JI3)))</formula>
    </cfRule>
    <cfRule type="containsText" dxfId="4793" priority="6415" operator="containsText" text="SI">
      <formula>NOT(ISERROR(SEARCH("SI",JI3)))</formula>
    </cfRule>
  </conditionalFormatting>
  <conditionalFormatting sqref="JX3:JX248 JZ3:JZ248">
    <cfRule type="containsText" dxfId="4792" priority="6411" operator="containsText" text="INASISTENTE">
      <formula>NOT(ISERROR(SEARCH("INASISTENTE",JX3)))</formula>
    </cfRule>
  </conditionalFormatting>
  <conditionalFormatting sqref="IP3:IP248">
    <cfRule type="containsBlanks" priority="6399" stopIfTrue="1">
      <formula>LEN(TRIM(IP3))=0</formula>
    </cfRule>
    <cfRule type="cellIs" dxfId="4791" priority="6405" operator="greaterThanOrEqual">
      <formula>43</formula>
    </cfRule>
    <cfRule type="cellIs" dxfId="4790" priority="6406" operator="between">
      <formula>37</formula>
      <formula>40.5</formula>
    </cfRule>
    <cfRule type="cellIs" dxfId="4789" priority="6407" operator="between">
      <formula>"&gt;40,5"</formula>
      <formula>42</formula>
    </cfRule>
    <cfRule type="cellIs" dxfId="4788" priority="6408" operator="between">
      <formula>33</formula>
      <formula>"&lt;37"</formula>
    </cfRule>
    <cfRule type="cellIs" dxfId="4787" priority="6409" operator="between">
      <formula>22</formula>
      <formula>"&lt;33"</formula>
    </cfRule>
    <cfRule type="cellIs" dxfId="4786" priority="6410" operator="between">
      <formula>1</formula>
      <formula>21</formula>
    </cfRule>
  </conditionalFormatting>
  <conditionalFormatting sqref="IT3">
    <cfRule type="containsText" dxfId="4785" priority="6402" operator="containsText" text="LE HACEN CESÁREA SIN INICIO TRABAJO DE PARTO">
      <formula>NOT(ISERROR(SEARCH("LE HACEN CESÁREA SIN INICIO TRABAJO DE PARTO",IT3)))</formula>
    </cfRule>
    <cfRule type="containsText" dxfId="4784" priority="6403" operator="containsText" text="LE HACEN INDUCCIÓN">
      <formula>NOT(ISERROR(SEARCH("LE HACEN INDUCCIÓN",IT3)))</formula>
    </cfRule>
    <cfRule type="containsText" dxfId="4783" priority="6404" operator="containsText" text="ESPONTÁNEO">
      <formula>NOT(ISERROR(SEARCH("ESPONTÁNEO",IT3)))</formula>
    </cfRule>
  </conditionalFormatting>
  <conditionalFormatting sqref="JX3:JX248 JZ3:JZ248">
    <cfRule type="containsText" dxfId="4782" priority="6398" operator="containsText" text="INCONSISTENCIA">
      <formula>NOT(ISERROR(SEARCH("INCONSISTENCIA",JX3)))</formula>
    </cfRule>
  </conditionalFormatting>
  <conditionalFormatting sqref="HP3:HP248">
    <cfRule type="containsText" dxfId="4781" priority="6392" operator="containsText" text="Si Desp. SEM 16">
      <formula>NOT(ISERROR(SEARCH("Si Desp. SEM 16",HP3)))</formula>
    </cfRule>
    <cfRule type="containsText" dxfId="4780" priority="6393" operator="containsText" text="Suministro Irregular">
      <formula>NOT(ISERROR(SEARCH("Suministro Irregular",HP3)))</formula>
    </cfRule>
    <cfRule type="endsWith" dxfId="4779" priority="6394" operator="endsWith" text="Aplica">
      <formula>RIGHT(HP3,LEN("Aplica"))="Aplica"</formula>
    </cfRule>
    <cfRule type="containsText" dxfId="4778" priority="6395" operator="containsText" text="NO">
      <formula>NOT(ISERROR(SEARCH("NO",HP3)))</formula>
    </cfRule>
    <cfRule type="containsText" dxfId="4777" priority="6396" operator="containsText" text="Si entre SEM 12 y 16">
      <formula>NOT(ISERROR(SEARCH("Si entre SEM 12 y 16",HP3)))</formula>
    </cfRule>
  </conditionalFormatting>
  <conditionalFormatting sqref="CO3:CO248">
    <cfRule type="containsText" dxfId="4776" priority="7398" operator="containsText" text="BAJO PESO">
      <formula>NOT(ISERROR(SEARCH("BAJO PESO",CO3)))</formula>
    </cfRule>
    <cfRule type="containsText" dxfId="4775" priority="7399" operator="containsText" text="NORMAL">
      <formula>NOT(ISERROR(SEARCH("NORMAL",CO3)))</formula>
    </cfRule>
    <cfRule type="containsText" dxfId="4774" priority="7400" operator="containsText" text="OBESIDAD">
      <formula>NOT(ISERROR(SEARCH("OBESIDAD",CO3)))</formula>
    </cfRule>
    <cfRule type="containsText" dxfId="4773" priority="7401" operator="containsText" text="SOBREPESO">
      <formula>NOT(ISERROR(SEARCH("SOBREPESO",CO3)))</formula>
    </cfRule>
    <cfRule type="containsText" dxfId="4772" priority="7402" operator="containsText" text="REVISAR">
      <formula>NOT(ISERROR(SEARCH("REVISAR",CO3)))</formula>
    </cfRule>
    <cfRule type="containsText" dxfId="4771" priority="7403" operator="containsText" text="REGISTRAR">
      <formula>NOT(ISERROR(SEARCH("REGISTRAR",CO3)))</formula>
    </cfRule>
  </conditionalFormatting>
  <conditionalFormatting sqref="CQ3:CQ248">
    <cfRule type="containsText" dxfId="4770" priority="6389" operator="containsText" text="ALTO">
      <formula>NOT(ISERROR(SEARCH("ALTO",CQ3)))</formula>
    </cfRule>
    <cfRule type="containsText" dxfId="4769" priority="6390" operator="containsText" text="BAJO">
      <formula>NOT(ISERROR(SEARCH("BAJO",CQ3)))</formula>
    </cfRule>
    <cfRule type="containsText" dxfId="4768" priority="6391" operator="containsText" text="ADECUADO ">
      <formula>NOT(ISERROR(SEARCH("ADECUADO ",CQ3)))</formula>
    </cfRule>
  </conditionalFormatting>
  <conditionalFormatting sqref="CS3">
    <cfRule type="expression" dxfId="4767" priority="6388">
      <formula>IF(CT3="NO APLICA REGISTRO TA-INGRESO TARDIO",1,"")</formula>
    </cfRule>
  </conditionalFormatting>
  <conditionalFormatting sqref="CR3">
    <cfRule type="expression" dxfId="4766" priority="6387">
      <formula>IF(CT3="NO APLICA REGISTRO TA-INGRESO TARDIO",1,"")</formula>
    </cfRule>
  </conditionalFormatting>
  <conditionalFormatting sqref="CU3">
    <cfRule type="expression" dxfId="4765" priority="6386">
      <formula>IF(CW3="NO APLICA REGISTRO TA-INGRESO TARDIO",1,"")</formula>
    </cfRule>
  </conditionalFormatting>
  <conditionalFormatting sqref="CV3">
    <cfRule type="expression" dxfId="4764" priority="6385">
      <formula>IF(CW3="NO APLICA REGISTRO TA-INGRESO TARDIO",1,"")</formula>
    </cfRule>
  </conditionalFormatting>
  <conditionalFormatting sqref="CX3:CY113 CX115:CY248">
    <cfRule type="expression" dxfId="4763" priority="6384">
      <formula>IF(CZ3="NO APLICA-INGRESO TARDIO",1,"")</formula>
    </cfRule>
  </conditionalFormatting>
  <conditionalFormatting sqref="CZ3:CZ248">
    <cfRule type="containsText" dxfId="4762" priority="6377" operator="containsText" text="NORMAL">
      <formula>NOT(ISERROR(SEARCH("NORMAL",CZ3)))</formula>
    </cfRule>
    <cfRule type="containsText" dxfId="4761" priority="6378" operator="containsText" text="VIGILAR">
      <formula>NOT(ISERROR(SEARCH("VIGILAR",CZ3)))</formula>
    </cfRule>
    <cfRule type="containsText" dxfId="4760" priority="6379" operator="containsText" text="HTA">
      <formula>NOT(ISERROR(SEARCH("HTA",CZ3)))</formula>
    </cfRule>
    <cfRule type="containsText" dxfId="4759" priority="6380" operator="containsText" text="ACUDE A CONTROL SEM 30 A 34- REGISTRE AHORA">
      <formula>NOT(ISERROR(SEARCH("ACUDE A CONTROL SEM 30 A 34- REGISTRE AHORA",CZ3)))</formula>
    </cfRule>
    <cfRule type="containsText" dxfId="4758" priority="6381" operator="containsText" text="NO APLICA">
      <formula>NOT(ISERROR(SEARCH("NO APLICA",CZ3)))</formula>
    </cfRule>
  </conditionalFormatting>
  <conditionalFormatting sqref="DC3:DC248">
    <cfRule type="containsText" dxfId="4757" priority="6376" operator="containsText" text="REGISTRE">
      <formula>NOT(ISERROR(SEARCH("REGISTRE",DC3)))</formula>
    </cfRule>
  </conditionalFormatting>
  <conditionalFormatting sqref="HQ3:HQ248">
    <cfRule type="expression" dxfId="4756" priority="6375">
      <formula>IF(HR3="No Aplica para suministro de ASA",1,"")</formula>
    </cfRule>
  </conditionalFormatting>
  <conditionalFormatting sqref="JE3:JE248">
    <cfRule type="containsText" dxfId="4755" priority="6374" operator="containsText" text="VERIFICAR">
      <formula>NOT(ISERROR(SEARCH("VERIFICAR",JE3)))</formula>
    </cfRule>
  </conditionalFormatting>
  <conditionalFormatting sqref="AC190">
    <cfRule type="containsText" dxfId="4754" priority="6368" operator="containsText" text="SABE">
      <formula>NOT(ISERROR(SEARCH("SABE",AC190)))</formula>
    </cfRule>
    <cfRule type="containsText" dxfId="4753" priority="6369" operator="containsText" text="SECUNDARIA">
      <formula>NOT(ISERROR(SEARCH("SECUNDARIA",AC190)))</formula>
    </cfRule>
    <cfRule type="containsText" dxfId="4752" priority="6370" operator="containsText" text="PRIMARIA INCOMPLETA">
      <formula>NOT(ISERROR(SEARCH("PRIMARIA INCOMPLETA",AC190)))</formula>
    </cfRule>
    <cfRule type="cellIs" dxfId="4751" priority="6371" operator="equal">
      <formula>"ANALFABETA"</formula>
    </cfRule>
  </conditionalFormatting>
  <conditionalFormatting sqref="AD184 AD186">
    <cfRule type="containsText" dxfId="4750" priority="6365" operator="containsText" text="No Consume">
      <formula>NOT(ISERROR(SEARCH("No Consume",AD184)))</formula>
    </cfRule>
    <cfRule type="containsText" dxfId="4749" priority="6366" operator="containsText" text="Hasta Antes de la Gestación">
      <formula>NOT(ISERROR(SEARCH("Hasta Antes de la Gestación",AD184)))</formula>
    </cfRule>
    <cfRule type="containsText" dxfId="4748" priority="6367" operator="containsText" text="Consumo Actual">
      <formula>NOT(ISERROR(SEARCH("Consumo Actual",AD184)))</formula>
    </cfRule>
  </conditionalFormatting>
  <conditionalFormatting sqref="AG190:AH190 AJ190">
    <cfRule type="cellIs" dxfId="4747" priority="6362" operator="equal">
      <formula>"SD"</formula>
    </cfRule>
    <cfRule type="cellIs" dxfId="4746" priority="6363" operator="equal">
      <formula>"NO"</formula>
    </cfRule>
    <cfRule type="cellIs" dxfId="4745" priority="6364" operator="equal">
      <formula>"SI"</formula>
    </cfRule>
  </conditionalFormatting>
  <conditionalFormatting sqref="AI190">
    <cfRule type="containsText" dxfId="4744" priority="6355" operator="containsText" text="HABITANTE DE CALLE">
      <formula>NOT(ISERROR(SEARCH("HABITANTE DE CALLE",AI190)))</formula>
    </cfRule>
    <cfRule type="containsText" dxfId="4743" priority="6358" operator="containsText" text="NINGUNO">
      <formula>NOT(ISERROR(SEARCH("NINGUNO",AI190)))</formula>
    </cfRule>
    <cfRule type="containsText" dxfId="4742" priority="6359" operator="containsText" text="MIGRATORIA">
      <formula>NOT(ISERROR(SEARCH("MIGRATORIA",AI190)))</formula>
    </cfRule>
    <cfRule type="containsText" dxfId="4741" priority="6360" operator="containsText" text="DISCAPACIDAD">
      <formula>NOT(ISERROR(SEARCH("DISCAPACIDAD",AI190)))</formula>
    </cfRule>
    <cfRule type="containsText" dxfId="4740" priority="6361" operator="containsText" text="DESPLAZADA">
      <formula>NOT(ISERROR(SEARCH("DESPLAZADA",AI190)))</formula>
    </cfRule>
  </conditionalFormatting>
  <conditionalFormatting sqref="AE190:AF190">
    <cfRule type="containsText" dxfId="4739" priority="6356" operator="containsText" text="NO">
      <formula>NOT(ISERROR(SEARCH("NO",AE190)))</formula>
    </cfRule>
    <cfRule type="containsText" dxfId="4738" priority="6357" operator="containsText" text="SI">
      <formula>NOT(ISERROR(SEARCH("SI",AE190)))</formula>
    </cfRule>
  </conditionalFormatting>
  <conditionalFormatting sqref="BD190:BI190 AX190:BB190">
    <cfRule type="cellIs" dxfId="4737" priority="6352" operator="equal">
      <formula>"SD"</formula>
    </cfRule>
    <cfRule type="cellIs" dxfId="4736" priority="6353" operator="equal">
      <formula>"NO"</formula>
    </cfRule>
    <cfRule type="cellIs" dxfId="4735" priority="6354" operator="equal">
      <formula>"SI"</formula>
    </cfRule>
  </conditionalFormatting>
  <conditionalFormatting sqref="BC190">
    <cfRule type="containsText" dxfId="4734" priority="6347" operator="containsText" text="SD">
      <formula>NOT(ISERROR(SEARCH("SD",BC190)))</formula>
    </cfRule>
    <cfRule type="containsText" dxfId="4733" priority="6348" operator="containsText" text="SI, NO CONTROLADA">
      <formula>NOT(ISERROR(SEARCH("SI, NO CONTROLADA",BC190)))</formula>
    </cfRule>
    <cfRule type="containsText" dxfId="4732" priority="6349" operator="containsText" text="SI, SIN MANEJO">
      <formula>NOT(ISERROR(SEARCH("SI, SIN MANEJO",BC190)))</formula>
    </cfRule>
    <cfRule type="containsText" dxfId="4731" priority="6350" operator="containsText" text="SI, CONTROLADA">
      <formula>NOT(ISERROR(SEARCH("SI, CONTROLADA",BC190)))</formula>
    </cfRule>
    <cfRule type="containsText" dxfId="4730" priority="6351" operator="containsText" text="NO">
      <formula>NOT(ISERROR(SEARCH("NO",BC190)))</formula>
    </cfRule>
  </conditionalFormatting>
  <conditionalFormatting sqref="BE190">
    <cfRule type="expression" dxfId="4729" priority="6346">
      <formula>IF(AND(FA190&gt;=126,FC190&lt;24),1,0)</formula>
    </cfRule>
  </conditionalFormatting>
  <conditionalFormatting sqref="FJ190">
    <cfRule type="containsText" dxfId="4728" priority="6343" operator="containsText" text="POSITIVA CICATRIZ">
      <formula>NOT(ISERROR(SEARCH("POSITIVA CICATRIZ",FJ190)))</formula>
    </cfRule>
    <cfRule type="containsText" dxfId="4727" priority="6344" operator="containsText" text="POSITIVA CASO SIFILIS">
      <formula>NOT(ISERROR(SEARCH("POSITIVA CASO SIFILIS",FJ190)))</formula>
    </cfRule>
    <cfRule type="containsText" dxfId="4726" priority="6345" operator="containsText" text="NEGATIVA">
      <formula>NOT(ISERROR(SEARCH("NEGATIVA",FJ190)))</formula>
    </cfRule>
  </conditionalFormatting>
  <conditionalFormatting sqref="AG191:AH191 AJ191">
    <cfRule type="cellIs" dxfId="4725" priority="6340" operator="equal">
      <formula>"SD"</formula>
    </cfRule>
    <cfRule type="cellIs" dxfId="4724" priority="6341" operator="equal">
      <formula>"NO"</formula>
    </cfRule>
    <cfRule type="cellIs" dxfId="4723" priority="6342" operator="equal">
      <formula>"SI"</formula>
    </cfRule>
  </conditionalFormatting>
  <conditionalFormatting sqref="AI191">
    <cfRule type="containsText" dxfId="4722" priority="6333" operator="containsText" text="HABITANTE DE CALLE">
      <formula>NOT(ISERROR(SEARCH("HABITANTE DE CALLE",AI191)))</formula>
    </cfRule>
    <cfRule type="containsText" dxfId="4721" priority="6336" operator="containsText" text="NINGUNO">
      <formula>NOT(ISERROR(SEARCH("NINGUNO",AI191)))</formula>
    </cfRule>
    <cfRule type="containsText" dxfId="4720" priority="6337" operator="containsText" text="MIGRATORIA">
      <formula>NOT(ISERROR(SEARCH("MIGRATORIA",AI191)))</formula>
    </cfRule>
    <cfRule type="containsText" dxfId="4719" priority="6338" operator="containsText" text="DISCAPACIDAD">
      <formula>NOT(ISERROR(SEARCH("DISCAPACIDAD",AI191)))</formula>
    </cfRule>
    <cfRule type="containsText" dxfId="4718" priority="6339" operator="containsText" text="DESPLAZADA">
      <formula>NOT(ISERROR(SEARCH("DESPLAZADA",AI191)))</formula>
    </cfRule>
  </conditionalFormatting>
  <conditionalFormatting sqref="AE191:AF191">
    <cfRule type="containsText" dxfId="4717" priority="6334" operator="containsText" text="NO">
      <formula>NOT(ISERROR(SEARCH("NO",AE191)))</formula>
    </cfRule>
    <cfRule type="containsText" dxfId="4716" priority="6335" operator="containsText" text="SI">
      <formula>NOT(ISERROR(SEARCH("SI",AE191)))</formula>
    </cfRule>
  </conditionalFormatting>
  <conditionalFormatting sqref="BD191:BI191 AX191:BB191">
    <cfRule type="cellIs" dxfId="4715" priority="6330" operator="equal">
      <formula>"SD"</formula>
    </cfRule>
    <cfRule type="cellIs" dxfId="4714" priority="6331" operator="equal">
      <formula>"NO"</formula>
    </cfRule>
    <cfRule type="cellIs" dxfId="4713" priority="6332" operator="equal">
      <formula>"SI"</formula>
    </cfRule>
  </conditionalFormatting>
  <conditionalFormatting sqref="BC191">
    <cfRule type="containsText" dxfId="4712" priority="6325" operator="containsText" text="SD">
      <formula>NOT(ISERROR(SEARCH("SD",BC191)))</formula>
    </cfRule>
    <cfRule type="containsText" dxfId="4711" priority="6326" operator="containsText" text="SI, NO CONTROLADA">
      <formula>NOT(ISERROR(SEARCH("SI, NO CONTROLADA",BC191)))</formula>
    </cfRule>
    <cfRule type="containsText" dxfId="4710" priority="6327" operator="containsText" text="SI, SIN MANEJO">
      <formula>NOT(ISERROR(SEARCH("SI, SIN MANEJO",BC191)))</formula>
    </cfRule>
    <cfRule type="containsText" dxfId="4709" priority="6328" operator="containsText" text="SI, CONTROLADA">
      <formula>NOT(ISERROR(SEARCH("SI, CONTROLADA",BC191)))</formula>
    </cfRule>
    <cfRule type="containsText" dxfId="4708" priority="6329" operator="containsText" text="NO">
      <formula>NOT(ISERROR(SEARCH("NO",BC191)))</formula>
    </cfRule>
  </conditionalFormatting>
  <conditionalFormatting sqref="BE191">
    <cfRule type="expression" dxfId="4707" priority="6324">
      <formula>IF(AND(FA191&gt;=126,FC191&lt;24),1,0)</formula>
    </cfRule>
  </conditionalFormatting>
  <conditionalFormatting sqref="FJ191">
    <cfRule type="containsText" dxfId="4706" priority="6321" operator="containsText" text="POSITIVA CICATRIZ">
      <formula>NOT(ISERROR(SEARCH("POSITIVA CICATRIZ",FJ191)))</formula>
    </cfRule>
    <cfRule type="containsText" dxfId="4705" priority="6322" operator="containsText" text="POSITIVA CASO SIFILIS">
      <formula>NOT(ISERROR(SEARCH("POSITIVA CASO SIFILIS",FJ191)))</formula>
    </cfRule>
    <cfRule type="containsText" dxfId="4704" priority="6323" operator="containsText" text="NEGATIVA">
      <formula>NOT(ISERROR(SEARCH("NEGATIVA",FJ191)))</formula>
    </cfRule>
  </conditionalFormatting>
  <conditionalFormatting sqref="AG192:AH192 AJ192">
    <cfRule type="cellIs" dxfId="4703" priority="6299" operator="equal">
      <formula>"SD"</formula>
    </cfRule>
    <cfRule type="cellIs" dxfId="4702" priority="6300" operator="equal">
      <formula>"NO"</formula>
    </cfRule>
    <cfRule type="cellIs" dxfId="4701" priority="6301" operator="equal">
      <formula>"SI"</formula>
    </cfRule>
  </conditionalFormatting>
  <conditionalFormatting sqref="AI192">
    <cfRule type="containsText" dxfId="4700" priority="6292" operator="containsText" text="HABITANTE DE CALLE">
      <formula>NOT(ISERROR(SEARCH("HABITANTE DE CALLE",AI192)))</formula>
    </cfRule>
    <cfRule type="containsText" dxfId="4699" priority="6295" operator="containsText" text="NINGUNO">
      <formula>NOT(ISERROR(SEARCH("NINGUNO",AI192)))</formula>
    </cfRule>
    <cfRule type="containsText" dxfId="4698" priority="6296" operator="containsText" text="MIGRATORIA">
      <formula>NOT(ISERROR(SEARCH("MIGRATORIA",AI192)))</formula>
    </cfRule>
    <cfRule type="containsText" dxfId="4697" priority="6297" operator="containsText" text="DISCAPACIDAD">
      <formula>NOT(ISERROR(SEARCH("DISCAPACIDAD",AI192)))</formula>
    </cfRule>
    <cfRule type="containsText" dxfId="4696" priority="6298" operator="containsText" text="DESPLAZADA">
      <formula>NOT(ISERROR(SEARCH("DESPLAZADA",AI192)))</formula>
    </cfRule>
  </conditionalFormatting>
  <conditionalFormatting sqref="AE192:AF192">
    <cfRule type="containsText" dxfId="4695" priority="6293" operator="containsText" text="NO">
      <formula>NOT(ISERROR(SEARCH("NO",AE192)))</formula>
    </cfRule>
    <cfRule type="containsText" dxfId="4694" priority="6294" operator="containsText" text="SI">
      <formula>NOT(ISERROR(SEARCH("SI",AE192)))</formula>
    </cfRule>
  </conditionalFormatting>
  <conditionalFormatting sqref="BD192:BI192 AX192:BB192">
    <cfRule type="cellIs" dxfId="4693" priority="6289" operator="equal">
      <formula>"SD"</formula>
    </cfRule>
    <cfRule type="cellIs" dxfId="4692" priority="6290" operator="equal">
      <formula>"NO"</formula>
    </cfRule>
    <cfRule type="cellIs" dxfId="4691" priority="6291" operator="equal">
      <formula>"SI"</formula>
    </cfRule>
  </conditionalFormatting>
  <conditionalFormatting sqref="BC192">
    <cfRule type="containsText" dxfId="4690" priority="6284" operator="containsText" text="SD">
      <formula>NOT(ISERROR(SEARCH("SD",BC192)))</formula>
    </cfRule>
    <cfRule type="containsText" dxfId="4689" priority="6285" operator="containsText" text="SI, NO CONTROLADA">
      <formula>NOT(ISERROR(SEARCH("SI, NO CONTROLADA",BC192)))</formula>
    </cfRule>
    <cfRule type="containsText" dxfId="4688" priority="6286" operator="containsText" text="SI, SIN MANEJO">
      <formula>NOT(ISERROR(SEARCH("SI, SIN MANEJO",BC192)))</formula>
    </cfRule>
    <cfRule type="containsText" dxfId="4687" priority="6287" operator="containsText" text="SI, CONTROLADA">
      <formula>NOT(ISERROR(SEARCH("SI, CONTROLADA",BC192)))</formula>
    </cfRule>
    <cfRule type="containsText" dxfId="4686" priority="6288" operator="containsText" text="NO">
      <formula>NOT(ISERROR(SEARCH("NO",BC192)))</formula>
    </cfRule>
  </conditionalFormatting>
  <conditionalFormatting sqref="BE192">
    <cfRule type="expression" dxfId="4685" priority="6283">
      <formula>IF(AND(FA192&gt;=126,FC192&lt;24),1,0)</formula>
    </cfRule>
  </conditionalFormatting>
  <conditionalFormatting sqref="AG193:AH193 AJ193">
    <cfRule type="cellIs" dxfId="4684" priority="6280" operator="equal">
      <formula>"SD"</formula>
    </cfRule>
    <cfRule type="cellIs" dxfId="4683" priority="6281" operator="equal">
      <formula>"NO"</formula>
    </cfRule>
    <cfRule type="cellIs" dxfId="4682" priority="6282" operator="equal">
      <formula>"SI"</formula>
    </cfRule>
  </conditionalFormatting>
  <conditionalFormatting sqref="AI193">
    <cfRule type="containsText" dxfId="4681" priority="6273" operator="containsText" text="HABITANTE DE CALLE">
      <formula>NOT(ISERROR(SEARCH("HABITANTE DE CALLE",AI193)))</formula>
    </cfRule>
    <cfRule type="containsText" dxfId="4680" priority="6276" operator="containsText" text="NINGUNO">
      <formula>NOT(ISERROR(SEARCH("NINGUNO",AI193)))</formula>
    </cfRule>
    <cfRule type="containsText" dxfId="4679" priority="6277" operator="containsText" text="MIGRATORIA">
      <formula>NOT(ISERROR(SEARCH("MIGRATORIA",AI193)))</formula>
    </cfRule>
    <cfRule type="containsText" dxfId="4678" priority="6278" operator="containsText" text="DISCAPACIDAD">
      <formula>NOT(ISERROR(SEARCH("DISCAPACIDAD",AI193)))</formula>
    </cfRule>
    <cfRule type="containsText" dxfId="4677" priority="6279" operator="containsText" text="DESPLAZADA">
      <formula>NOT(ISERROR(SEARCH("DESPLAZADA",AI193)))</formula>
    </cfRule>
  </conditionalFormatting>
  <conditionalFormatting sqref="AE193:AF193">
    <cfRule type="containsText" dxfId="4676" priority="6274" operator="containsText" text="NO">
      <formula>NOT(ISERROR(SEARCH("NO",AE193)))</formula>
    </cfRule>
    <cfRule type="containsText" dxfId="4675" priority="6275" operator="containsText" text="SI">
      <formula>NOT(ISERROR(SEARCH("SI",AE193)))</formula>
    </cfRule>
  </conditionalFormatting>
  <conditionalFormatting sqref="BD193:BI193 AX193:BB193">
    <cfRule type="cellIs" dxfId="4674" priority="6270" operator="equal">
      <formula>"SD"</formula>
    </cfRule>
    <cfRule type="cellIs" dxfId="4673" priority="6271" operator="equal">
      <formula>"NO"</formula>
    </cfRule>
    <cfRule type="cellIs" dxfId="4672" priority="6272" operator="equal">
      <formula>"SI"</formula>
    </cfRule>
  </conditionalFormatting>
  <conditionalFormatting sqref="BC193">
    <cfRule type="containsText" dxfId="4671" priority="6265" operator="containsText" text="SD">
      <formula>NOT(ISERROR(SEARCH("SD",BC193)))</formula>
    </cfRule>
    <cfRule type="containsText" dxfId="4670" priority="6266" operator="containsText" text="SI, NO CONTROLADA">
      <formula>NOT(ISERROR(SEARCH("SI, NO CONTROLADA",BC193)))</formula>
    </cfRule>
    <cfRule type="containsText" dxfId="4669" priority="6267" operator="containsText" text="SI, SIN MANEJO">
      <formula>NOT(ISERROR(SEARCH("SI, SIN MANEJO",BC193)))</formula>
    </cfRule>
    <cfRule type="containsText" dxfId="4668" priority="6268" operator="containsText" text="SI, CONTROLADA">
      <formula>NOT(ISERROR(SEARCH("SI, CONTROLADA",BC193)))</formula>
    </cfRule>
    <cfRule type="containsText" dxfId="4667" priority="6269" operator="containsText" text="NO">
      <formula>NOT(ISERROR(SEARCH("NO",BC193)))</formula>
    </cfRule>
  </conditionalFormatting>
  <conditionalFormatting sqref="BE193">
    <cfRule type="expression" dxfId="4666" priority="6264">
      <formula>IF(AND(FA193&gt;=126,FC193&lt;24),1,0)</formula>
    </cfRule>
  </conditionalFormatting>
  <conditionalFormatting sqref="AG194:AH194 AJ194">
    <cfRule type="cellIs" dxfId="4665" priority="6261" operator="equal">
      <formula>"SD"</formula>
    </cfRule>
    <cfRule type="cellIs" dxfId="4664" priority="6262" operator="equal">
      <formula>"NO"</formula>
    </cfRule>
    <cfRule type="cellIs" dxfId="4663" priority="6263" operator="equal">
      <formula>"SI"</formula>
    </cfRule>
  </conditionalFormatting>
  <conditionalFormatting sqref="AI194">
    <cfRule type="containsText" dxfId="4662" priority="6254" operator="containsText" text="HABITANTE DE CALLE">
      <formula>NOT(ISERROR(SEARCH("HABITANTE DE CALLE",AI194)))</formula>
    </cfRule>
    <cfRule type="containsText" dxfId="4661" priority="6257" operator="containsText" text="NINGUNO">
      <formula>NOT(ISERROR(SEARCH("NINGUNO",AI194)))</formula>
    </cfRule>
    <cfRule type="containsText" dxfId="4660" priority="6258" operator="containsText" text="MIGRATORIA">
      <formula>NOT(ISERROR(SEARCH("MIGRATORIA",AI194)))</formula>
    </cfRule>
    <cfRule type="containsText" dxfId="4659" priority="6259" operator="containsText" text="DISCAPACIDAD">
      <formula>NOT(ISERROR(SEARCH("DISCAPACIDAD",AI194)))</formula>
    </cfRule>
    <cfRule type="containsText" dxfId="4658" priority="6260" operator="containsText" text="DESPLAZADA">
      <formula>NOT(ISERROR(SEARCH("DESPLAZADA",AI194)))</formula>
    </cfRule>
  </conditionalFormatting>
  <conditionalFormatting sqref="AE194:AF194">
    <cfRule type="containsText" dxfId="4657" priority="6255" operator="containsText" text="NO">
      <formula>NOT(ISERROR(SEARCH("NO",AE194)))</formula>
    </cfRule>
    <cfRule type="containsText" dxfId="4656" priority="6256" operator="containsText" text="SI">
      <formula>NOT(ISERROR(SEARCH("SI",AE194)))</formula>
    </cfRule>
  </conditionalFormatting>
  <conditionalFormatting sqref="AY194:BA194">
    <cfRule type="cellIs" dxfId="4655" priority="6251" operator="equal">
      <formula>"SD"</formula>
    </cfRule>
    <cfRule type="cellIs" dxfId="4654" priority="6252" operator="equal">
      <formula>"NO"</formula>
    </cfRule>
    <cfRule type="cellIs" dxfId="4653" priority="6253" operator="equal">
      <formula>"SI"</formula>
    </cfRule>
  </conditionalFormatting>
  <conditionalFormatting sqref="BD194:BI194 BB194">
    <cfRule type="cellIs" dxfId="4652" priority="6248" operator="equal">
      <formula>"SD"</formula>
    </cfRule>
    <cfRule type="cellIs" dxfId="4651" priority="6249" operator="equal">
      <formula>"NO"</formula>
    </cfRule>
    <cfRule type="cellIs" dxfId="4650" priority="6250" operator="equal">
      <formula>"SI"</formula>
    </cfRule>
  </conditionalFormatting>
  <conditionalFormatting sqref="BC194">
    <cfRule type="containsText" dxfId="4649" priority="6243" operator="containsText" text="SD">
      <formula>NOT(ISERROR(SEARCH("SD",BC194)))</formula>
    </cfRule>
    <cfRule type="containsText" dxfId="4648" priority="6244" operator="containsText" text="SI, NO CONTROLADA">
      <formula>NOT(ISERROR(SEARCH("SI, NO CONTROLADA",BC194)))</formula>
    </cfRule>
    <cfRule type="containsText" dxfId="4647" priority="6245" operator="containsText" text="SI, SIN MANEJO">
      <formula>NOT(ISERROR(SEARCH("SI, SIN MANEJO",BC194)))</formula>
    </cfRule>
    <cfRule type="containsText" dxfId="4646" priority="6246" operator="containsText" text="SI, CONTROLADA">
      <formula>NOT(ISERROR(SEARCH("SI, CONTROLADA",BC194)))</formula>
    </cfRule>
    <cfRule type="containsText" dxfId="4645" priority="6247" operator="containsText" text="NO">
      <formula>NOT(ISERROR(SEARCH("NO",BC194)))</formula>
    </cfRule>
  </conditionalFormatting>
  <conditionalFormatting sqref="BE194">
    <cfRule type="expression" dxfId="4644" priority="6242">
      <formula>IF(AND(FA194&gt;=126,FC194&lt;24),1,0)</formula>
    </cfRule>
  </conditionalFormatting>
  <conditionalFormatting sqref="AG195:AH195 AJ195">
    <cfRule type="cellIs" dxfId="4643" priority="6239" operator="equal">
      <formula>"SD"</formula>
    </cfRule>
    <cfRule type="cellIs" dxfId="4642" priority="6240" operator="equal">
      <formula>"NO"</formula>
    </cfRule>
    <cfRule type="cellIs" dxfId="4641" priority="6241" operator="equal">
      <formula>"SI"</formula>
    </cfRule>
  </conditionalFormatting>
  <conditionalFormatting sqref="AI195">
    <cfRule type="containsText" dxfId="4640" priority="6232" operator="containsText" text="HABITANTE DE CALLE">
      <formula>NOT(ISERROR(SEARCH("HABITANTE DE CALLE",AI195)))</formula>
    </cfRule>
    <cfRule type="containsText" dxfId="4639" priority="6235" operator="containsText" text="NINGUNO">
      <formula>NOT(ISERROR(SEARCH("NINGUNO",AI195)))</formula>
    </cfRule>
    <cfRule type="containsText" dxfId="4638" priority="6236" operator="containsText" text="MIGRATORIA">
      <formula>NOT(ISERROR(SEARCH("MIGRATORIA",AI195)))</formula>
    </cfRule>
    <cfRule type="containsText" dxfId="4637" priority="6237" operator="containsText" text="DISCAPACIDAD">
      <formula>NOT(ISERROR(SEARCH("DISCAPACIDAD",AI195)))</formula>
    </cfRule>
    <cfRule type="containsText" dxfId="4636" priority="6238" operator="containsText" text="DESPLAZADA">
      <formula>NOT(ISERROR(SEARCH("DESPLAZADA",AI195)))</formula>
    </cfRule>
  </conditionalFormatting>
  <conditionalFormatting sqref="AE195:AF195">
    <cfRule type="containsText" dxfId="4635" priority="6233" operator="containsText" text="NO">
      <formula>NOT(ISERROR(SEARCH("NO",AE195)))</formula>
    </cfRule>
    <cfRule type="containsText" dxfId="4634" priority="6234" operator="containsText" text="SI">
      <formula>NOT(ISERROR(SEARCH("SI",AE195)))</formula>
    </cfRule>
  </conditionalFormatting>
  <conditionalFormatting sqref="BK195:BM195">
    <cfRule type="cellIs" dxfId="4633" priority="6229" operator="equal">
      <formula>"SD"</formula>
    </cfRule>
    <cfRule type="cellIs" dxfId="4632" priority="6230" operator="equal">
      <formula>"NO"</formula>
    </cfRule>
    <cfRule type="cellIs" dxfId="4631" priority="6231" operator="equal">
      <formula>"SI"</formula>
    </cfRule>
  </conditionalFormatting>
  <conditionalFormatting sqref="AY195:BA195">
    <cfRule type="cellIs" dxfId="4630" priority="6226" operator="equal">
      <formula>"SD"</formula>
    </cfRule>
    <cfRule type="cellIs" dxfId="4629" priority="6227" operator="equal">
      <formula>"NO"</formula>
    </cfRule>
    <cfRule type="cellIs" dxfId="4628" priority="6228" operator="equal">
      <formula>"SI"</formula>
    </cfRule>
  </conditionalFormatting>
  <conditionalFormatting sqref="BD195:BI195 BB195">
    <cfRule type="cellIs" dxfId="4627" priority="6223" operator="equal">
      <formula>"SD"</formula>
    </cfRule>
    <cfRule type="cellIs" dxfId="4626" priority="6224" operator="equal">
      <formula>"NO"</formula>
    </cfRule>
    <cfRule type="cellIs" dxfId="4625" priority="6225" operator="equal">
      <formula>"SI"</formula>
    </cfRule>
  </conditionalFormatting>
  <conditionalFormatting sqref="BC195">
    <cfRule type="containsText" dxfId="4624" priority="6218" operator="containsText" text="SD">
      <formula>NOT(ISERROR(SEARCH("SD",BC195)))</formula>
    </cfRule>
    <cfRule type="containsText" dxfId="4623" priority="6219" operator="containsText" text="SI, NO CONTROLADA">
      <formula>NOT(ISERROR(SEARCH("SI, NO CONTROLADA",BC195)))</formula>
    </cfRule>
    <cfRule type="containsText" dxfId="4622" priority="6220" operator="containsText" text="SI, SIN MANEJO">
      <formula>NOT(ISERROR(SEARCH("SI, SIN MANEJO",BC195)))</formula>
    </cfRule>
    <cfRule type="containsText" dxfId="4621" priority="6221" operator="containsText" text="SI, CONTROLADA">
      <formula>NOT(ISERROR(SEARCH("SI, CONTROLADA",BC195)))</formula>
    </cfRule>
    <cfRule type="containsText" dxfId="4620" priority="6222" operator="containsText" text="NO">
      <formula>NOT(ISERROR(SEARCH("NO",BC195)))</formula>
    </cfRule>
  </conditionalFormatting>
  <conditionalFormatting sqref="BE195">
    <cfRule type="expression" dxfId="4619" priority="6217">
      <formula>IF(AND(FA195&gt;=126,FC195&lt;24),1,0)</formula>
    </cfRule>
  </conditionalFormatting>
  <conditionalFormatting sqref="AG196:AH196 AJ196">
    <cfRule type="cellIs" dxfId="4618" priority="6207" operator="equal">
      <formula>"SD"</formula>
    </cfRule>
    <cfRule type="cellIs" dxfId="4617" priority="6208" operator="equal">
      <formula>"NO"</formula>
    </cfRule>
    <cfRule type="cellIs" dxfId="4616" priority="6209" operator="equal">
      <formula>"SI"</formula>
    </cfRule>
  </conditionalFormatting>
  <conditionalFormatting sqref="AI196">
    <cfRule type="containsText" dxfId="4615" priority="6200" operator="containsText" text="HABITANTE DE CALLE">
      <formula>NOT(ISERROR(SEARCH("HABITANTE DE CALLE",AI196)))</formula>
    </cfRule>
    <cfRule type="containsText" dxfId="4614" priority="6203" operator="containsText" text="NINGUNO">
      <formula>NOT(ISERROR(SEARCH("NINGUNO",AI196)))</formula>
    </cfRule>
    <cfRule type="containsText" dxfId="4613" priority="6204" operator="containsText" text="MIGRATORIA">
      <formula>NOT(ISERROR(SEARCH("MIGRATORIA",AI196)))</formula>
    </cfRule>
    <cfRule type="containsText" dxfId="4612" priority="6205" operator="containsText" text="DISCAPACIDAD">
      <formula>NOT(ISERROR(SEARCH("DISCAPACIDAD",AI196)))</formula>
    </cfRule>
    <cfRule type="containsText" dxfId="4611" priority="6206" operator="containsText" text="DESPLAZADA">
      <formula>NOT(ISERROR(SEARCH("DESPLAZADA",AI196)))</formula>
    </cfRule>
  </conditionalFormatting>
  <conditionalFormatting sqref="AE196:AF196">
    <cfRule type="containsText" dxfId="4610" priority="6201" operator="containsText" text="NO">
      <formula>NOT(ISERROR(SEARCH("NO",AE196)))</formula>
    </cfRule>
    <cfRule type="containsText" dxfId="4609" priority="6202" operator="containsText" text="SI">
      <formula>NOT(ISERROR(SEARCH("SI",AE196)))</formula>
    </cfRule>
  </conditionalFormatting>
  <conditionalFormatting sqref="AX196">
    <cfRule type="cellIs" dxfId="4608" priority="6197" operator="equal">
      <formula>"SD"</formula>
    </cfRule>
    <cfRule type="cellIs" dxfId="4607" priority="6198" operator="equal">
      <formula>"NO"</formula>
    </cfRule>
    <cfRule type="cellIs" dxfId="4606" priority="6199" operator="equal">
      <formula>"SI"</formula>
    </cfRule>
  </conditionalFormatting>
  <conditionalFormatting sqref="BK196:BM196">
    <cfRule type="cellIs" dxfId="4605" priority="6194" operator="equal">
      <formula>"SD"</formula>
    </cfRule>
    <cfRule type="cellIs" dxfId="4604" priority="6195" operator="equal">
      <formula>"NO"</formula>
    </cfRule>
    <cfRule type="cellIs" dxfId="4603" priority="6196" operator="equal">
      <formula>"SI"</formula>
    </cfRule>
  </conditionalFormatting>
  <conditionalFormatting sqref="AY196:BA196">
    <cfRule type="cellIs" dxfId="4602" priority="6191" operator="equal">
      <formula>"SD"</formula>
    </cfRule>
    <cfRule type="cellIs" dxfId="4601" priority="6192" operator="equal">
      <formula>"NO"</formula>
    </cfRule>
    <cfRule type="cellIs" dxfId="4600" priority="6193" operator="equal">
      <formula>"SI"</formula>
    </cfRule>
  </conditionalFormatting>
  <conditionalFormatting sqref="BD196:BI196 BB196">
    <cfRule type="cellIs" dxfId="4599" priority="6188" operator="equal">
      <formula>"SD"</formula>
    </cfRule>
    <cfRule type="cellIs" dxfId="4598" priority="6189" operator="equal">
      <formula>"NO"</formula>
    </cfRule>
    <cfRule type="cellIs" dxfId="4597" priority="6190" operator="equal">
      <formula>"SI"</formula>
    </cfRule>
  </conditionalFormatting>
  <conditionalFormatting sqref="BC196">
    <cfRule type="containsText" dxfId="4596" priority="6183" operator="containsText" text="SD">
      <formula>NOT(ISERROR(SEARCH("SD",BC196)))</formula>
    </cfRule>
    <cfRule type="containsText" dxfId="4595" priority="6184" operator="containsText" text="SI, NO CONTROLADA">
      <formula>NOT(ISERROR(SEARCH("SI, NO CONTROLADA",BC196)))</formula>
    </cfRule>
    <cfRule type="containsText" dxfId="4594" priority="6185" operator="containsText" text="SI, SIN MANEJO">
      <formula>NOT(ISERROR(SEARCH("SI, SIN MANEJO",BC196)))</formula>
    </cfRule>
    <cfRule type="containsText" dxfId="4593" priority="6186" operator="containsText" text="SI, CONTROLADA">
      <formula>NOT(ISERROR(SEARCH("SI, CONTROLADA",BC196)))</formula>
    </cfRule>
    <cfRule type="containsText" dxfId="4592" priority="6187" operator="containsText" text="NO">
      <formula>NOT(ISERROR(SEARCH("NO",BC196)))</formula>
    </cfRule>
  </conditionalFormatting>
  <conditionalFormatting sqref="BE196">
    <cfRule type="expression" dxfId="4591" priority="6182">
      <formula>IF(AND(FA196&gt;=126,FC196&lt;24),1,0)</formula>
    </cfRule>
  </conditionalFormatting>
  <conditionalFormatting sqref="AC197">
    <cfRule type="containsText" dxfId="4590" priority="6178" operator="containsText" text="SABE">
      <formula>NOT(ISERROR(SEARCH("SABE",AC197)))</formula>
    </cfRule>
    <cfRule type="containsText" dxfId="4589" priority="6179" operator="containsText" text="SECUNDARIA">
      <formula>NOT(ISERROR(SEARCH("SECUNDARIA",AC197)))</formula>
    </cfRule>
    <cfRule type="containsText" dxfId="4588" priority="6180" operator="containsText" text="PRIMARIA INCOMPLETA">
      <formula>NOT(ISERROR(SEARCH("PRIMARIA INCOMPLETA",AC197)))</formula>
    </cfRule>
    <cfRule type="cellIs" dxfId="4587" priority="6181" operator="equal">
      <formula>"ANALFABETA"</formula>
    </cfRule>
  </conditionalFormatting>
  <conditionalFormatting sqref="AL197:AR197">
    <cfRule type="cellIs" dxfId="4586" priority="6172" operator="equal">
      <formula>"SD"</formula>
    </cfRule>
    <cfRule type="cellIs" dxfId="4585" priority="6173" operator="equal">
      <formula>"NO"</formula>
    </cfRule>
    <cfRule type="cellIs" dxfId="4584" priority="6174" operator="equal">
      <formula>"SI"</formula>
    </cfRule>
  </conditionalFormatting>
  <conditionalFormatting sqref="AK197">
    <cfRule type="containsText" dxfId="4583" priority="6169" operator="containsText" text="COMPLETAR EVALUACIÓN">
      <formula>NOT(ISERROR(SEARCH("COMPLETAR EVALUACIÓN",AK197)))</formula>
    </cfRule>
    <cfRule type="containsText" dxfId="4582" priority="6170" operator="containsText" text="CON RIESGO">
      <formula>NOT(ISERROR(SEARCH("CON RIESGO",AK197)))</formula>
    </cfRule>
    <cfRule type="containsText" dxfId="4581" priority="6171" operator="containsText" text="SIN RIESGO">
      <formula>NOT(ISERROR(SEARCH("SIN RIESGO",AK197)))</formula>
    </cfRule>
  </conditionalFormatting>
  <conditionalFormatting sqref="AG197:AH197 AJ197">
    <cfRule type="cellIs" dxfId="4580" priority="6166" operator="equal">
      <formula>"SD"</formula>
    </cfRule>
    <cfRule type="cellIs" dxfId="4579" priority="6167" operator="equal">
      <formula>"NO"</formula>
    </cfRule>
    <cfRule type="cellIs" dxfId="4578" priority="6168" operator="equal">
      <formula>"SI"</formula>
    </cfRule>
  </conditionalFormatting>
  <conditionalFormatting sqref="AI197">
    <cfRule type="containsText" dxfId="4577" priority="6159" operator="containsText" text="HABITANTE DE CALLE">
      <formula>NOT(ISERROR(SEARCH("HABITANTE DE CALLE",AI197)))</formula>
    </cfRule>
    <cfRule type="containsText" dxfId="4576" priority="6162" operator="containsText" text="NINGUNO">
      <formula>NOT(ISERROR(SEARCH("NINGUNO",AI197)))</formula>
    </cfRule>
    <cfRule type="containsText" dxfId="4575" priority="6163" operator="containsText" text="MIGRATORIA">
      <formula>NOT(ISERROR(SEARCH("MIGRATORIA",AI197)))</formula>
    </cfRule>
    <cfRule type="containsText" dxfId="4574" priority="6164" operator="containsText" text="DISCAPACIDAD">
      <formula>NOT(ISERROR(SEARCH("DISCAPACIDAD",AI197)))</formula>
    </cfRule>
    <cfRule type="containsText" dxfId="4573" priority="6165" operator="containsText" text="DESPLAZADA">
      <formula>NOT(ISERROR(SEARCH("DESPLAZADA",AI197)))</formula>
    </cfRule>
  </conditionalFormatting>
  <conditionalFormatting sqref="AE197:AF197">
    <cfRule type="containsText" dxfId="4572" priority="6160" operator="containsText" text="NO">
      <formula>NOT(ISERROR(SEARCH("NO",AE197)))</formula>
    </cfRule>
    <cfRule type="containsText" dxfId="4571" priority="6161" operator="containsText" text="SI">
      <formula>NOT(ISERROR(SEARCH("SI",AE197)))</formula>
    </cfRule>
  </conditionalFormatting>
  <conditionalFormatting sqref="AX197">
    <cfRule type="cellIs" dxfId="4570" priority="6156" operator="equal">
      <formula>"SD"</formula>
    </cfRule>
    <cfRule type="cellIs" dxfId="4569" priority="6157" operator="equal">
      <formula>"NO"</formula>
    </cfRule>
    <cfRule type="cellIs" dxfId="4568" priority="6158" operator="equal">
      <formula>"SI"</formula>
    </cfRule>
  </conditionalFormatting>
  <conditionalFormatting sqref="BK197:BM197">
    <cfRule type="cellIs" dxfId="4567" priority="6153" operator="equal">
      <formula>"SD"</formula>
    </cfRule>
    <cfRule type="cellIs" dxfId="4566" priority="6154" operator="equal">
      <formula>"NO"</formula>
    </cfRule>
    <cfRule type="cellIs" dxfId="4565" priority="6155" operator="equal">
      <formula>"SI"</formula>
    </cfRule>
  </conditionalFormatting>
  <conditionalFormatting sqref="AY197:BA197">
    <cfRule type="cellIs" dxfId="4564" priority="6150" operator="equal">
      <formula>"SD"</formula>
    </cfRule>
    <cfRule type="cellIs" dxfId="4563" priority="6151" operator="equal">
      <formula>"NO"</formula>
    </cfRule>
    <cfRule type="cellIs" dxfId="4562" priority="6152" operator="equal">
      <formula>"SI"</formula>
    </cfRule>
  </conditionalFormatting>
  <conditionalFormatting sqref="BD197:BI197 BB197">
    <cfRule type="cellIs" dxfId="4561" priority="6147" operator="equal">
      <formula>"SD"</formula>
    </cfRule>
    <cfRule type="cellIs" dxfId="4560" priority="6148" operator="equal">
      <formula>"NO"</formula>
    </cfRule>
    <cfRule type="cellIs" dxfId="4559" priority="6149" operator="equal">
      <formula>"SI"</formula>
    </cfRule>
  </conditionalFormatting>
  <conditionalFormatting sqref="BC197">
    <cfRule type="containsText" dxfId="4558" priority="6142" operator="containsText" text="SD">
      <formula>NOT(ISERROR(SEARCH("SD",BC197)))</formula>
    </cfRule>
    <cfRule type="containsText" dxfId="4557" priority="6143" operator="containsText" text="SI, NO CONTROLADA">
      <formula>NOT(ISERROR(SEARCH("SI, NO CONTROLADA",BC197)))</formula>
    </cfRule>
    <cfRule type="containsText" dxfId="4556" priority="6144" operator="containsText" text="SI, SIN MANEJO">
      <formula>NOT(ISERROR(SEARCH("SI, SIN MANEJO",BC197)))</formula>
    </cfRule>
    <cfRule type="containsText" dxfId="4555" priority="6145" operator="containsText" text="SI, CONTROLADA">
      <formula>NOT(ISERROR(SEARCH("SI, CONTROLADA",BC197)))</formula>
    </cfRule>
    <cfRule type="containsText" dxfId="4554" priority="6146" operator="containsText" text="NO">
      <formula>NOT(ISERROR(SEARCH("NO",BC197)))</formula>
    </cfRule>
  </conditionalFormatting>
  <conditionalFormatting sqref="BE197">
    <cfRule type="expression" dxfId="4553" priority="6141">
      <formula>IF(AND(FA197&gt;=126,FC197&lt;24),1,0)</formula>
    </cfRule>
  </conditionalFormatting>
  <conditionalFormatting sqref="FB197">
    <cfRule type="containsText" dxfId="4552" priority="6137" operator="containsText" text="RH NEGATIVO SIN COOMB">
      <formula>NOT(ISERROR(SEARCH("RH NEGATIVO SIN COOMB",FB197)))</formula>
    </cfRule>
    <cfRule type="containsText" dxfId="4551" priority="6138" operator="containsText" text="RH NEGATIVO CON COOMBS POSITIVO">
      <formula>NOT(ISERROR(SEARCH("RH NEGATIVO CON COOMBS POSITIVO",FB197)))</formula>
    </cfRule>
    <cfRule type="containsText" dxfId="4550" priority="6139" operator="containsText" text="RH NEGATIVO CON COOMBS NEGATIVO">
      <formula>NOT(ISERROR(SEARCH("RH NEGATIVO CON COOMBS NEGATIVO",FB197)))</formula>
    </cfRule>
    <cfRule type="containsText" dxfId="4549" priority="6140" operator="containsText" text="RH POSITIVO">
      <formula>NOT(ISERROR(SEARCH("RH POSITIVO",FB197)))</formula>
    </cfRule>
  </conditionalFormatting>
  <conditionalFormatting sqref="FK197">
    <cfRule type="containsText" dxfId="4548" priority="6133" operator="containsText" text="RH NEGATIVO SIN COOMB">
      <formula>NOT(ISERROR(SEARCH("RH NEGATIVO SIN COOMB",FK197)))</formula>
    </cfRule>
    <cfRule type="containsText" dxfId="4547" priority="6134" operator="containsText" text="RH NEGATIVO CON COOMBS POSITIVO">
      <formula>NOT(ISERROR(SEARCH("RH NEGATIVO CON COOMBS POSITIVO",FK197)))</formula>
    </cfRule>
    <cfRule type="containsText" dxfId="4546" priority="6135" operator="containsText" text="RH NEGATIVO CON COOMBS NEGATIVO">
      <formula>NOT(ISERROR(SEARCH("RH NEGATIVO CON COOMBS NEGATIVO",FK197)))</formula>
    </cfRule>
    <cfRule type="containsText" dxfId="4545" priority="6136" operator="containsText" text="RH POSITIVO">
      <formula>NOT(ISERROR(SEARCH("RH POSITIVO",FK197)))</formula>
    </cfRule>
  </conditionalFormatting>
  <conditionalFormatting sqref="AL198:AR198">
    <cfRule type="cellIs" dxfId="4544" priority="6130" operator="equal">
      <formula>"SD"</formula>
    </cfRule>
    <cfRule type="cellIs" dxfId="4543" priority="6131" operator="equal">
      <formula>"NO"</formula>
    </cfRule>
    <cfRule type="cellIs" dxfId="4542" priority="6132" operator="equal">
      <formula>"SI"</formula>
    </cfRule>
  </conditionalFormatting>
  <conditionalFormatting sqref="AK198">
    <cfRule type="containsText" dxfId="4541" priority="6127" operator="containsText" text="COMPLETAR EVALUACIÓN">
      <formula>NOT(ISERROR(SEARCH("COMPLETAR EVALUACIÓN",AK198)))</formula>
    </cfRule>
    <cfRule type="containsText" dxfId="4540" priority="6128" operator="containsText" text="CON RIESGO">
      <formula>NOT(ISERROR(SEARCH("CON RIESGO",AK198)))</formula>
    </cfRule>
    <cfRule type="containsText" dxfId="4539" priority="6129" operator="containsText" text="SIN RIESGO">
      <formula>NOT(ISERROR(SEARCH("SIN RIESGO",AK198)))</formula>
    </cfRule>
  </conditionalFormatting>
  <conditionalFormatting sqref="AG198:AH198 AJ198">
    <cfRule type="cellIs" dxfId="4538" priority="6124" operator="equal">
      <formula>"SD"</formula>
    </cfRule>
    <cfRule type="cellIs" dxfId="4537" priority="6125" operator="equal">
      <formula>"NO"</formula>
    </cfRule>
    <cfRule type="cellIs" dxfId="4536" priority="6126" operator="equal">
      <formula>"SI"</formula>
    </cfRule>
  </conditionalFormatting>
  <conditionalFormatting sqref="AI198">
    <cfRule type="containsText" dxfId="4535" priority="6117" operator="containsText" text="HABITANTE DE CALLE">
      <formula>NOT(ISERROR(SEARCH("HABITANTE DE CALLE",AI198)))</formula>
    </cfRule>
    <cfRule type="containsText" dxfId="4534" priority="6120" operator="containsText" text="NINGUNO">
      <formula>NOT(ISERROR(SEARCH("NINGUNO",AI198)))</formula>
    </cfRule>
    <cfRule type="containsText" dxfId="4533" priority="6121" operator="containsText" text="MIGRATORIA">
      <formula>NOT(ISERROR(SEARCH("MIGRATORIA",AI198)))</formula>
    </cfRule>
    <cfRule type="containsText" dxfId="4532" priority="6122" operator="containsText" text="DISCAPACIDAD">
      <formula>NOT(ISERROR(SEARCH("DISCAPACIDAD",AI198)))</formula>
    </cfRule>
    <cfRule type="containsText" dxfId="4531" priority="6123" operator="containsText" text="DESPLAZADA">
      <formula>NOT(ISERROR(SEARCH("DESPLAZADA",AI198)))</formula>
    </cfRule>
  </conditionalFormatting>
  <conditionalFormatting sqref="AE198:AF198">
    <cfRule type="containsText" dxfId="4530" priority="6118" operator="containsText" text="NO">
      <formula>NOT(ISERROR(SEARCH("NO",AE198)))</formula>
    </cfRule>
    <cfRule type="containsText" dxfId="4529" priority="6119" operator="containsText" text="SI">
      <formula>NOT(ISERROR(SEARCH("SI",AE198)))</formula>
    </cfRule>
  </conditionalFormatting>
  <conditionalFormatting sqref="AX198">
    <cfRule type="cellIs" dxfId="4528" priority="6114" operator="equal">
      <formula>"SD"</formula>
    </cfRule>
    <cfRule type="cellIs" dxfId="4527" priority="6115" operator="equal">
      <formula>"NO"</formula>
    </cfRule>
    <cfRule type="cellIs" dxfId="4526" priority="6116" operator="equal">
      <formula>"SI"</formula>
    </cfRule>
  </conditionalFormatting>
  <conditionalFormatting sqref="BK198:BM198">
    <cfRule type="cellIs" dxfId="4525" priority="6111" operator="equal">
      <formula>"SD"</formula>
    </cfRule>
    <cfRule type="cellIs" dxfId="4524" priority="6112" operator="equal">
      <formula>"NO"</formula>
    </cfRule>
    <cfRule type="cellIs" dxfId="4523" priority="6113" operator="equal">
      <formula>"SI"</formula>
    </cfRule>
  </conditionalFormatting>
  <conditionalFormatting sqref="AY198:BA198">
    <cfRule type="cellIs" dxfId="4522" priority="6108" operator="equal">
      <formula>"SD"</formula>
    </cfRule>
    <cfRule type="cellIs" dxfId="4521" priority="6109" operator="equal">
      <formula>"NO"</formula>
    </cfRule>
    <cfRule type="cellIs" dxfId="4520" priority="6110" operator="equal">
      <formula>"SI"</formula>
    </cfRule>
  </conditionalFormatting>
  <conditionalFormatting sqref="BD198:BI198 BB198">
    <cfRule type="cellIs" dxfId="4519" priority="6105" operator="equal">
      <formula>"SD"</formula>
    </cfRule>
    <cfRule type="cellIs" dxfId="4518" priority="6106" operator="equal">
      <formula>"NO"</formula>
    </cfRule>
    <cfRule type="cellIs" dxfId="4517" priority="6107" operator="equal">
      <formula>"SI"</formula>
    </cfRule>
  </conditionalFormatting>
  <conditionalFormatting sqref="BC198">
    <cfRule type="containsText" dxfId="4516" priority="6100" operator="containsText" text="SD">
      <formula>NOT(ISERROR(SEARCH("SD",BC198)))</formula>
    </cfRule>
    <cfRule type="containsText" dxfId="4515" priority="6101" operator="containsText" text="SI, NO CONTROLADA">
      <formula>NOT(ISERROR(SEARCH("SI, NO CONTROLADA",BC198)))</formula>
    </cfRule>
    <cfRule type="containsText" dxfId="4514" priority="6102" operator="containsText" text="SI, SIN MANEJO">
      <formula>NOT(ISERROR(SEARCH("SI, SIN MANEJO",BC198)))</formula>
    </cfRule>
    <cfRule type="containsText" dxfId="4513" priority="6103" operator="containsText" text="SI, CONTROLADA">
      <formula>NOT(ISERROR(SEARCH("SI, CONTROLADA",BC198)))</formula>
    </cfRule>
    <cfRule type="containsText" dxfId="4512" priority="6104" operator="containsText" text="NO">
      <formula>NOT(ISERROR(SEARCH("NO",BC198)))</formula>
    </cfRule>
  </conditionalFormatting>
  <conditionalFormatting sqref="BE198">
    <cfRule type="expression" dxfId="4511" priority="6099">
      <formula>IF(AND(FA198&gt;=126,FC198&lt;24),1,0)</formula>
    </cfRule>
  </conditionalFormatting>
  <conditionalFormatting sqref="P199">
    <cfRule type="containsText" dxfId="4510" priority="6095" operator="containsText" text="SI">
      <formula>NOT(ISERROR(SEARCH("SI",P199)))</formula>
    </cfRule>
    <cfRule type="containsText" dxfId="4509" priority="6096" operator="containsText" text="NO">
      <formula>NOT(ISERROR(SEARCH("NO",P199)))</formula>
    </cfRule>
    <cfRule type="containsText" dxfId="4508" priority="6097" operator="containsText" text="NA">
      <formula>NOT(ISERROR(SEARCH("NA",P199)))</formula>
    </cfRule>
  </conditionalFormatting>
  <conditionalFormatting sqref="Q199">
    <cfRule type="containsText" dxfId="4507" priority="6087" operator="containsText" text="SE TRASLADO DE EPS">
      <formula>NOT(ISERROR(SEARCH("SE TRASLADO DE EPS",Q199)))</formula>
    </cfRule>
    <cfRule type="containsText" dxfId="4506" priority="6090" operator="containsText" text="NOVEDAD">
      <formula>NOT(ISERROR(SEARCH("NOVEDAD",Q199)))</formula>
    </cfRule>
    <cfRule type="containsText" dxfId="4505" priority="6091" operator="containsText" text="IDENTIDAD">
      <formula>NOT(ISERROR(SEARCH("IDENTIDAD",Q199)))</formula>
    </cfRule>
    <cfRule type="containsText" dxfId="4504" priority="6092" operator="containsText" text="CPN">
      <formula>NOT(ISERROR(SEARCH("CPN",Q199)))</formula>
    </cfRule>
    <cfRule type="containsText" dxfId="4503" priority="6093" operator="containsText" text="VIENE">
      <formula>NOT(ISERROR(SEARCH("VIENE",Q199)))</formula>
    </cfRule>
    <cfRule type="cellIs" dxfId="4502" priority="6094" operator="equal">
      <formula>"TRAMITE DE PORTABILIDAD"</formula>
    </cfRule>
  </conditionalFormatting>
  <conditionalFormatting sqref="Q199">
    <cfRule type="containsText" dxfId="4501" priority="6088" operator="containsText" text="INMIGRANTE VENEZOLANA">
      <formula>NOT(ISERROR(SEARCH("INMIGRANTE VENEZOLANA",Q199)))</formula>
    </cfRule>
    <cfRule type="containsText" dxfId="4500" priority="6089" operator="containsText" text="SIN AFILIACIÓN A EPS">
      <formula>NOT(ISERROR(SEARCH("SIN AFILIACIÓN A EPS",Q199)))</formula>
    </cfRule>
  </conditionalFormatting>
  <conditionalFormatting sqref="AC199">
    <cfRule type="containsText" dxfId="4499" priority="6083" operator="containsText" text="SABE">
      <formula>NOT(ISERROR(SEARCH("SABE",AC199)))</formula>
    </cfRule>
    <cfRule type="containsText" dxfId="4498" priority="6084" operator="containsText" text="SECUNDARIA">
      <formula>NOT(ISERROR(SEARCH("SECUNDARIA",AC199)))</formula>
    </cfRule>
    <cfRule type="containsText" dxfId="4497" priority="6085" operator="containsText" text="PRIMARIA INCOMPLETA">
      <formula>NOT(ISERROR(SEARCH("PRIMARIA INCOMPLETA",AC199)))</formula>
    </cfRule>
    <cfRule type="cellIs" dxfId="4496" priority="6086" operator="equal">
      <formula>"ANALFABETA"</formula>
    </cfRule>
  </conditionalFormatting>
  <conditionalFormatting sqref="AL199:AR199">
    <cfRule type="cellIs" dxfId="4495" priority="6077" operator="equal">
      <formula>"SD"</formula>
    </cfRule>
    <cfRule type="cellIs" dxfId="4494" priority="6078" operator="equal">
      <formula>"NO"</formula>
    </cfRule>
    <cfRule type="cellIs" dxfId="4493" priority="6079" operator="equal">
      <formula>"SI"</formula>
    </cfRule>
  </conditionalFormatting>
  <conditionalFormatting sqref="AK199">
    <cfRule type="containsText" dxfId="4492" priority="6074" operator="containsText" text="COMPLETAR EVALUACIÓN">
      <formula>NOT(ISERROR(SEARCH("COMPLETAR EVALUACIÓN",AK199)))</formula>
    </cfRule>
    <cfRule type="containsText" dxfId="4491" priority="6075" operator="containsText" text="CON RIESGO">
      <formula>NOT(ISERROR(SEARCH("CON RIESGO",AK199)))</formula>
    </cfRule>
    <cfRule type="containsText" dxfId="4490" priority="6076" operator="containsText" text="SIN RIESGO">
      <formula>NOT(ISERROR(SEARCH("SIN RIESGO",AK199)))</formula>
    </cfRule>
  </conditionalFormatting>
  <conditionalFormatting sqref="AG199:AH199 AJ199">
    <cfRule type="cellIs" dxfId="4489" priority="6071" operator="equal">
      <formula>"SD"</formula>
    </cfRule>
    <cfRule type="cellIs" dxfId="4488" priority="6072" operator="equal">
      <formula>"NO"</formula>
    </cfRule>
    <cfRule type="cellIs" dxfId="4487" priority="6073" operator="equal">
      <formula>"SI"</formula>
    </cfRule>
  </conditionalFormatting>
  <conditionalFormatting sqref="AI199">
    <cfRule type="containsText" dxfId="4486" priority="6064" operator="containsText" text="HABITANTE DE CALLE">
      <formula>NOT(ISERROR(SEARCH("HABITANTE DE CALLE",AI199)))</formula>
    </cfRule>
    <cfRule type="containsText" dxfId="4485" priority="6067" operator="containsText" text="NINGUNO">
      <formula>NOT(ISERROR(SEARCH("NINGUNO",AI199)))</formula>
    </cfRule>
    <cfRule type="containsText" dxfId="4484" priority="6068" operator="containsText" text="MIGRATORIA">
      <formula>NOT(ISERROR(SEARCH("MIGRATORIA",AI199)))</formula>
    </cfRule>
    <cfRule type="containsText" dxfId="4483" priority="6069" operator="containsText" text="DISCAPACIDAD">
      <formula>NOT(ISERROR(SEARCH("DISCAPACIDAD",AI199)))</formula>
    </cfRule>
    <cfRule type="containsText" dxfId="4482" priority="6070" operator="containsText" text="DESPLAZADA">
      <formula>NOT(ISERROR(SEARCH("DESPLAZADA",AI199)))</formula>
    </cfRule>
  </conditionalFormatting>
  <conditionalFormatting sqref="AE199:AF199">
    <cfRule type="containsText" dxfId="4481" priority="6065" operator="containsText" text="NO">
      <formula>NOT(ISERROR(SEARCH("NO",AE199)))</formula>
    </cfRule>
    <cfRule type="containsText" dxfId="4480" priority="6066" operator="containsText" text="SI">
      <formula>NOT(ISERROR(SEARCH("SI",AE199)))</formula>
    </cfRule>
  </conditionalFormatting>
  <conditionalFormatting sqref="AX199">
    <cfRule type="cellIs" dxfId="4479" priority="6061" operator="equal">
      <formula>"SD"</formula>
    </cfRule>
    <cfRule type="cellIs" dxfId="4478" priority="6062" operator="equal">
      <formula>"NO"</formula>
    </cfRule>
    <cfRule type="cellIs" dxfId="4477" priority="6063" operator="equal">
      <formula>"SI"</formula>
    </cfRule>
  </conditionalFormatting>
  <conditionalFormatting sqref="BK199:BM199">
    <cfRule type="cellIs" dxfId="4476" priority="6058" operator="equal">
      <formula>"SD"</formula>
    </cfRule>
    <cfRule type="cellIs" dxfId="4475" priority="6059" operator="equal">
      <formula>"NO"</formula>
    </cfRule>
    <cfRule type="cellIs" dxfId="4474" priority="6060" operator="equal">
      <formula>"SI"</formula>
    </cfRule>
  </conditionalFormatting>
  <conditionalFormatting sqref="AY199:BA199">
    <cfRule type="cellIs" dxfId="4473" priority="6055" operator="equal">
      <formula>"SD"</formula>
    </cfRule>
    <cfRule type="cellIs" dxfId="4472" priority="6056" operator="equal">
      <formula>"NO"</formula>
    </cfRule>
    <cfRule type="cellIs" dxfId="4471" priority="6057" operator="equal">
      <formula>"SI"</formula>
    </cfRule>
  </conditionalFormatting>
  <conditionalFormatting sqref="BD199:BI199 BB199">
    <cfRule type="cellIs" dxfId="4470" priority="6052" operator="equal">
      <formula>"SD"</formula>
    </cfRule>
    <cfRule type="cellIs" dxfId="4469" priority="6053" operator="equal">
      <formula>"NO"</formula>
    </cfRule>
    <cfRule type="cellIs" dxfId="4468" priority="6054" operator="equal">
      <formula>"SI"</formula>
    </cfRule>
  </conditionalFormatting>
  <conditionalFormatting sqref="BC199">
    <cfRule type="containsText" dxfId="4467" priority="6047" operator="containsText" text="SD">
      <formula>NOT(ISERROR(SEARCH("SD",BC199)))</formula>
    </cfRule>
    <cfRule type="containsText" dxfId="4466" priority="6048" operator="containsText" text="SI, NO CONTROLADA">
      <formula>NOT(ISERROR(SEARCH("SI, NO CONTROLADA",BC199)))</formula>
    </cfRule>
    <cfRule type="containsText" dxfId="4465" priority="6049" operator="containsText" text="SI, SIN MANEJO">
      <formula>NOT(ISERROR(SEARCH("SI, SIN MANEJO",BC199)))</formula>
    </cfRule>
    <cfRule type="containsText" dxfId="4464" priority="6050" operator="containsText" text="SI, CONTROLADA">
      <formula>NOT(ISERROR(SEARCH("SI, CONTROLADA",BC199)))</formula>
    </cfRule>
    <cfRule type="containsText" dxfId="4463" priority="6051" operator="containsText" text="NO">
      <formula>NOT(ISERROR(SEARCH("NO",BC199)))</formula>
    </cfRule>
  </conditionalFormatting>
  <conditionalFormatting sqref="BE199">
    <cfRule type="expression" dxfId="4462" priority="6046">
      <formula>IF(AND(FA199&gt;=126,FC199&lt;24),1,0)</formula>
    </cfRule>
  </conditionalFormatting>
  <conditionalFormatting sqref="HV199 HX199">
    <cfRule type="containsText" dxfId="4461" priority="6042" operator="containsText" text="NO SE FORMULA">
      <formula>NOT(ISERROR(SEARCH("NO SE FORMULA",HV199)))</formula>
    </cfRule>
    <cfRule type="containsText" dxfId="4460" priority="6043" operator="containsText" text="OTRO">
      <formula>NOT(ISERROR(SEARCH("OTRO",HV199)))</formula>
    </cfRule>
    <cfRule type="containsText" dxfId="4459" priority="6044" operator="containsText" text="IRREGULAR">
      <formula>NOT(ISERROR(SEARCH("IRREGULAR",HV199)))</formula>
    </cfRule>
    <cfRule type="containsText" dxfId="4458" priority="6045" operator="containsText" text="ADECUADO">
      <formula>NOT(ISERROR(SEARCH("ADECUADO",HV199)))</formula>
    </cfRule>
  </conditionalFormatting>
  <conditionalFormatting sqref="L200">
    <cfRule type="containsText" dxfId="4457" priority="6024" operator="containsText" text="Empleo informal">
      <formula>NOT(ISERROR(SEARCH("Empleo informal",L200)))</formula>
    </cfRule>
    <cfRule type="containsText" dxfId="4456" priority="6025" operator="containsText" text="Empleada formalmente con riesgo a tóxicos">
      <formula>NOT(ISERROR(SEARCH("Empleada formalmente con riesgo a tóxicos",L200)))</formula>
    </cfRule>
    <cfRule type="containsText" dxfId="4455" priority="6026" operator="containsText" text="Empleada formalmente con riesgo de accidente laboral">
      <formula>NOT(ISERROR(SEARCH("Empleada formalmente con riesgo de accidente laboral",L200)))</formula>
    </cfRule>
    <cfRule type="containsText" dxfId="4454" priority="6027" operator="containsText" text="Empleada formalmente por jornada laboral extensa">
      <formula>NOT(ISERROR(SEARCH("Empleada formalmente por jornada laboral extensa",L200)))</formula>
    </cfRule>
    <cfRule type="containsText" dxfId="4453" priority="6028" operator="containsText" text="Empleada formalmente sin riesgo">
      <formula>NOT(ISERROR(SEARCH("Empleada formalmente sin riesgo",L200)))</formula>
    </cfRule>
    <cfRule type="containsText" dxfId="4452" priority="6029" operator="containsText" text="Actualmente desempleada">
      <formula>NOT(ISERROR(SEARCH("Actualmente desempleada",L200)))</formula>
    </cfRule>
    <cfRule type="containsText" dxfId="4451" priority="6030" operator="containsText" text="Hogar sin apoyo">
      <formula>NOT(ISERROR(SEARCH("Hogar sin apoyo",L200)))</formula>
    </cfRule>
    <cfRule type="containsText" dxfId="4450" priority="6031" operator="containsText" text="Empleada formalmente sin riesgo">
      <formula>NOT(ISERROR(SEARCH("Empleada formalmente sin riesgo",L200)))</formula>
    </cfRule>
    <cfRule type="containsText" dxfId="4449" priority="6032" operator="containsText" text="Hogar Con apoyo">
      <formula>NOT(ISERROR(SEARCH("Hogar Con apoyo",L200)))</formula>
    </cfRule>
  </conditionalFormatting>
  <conditionalFormatting sqref="Q200">
    <cfRule type="containsText" dxfId="4448" priority="6016" operator="containsText" text="SE TRASLADO DE EPS">
      <formula>NOT(ISERROR(SEARCH("SE TRASLADO DE EPS",Q200)))</formula>
    </cfRule>
    <cfRule type="containsText" dxfId="4447" priority="6019" operator="containsText" text="NOVEDAD">
      <formula>NOT(ISERROR(SEARCH("NOVEDAD",Q200)))</formula>
    </cfRule>
    <cfRule type="containsText" dxfId="4446" priority="6020" operator="containsText" text="IDENTIDAD">
      <formula>NOT(ISERROR(SEARCH("IDENTIDAD",Q200)))</formula>
    </cfRule>
    <cfRule type="containsText" dxfId="4445" priority="6021" operator="containsText" text="CPN">
      <formula>NOT(ISERROR(SEARCH("CPN",Q200)))</formula>
    </cfRule>
    <cfRule type="containsText" dxfId="4444" priority="6022" operator="containsText" text="VIENE">
      <formula>NOT(ISERROR(SEARCH("VIENE",Q200)))</formula>
    </cfRule>
    <cfRule type="cellIs" dxfId="4443" priority="6023" operator="equal">
      <formula>"TRAMITE DE PORTABILIDAD"</formula>
    </cfRule>
  </conditionalFormatting>
  <conditionalFormatting sqref="Q200">
    <cfRule type="containsText" dxfId="4442" priority="6017" operator="containsText" text="INMIGRANTE VENEZOLANA">
      <formula>NOT(ISERROR(SEARCH("INMIGRANTE VENEZOLANA",Q200)))</formula>
    </cfRule>
    <cfRule type="containsText" dxfId="4441" priority="6018" operator="containsText" text="SIN AFILIACIÓN A EPS">
      <formula>NOT(ISERROR(SEARCH("SIN AFILIACIÓN A EPS",Q200)))</formula>
    </cfRule>
  </conditionalFormatting>
  <conditionalFormatting sqref="AC200">
    <cfRule type="containsText" dxfId="4440" priority="6012" operator="containsText" text="SABE">
      <formula>NOT(ISERROR(SEARCH("SABE",AC200)))</formula>
    </cfRule>
    <cfRule type="containsText" dxfId="4439" priority="6013" operator="containsText" text="SECUNDARIA">
      <formula>NOT(ISERROR(SEARCH("SECUNDARIA",AC200)))</formula>
    </cfRule>
    <cfRule type="containsText" dxfId="4438" priority="6014" operator="containsText" text="PRIMARIA INCOMPLETA">
      <formula>NOT(ISERROR(SEARCH("PRIMARIA INCOMPLETA",AC200)))</formula>
    </cfRule>
    <cfRule type="cellIs" dxfId="4437" priority="6015" operator="equal">
      <formula>"ANALFABETA"</formula>
    </cfRule>
  </conditionalFormatting>
  <conditionalFormatting sqref="AL200:AR200">
    <cfRule type="cellIs" dxfId="4436" priority="6006" operator="equal">
      <formula>"SD"</formula>
    </cfRule>
    <cfRule type="cellIs" dxfId="4435" priority="6007" operator="equal">
      <formula>"NO"</formula>
    </cfRule>
    <cfRule type="cellIs" dxfId="4434" priority="6008" operator="equal">
      <formula>"SI"</formula>
    </cfRule>
  </conditionalFormatting>
  <conditionalFormatting sqref="AK200">
    <cfRule type="containsText" dxfId="4433" priority="6003" operator="containsText" text="COMPLETAR EVALUACIÓN">
      <formula>NOT(ISERROR(SEARCH("COMPLETAR EVALUACIÓN",AK200)))</formula>
    </cfRule>
    <cfRule type="containsText" dxfId="4432" priority="6004" operator="containsText" text="CON RIESGO">
      <formula>NOT(ISERROR(SEARCH("CON RIESGO",AK200)))</formula>
    </cfRule>
    <cfRule type="containsText" dxfId="4431" priority="6005" operator="containsText" text="SIN RIESGO">
      <formula>NOT(ISERROR(SEARCH("SIN RIESGO",AK200)))</formula>
    </cfRule>
  </conditionalFormatting>
  <conditionalFormatting sqref="AG200:AH200 AJ200">
    <cfRule type="cellIs" dxfId="4430" priority="6000" operator="equal">
      <formula>"SD"</formula>
    </cfRule>
    <cfRule type="cellIs" dxfId="4429" priority="6001" operator="equal">
      <formula>"NO"</formula>
    </cfRule>
    <cfRule type="cellIs" dxfId="4428" priority="6002" operator="equal">
      <formula>"SI"</formula>
    </cfRule>
  </conditionalFormatting>
  <conditionalFormatting sqref="AI200">
    <cfRule type="containsText" dxfId="4427" priority="5993" operator="containsText" text="HABITANTE DE CALLE">
      <formula>NOT(ISERROR(SEARCH("HABITANTE DE CALLE",AI200)))</formula>
    </cfRule>
    <cfRule type="containsText" dxfId="4426" priority="5996" operator="containsText" text="NINGUNO">
      <formula>NOT(ISERROR(SEARCH("NINGUNO",AI200)))</formula>
    </cfRule>
    <cfRule type="containsText" dxfId="4425" priority="5997" operator="containsText" text="MIGRATORIA">
      <formula>NOT(ISERROR(SEARCH("MIGRATORIA",AI200)))</formula>
    </cfRule>
    <cfRule type="containsText" dxfId="4424" priority="5998" operator="containsText" text="DISCAPACIDAD">
      <formula>NOT(ISERROR(SEARCH("DISCAPACIDAD",AI200)))</formula>
    </cfRule>
    <cfRule type="containsText" dxfId="4423" priority="5999" operator="containsText" text="DESPLAZADA">
      <formula>NOT(ISERROR(SEARCH("DESPLAZADA",AI200)))</formula>
    </cfRule>
  </conditionalFormatting>
  <conditionalFormatting sqref="AE200:AF200">
    <cfRule type="containsText" dxfId="4422" priority="5994" operator="containsText" text="NO">
      <formula>NOT(ISERROR(SEARCH("NO",AE200)))</formula>
    </cfRule>
    <cfRule type="containsText" dxfId="4421" priority="5995" operator="containsText" text="SI">
      <formula>NOT(ISERROR(SEARCH("SI",AE200)))</formula>
    </cfRule>
  </conditionalFormatting>
  <conditionalFormatting sqref="AX200">
    <cfRule type="cellIs" dxfId="4420" priority="5990" operator="equal">
      <formula>"SD"</formula>
    </cfRule>
    <cfRule type="cellIs" dxfId="4419" priority="5991" operator="equal">
      <formula>"NO"</formula>
    </cfRule>
    <cfRule type="cellIs" dxfId="4418" priority="5992" operator="equal">
      <formula>"SI"</formula>
    </cfRule>
  </conditionalFormatting>
  <conditionalFormatting sqref="BK200:BM200">
    <cfRule type="cellIs" dxfId="4417" priority="5987" operator="equal">
      <formula>"SD"</formula>
    </cfRule>
    <cfRule type="cellIs" dxfId="4416" priority="5988" operator="equal">
      <formula>"NO"</formula>
    </cfRule>
    <cfRule type="cellIs" dxfId="4415" priority="5989" operator="equal">
      <formula>"SI"</formula>
    </cfRule>
  </conditionalFormatting>
  <conditionalFormatting sqref="AY200:BA200">
    <cfRule type="cellIs" dxfId="4414" priority="5984" operator="equal">
      <formula>"SD"</formula>
    </cfRule>
    <cfRule type="cellIs" dxfId="4413" priority="5985" operator="equal">
      <formula>"NO"</formula>
    </cfRule>
    <cfRule type="cellIs" dxfId="4412" priority="5986" operator="equal">
      <formula>"SI"</formula>
    </cfRule>
  </conditionalFormatting>
  <conditionalFormatting sqref="BD200:BI200 BB200">
    <cfRule type="cellIs" dxfId="4411" priority="5981" operator="equal">
      <formula>"SD"</formula>
    </cfRule>
    <cfRule type="cellIs" dxfId="4410" priority="5982" operator="equal">
      <formula>"NO"</formula>
    </cfRule>
    <cfRule type="cellIs" dxfId="4409" priority="5983" operator="equal">
      <formula>"SI"</formula>
    </cfRule>
  </conditionalFormatting>
  <conditionalFormatting sqref="BC200">
    <cfRule type="containsText" dxfId="4408" priority="5976" operator="containsText" text="SD">
      <formula>NOT(ISERROR(SEARCH("SD",BC200)))</formula>
    </cfRule>
    <cfRule type="containsText" dxfId="4407" priority="5977" operator="containsText" text="SI, NO CONTROLADA">
      <formula>NOT(ISERROR(SEARCH("SI, NO CONTROLADA",BC200)))</formula>
    </cfRule>
    <cfRule type="containsText" dxfId="4406" priority="5978" operator="containsText" text="SI, SIN MANEJO">
      <formula>NOT(ISERROR(SEARCH("SI, SIN MANEJO",BC200)))</formula>
    </cfRule>
    <cfRule type="containsText" dxfId="4405" priority="5979" operator="containsText" text="SI, CONTROLADA">
      <formula>NOT(ISERROR(SEARCH("SI, CONTROLADA",BC200)))</formula>
    </cfRule>
    <cfRule type="containsText" dxfId="4404" priority="5980" operator="containsText" text="NO">
      <formula>NOT(ISERROR(SEARCH("NO",BC200)))</formula>
    </cfRule>
  </conditionalFormatting>
  <conditionalFormatting sqref="BE200">
    <cfRule type="expression" dxfId="4403" priority="5975">
      <formula>IF(AND(FA200&gt;=126,FC200&lt;24),1,0)</formula>
    </cfRule>
  </conditionalFormatting>
  <conditionalFormatting sqref="HV200">
    <cfRule type="containsText" dxfId="4402" priority="5971" operator="containsText" text="NO SE FORMULA">
      <formula>NOT(ISERROR(SEARCH("NO SE FORMULA",HV200)))</formula>
    </cfRule>
    <cfRule type="containsText" dxfId="4401" priority="5972" operator="containsText" text="OTRO">
      <formula>NOT(ISERROR(SEARCH("OTRO",HV200)))</formula>
    </cfRule>
    <cfRule type="containsText" dxfId="4400" priority="5973" operator="containsText" text="IRREGULAR">
      <formula>NOT(ISERROR(SEARCH("IRREGULAR",HV200)))</formula>
    </cfRule>
    <cfRule type="containsText" dxfId="4399" priority="5974" operator="containsText" text="ADECUADO">
      <formula>NOT(ISERROR(SEARCH("ADECUADO",HV200)))</formula>
    </cfRule>
  </conditionalFormatting>
  <conditionalFormatting sqref="L201">
    <cfRule type="containsText" dxfId="4398" priority="5962" operator="containsText" text="Empleo informal">
      <formula>NOT(ISERROR(SEARCH("Empleo informal",L201)))</formula>
    </cfRule>
    <cfRule type="containsText" dxfId="4397" priority="5963" operator="containsText" text="Empleada formalmente con riesgo a tóxicos">
      <formula>NOT(ISERROR(SEARCH("Empleada formalmente con riesgo a tóxicos",L201)))</formula>
    </cfRule>
    <cfRule type="containsText" dxfId="4396" priority="5964" operator="containsText" text="Empleada formalmente con riesgo de accidente laboral">
      <formula>NOT(ISERROR(SEARCH("Empleada formalmente con riesgo de accidente laboral",L201)))</formula>
    </cfRule>
    <cfRule type="containsText" dxfId="4395" priority="5965" operator="containsText" text="Empleada formalmente por jornada laboral extensa">
      <formula>NOT(ISERROR(SEARCH("Empleada formalmente por jornada laboral extensa",L201)))</formula>
    </cfRule>
    <cfRule type="containsText" dxfId="4394" priority="5966" operator="containsText" text="Empleada formalmente sin riesgo">
      <formula>NOT(ISERROR(SEARCH("Empleada formalmente sin riesgo",L201)))</formula>
    </cfRule>
    <cfRule type="containsText" dxfId="4393" priority="5967" operator="containsText" text="Actualmente desempleada">
      <formula>NOT(ISERROR(SEARCH("Actualmente desempleada",L201)))</formula>
    </cfRule>
    <cfRule type="containsText" dxfId="4392" priority="5968" operator="containsText" text="Hogar sin apoyo">
      <formula>NOT(ISERROR(SEARCH("Hogar sin apoyo",L201)))</formula>
    </cfRule>
    <cfRule type="containsText" dxfId="4391" priority="5969" operator="containsText" text="Empleada formalmente sin riesgo">
      <formula>NOT(ISERROR(SEARCH("Empleada formalmente sin riesgo",L201)))</formula>
    </cfRule>
    <cfRule type="containsText" dxfId="4390" priority="5970" operator="containsText" text="Hogar Con apoyo">
      <formula>NOT(ISERROR(SEARCH("Hogar Con apoyo",L201)))</formula>
    </cfRule>
  </conditionalFormatting>
  <conditionalFormatting sqref="Q201">
    <cfRule type="containsText" dxfId="4389" priority="5954" operator="containsText" text="SE TRASLADO DE EPS">
      <formula>NOT(ISERROR(SEARCH("SE TRASLADO DE EPS",Q201)))</formula>
    </cfRule>
    <cfRule type="containsText" dxfId="4388" priority="5957" operator="containsText" text="NOVEDAD">
      <formula>NOT(ISERROR(SEARCH("NOVEDAD",Q201)))</formula>
    </cfRule>
    <cfRule type="containsText" dxfId="4387" priority="5958" operator="containsText" text="IDENTIDAD">
      <formula>NOT(ISERROR(SEARCH("IDENTIDAD",Q201)))</formula>
    </cfRule>
    <cfRule type="containsText" dxfId="4386" priority="5959" operator="containsText" text="CPN">
      <formula>NOT(ISERROR(SEARCH("CPN",Q201)))</formula>
    </cfRule>
    <cfRule type="containsText" dxfId="4385" priority="5960" operator="containsText" text="VIENE">
      <formula>NOT(ISERROR(SEARCH("VIENE",Q201)))</formula>
    </cfRule>
    <cfRule type="cellIs" dxfId="4384" priority="5961" operator="equal">
      <formula>"TRAMITE DE PORTABILIDAD"</formula>
    </cfRule>
  </conditionalFormatting>
  <conditionalFormatting sqref="Q201">
    <cfRule type="containsText" dxfId="4383" priority="5955" operator="containsText" text="INMIGRANTE VENEZOLANA">
      <formula>NOT(ISERROR(SEARCH("INMIGRANTE VENEZOLANA",Q201)))</formula>
    </cfRule>
    <cfRule type="containsText" dxfId="4382" priority="5956" operator="containsText" text="SIN AFILIACIÓN A EPS">
      <formula>NOT(ISERROR(SEARCH("SIN AFILIACIÓN A EPS",Q201)))</formula>
    </cfRule>
  </conditionalFormatting>
  <conditionalFormatting sqref="AC201">
    <cfRule type="containsText" dxfId="4381" priority="5950" operator="containsText" text="SABE">
      <formula>NOT(ISERROR(SEARCH("SABE",AC201)))</formula>
    </cfRule>
    <cfRule type="containsText" dxfId="4380" priority="5951" operator="containsText" text="SECUNDARIA">
      <formula>NOT(ISERROR(SEARCH("SECUNDARIA",AC201)))</formula>
    </cfRule>
    <cfRule type="containsText" dxfId="4379" priority="5952" operator="containsText" text="PRIMARIA INCOMPLETA">
      <formula>NOT(ISERROR(SEARCH("PRIMARIA INCOMPLETA",AC201)))</formula>
    </cfRule>
    <cfRule type="cellIs" dxfId="4378" priority="5953" operator="equal">
      <formula>"ANALFABETA"</formula>
    </cfRule>
  </conditionalFormatting>
  <conditionalFormatting sqref="AL201:AR201">
    <cfRule type="cellIs" dxfId="4377" priority="5944" operator="equal">
      <formula>"SD"</formula>
    </cfRule>
    <cfRule type="cellIs" dxfId="4376" priority="5945" operator="equal">
      <formula>"NO"</formula>
    </cfRule>
    <cfRule type="cellIs" dxfId="4375" priority="5946" operator="equal">
      <formula>"SI"</formula>
    </cfRule>
  </conditionalFormatting>
  <conditionalFormatting sqref="AK201">
    <cfRule type="containsText" dxfId="4374" priority="5941" operator="containsText" text="COMPLETAR EVALUACIÓN">
      <formula>NOT(ISERROR(SEARCH("COMPLETAR EVALUACIÓN",AK201)))</formula>
    </cfRule>
    <cfRule type="containsText" dxfId="4373" priority="5942" operator="containsText" text="CON RIESGO">
      <formula>NOT(ISERROR(SEARCH("CON RIESGO",AK201)))</formula>
    </cfRule>
    <cfRule type="containsText" dxfId="4372" priority="5943" operator="containsText" text="SIN RIESGO">
      <formula>NOT(ISERROR(SEARCH("SIN RIESGO",AK201)))</formula>
    </cfRule>
  </conditionalFormatting>
  <conditionalFormatting sqref="AG201:AH201 AJ201">
    <cfRule type="cellIs" dxfId="4371" priority="5938" operator="equal">
      <formula>"SD"</formula>
    </cfRule>
    <cfRule type="cellIs" dxfId="4370" priority="5939" operator="equal">
      <formula>"NO"</formula>
    </cfRule>
    <cfRule type="cellIs" dxfId="4369" priority="5940" operator="equal">
      <formula>"SI"</formula>
    </cfRule>
  </conditionalFormatting>
  <conditionalFormatting sqref="AI201">
    <cfRule type="containsText" dxfId="4368" priority="5931" operator="containsText" text="HABITANTE DE CALLE">
      <formula>NOT(ISERROR(SEARCH("HABITANTE DE CALLE",AI201)))</formula>
    </cfRule>
    <cfRule type="containsText" dxfId="4367" priority="5934" operator="containsText" text="NINGUNO">
      <formula>NOT(ISERROR(SEARCH("NINGUNO",AI201)))</formula>
    </cfRule>
    <cfRule type="containsText" dxfId="4366" priority="5935" operator="containsText" text="MIGRATORIA">
      <formula>NOT(ISERROR(SEARCH("MIGRATORIA",AI201)))</formula>
    </cfRule>
    <cfRule type="containsText" dxfId="4365" priority="5936" operator="containsText" text="DISCAPACIDAD">
      <formula>NOT(ISERROR(SEARCH("DISCAPACIDAD",AI201)))</formula>
    </cfRule>
    <cfRule type="containsText" dxfId="4364" priority="5937" operator="containsText" text="DESPLAZADA">
      <formula>NOT(ISERROR(SEARCH("DESPLAZADA",AI201)))</formula>
    </cfRule>
  </conditionalFormatting>
  <conditionalFormatting sqref="AE201:AF201">
    <cfRule type="containsText" dxfId="4363" priority="5932" operator="containsText" text="NO">
      <formula>NOT(ISERROR(SEARCH("NO",AE201)))</formula>
    </cfRule>
    <cfRule type="containsText" dxfId="4362" priority="5933" operator="containsText" text="SI">
      <formula>NOT(ISERROR(SEARCH("SI",AE201)))</formula>
    </cfRule>
  </conditionalFormatting>
  <conditionalFormatting sqref="AX201">
    <cfRule type="cellIs" dxfId="4361" priority="5928" operator="equal">
      <formula>"SD"</formula>
    </cfRule>
    <cfRule type="cellIs" dxfId="4360" priority="5929" operator="equal">
      <formula>"NO"</formula>
    </cfRule>
    <cfRule type="cellIs" dxfId="4359" priority="5930" operator="equal">
      <formula>"SI"</formula>
    </cfRule>
  </conditionalFormatting>
  <conditionalFormatting sqref="BK201:BM201">
    <cfRule type="cellIs" dxfId="4358" priority="5925" operator="equal">
      <formula>"SD"</formula>
    </cfRule>
    <cfRule type="cellIs" dxfId="4357" priority="5926" operator="equal">
      <formula>"NO"</formula>
    </cfRule>
    <cfRule type="cellIs" dxfId="4356" priority="5927" operator="equal">
      <formula>"SI"</formula>
    </cfRule>
  </conditionalFormatting>
  <conditionalFormatting sqref="AY201:BA201">
    <cfRule type="cellIs" dxfId="4355" priority="5922" operator="equal">
      <formula>"SD"</formula>
    </cfRule>
    <cfRule type="cellIs" dxfId="4354" priority="5923" operator="equal">
      <formula>"NO"</formula>
    </cfRule>
    <cfRule type="cellIs" dxfId="4353" priority="5924" operator="equal">
      <formula>"SI"</formula>
    </cfRule>
  </conditionalFormatting>
  <conditionalFormatting sqref="BD201:BI201 BB201">
    <cfRule type="cellIs" dxfId="4352" priority="5919" operator="equal">
      <formula>"SD"</formula>
    </cfRule>
    <cfRule type="cellIs" dxfId="4351" priority="5920" operator="equal">
      <formula>"NO"</formula>
    </cfRule>
    <cfRule type="cellIs" dxfId="4350" priority="5921" operator="equal">
      <formula>"SI"</formula>
    </cfRule>
  </conditionalFormatting>
  <conditionalFormatting sqref="BC201">
    <cfRule type="containsText" dxfId="4349" priority="5914" operator="containsText" text="SD">
      <formula>NOT(ISERROR(SEARCH("SD",BC201)))</formula>
    </cfRule>
    <cfRule type="containsText" dxfId="4348" priority="5915" operator="containsText" text="SI, NO CONTROLADA">
      <formula>NOT(ISERROR(SEARCH("SI, NO CONTROLADA",BC201)))</formula>
    </cfRule>
    <cfRule type="containsText" dxfId="4347" priority="5916" operator="containsText" text="SI, SIN MANEJO">
      <formula>NOT(ISERROR(SEARCH("SI, SIN MANEJO",BC201)))</formula>
    </cfRule>
    <cfRule type="containsText" dxfId="4346" priority="5917" operator="containsText" text="SI, CONTROLADA">
      <formula>NOT(ISERROR(SEARCH("SI, CONTROLADA",BC201)))</formula>
    </cfRule>
    <cfRule type="containsText" dxfId="4345" priority="5918" operator="containsText" text="NO">
      <formula>NOT(ISERROR(SEARCH("NO",BC201)))</formula>
    </cfRule>
  </conditionalFormatting>
  <conditionalFormatting sqref="BE201">
    <cfRule type="expression" dxfId="4344" priority="5913">
      <formula>IF(AND(FA201&gt;=126,FC201&lt;24),1,0)</formula>
    </cfRule>
  </conditionalFormatting>
  <conditionalFormatting sqref="HT201">
    <cfRule type="containsText" dxfId="4343" priority="5909" operator="containsText" text="NO SE FORMULA">
      <formula>NOT(ISERROR(SEARCH("NO SE FORMULA",HT201)))</formula>
    </cfRule>
    <cfRule type="containsText" dxfId="4342" priority="5910" operator="containsText" text="OTRO">
      <formula>NOT(ISERROR(SEARCH("OTRO",HT201)))</formula>
    </cfRule>
    <cfRule type="containsText" dxfId="4341" priority="5911" operator="containsText" text="IRREGULAR">
      <formula>NOT(ISERROR(SEARCH("IRREGULAR",HT201)))</formula>
    </cfRule>
    <cfRule type="containsText" dxfId="4340" priority="5912" operator="containsText" text="ADECUADO">
      <formula>NOT(ISERROR(SEARCH("ADECUADO",HT201)))</formula>
    </cfRule>
  </conditionalFormatting>
  <conditionalFormatting sqref="HX201">
    <cfRule type="containsText" dxfId="4339" priority="5905" operator="containsText" text="NO SE FORMULA">
      <formula>NOT(ISERROR(SEARCH("NO SE FORMULA",HX201)))</formula>
    </cfRule>
    <cfRule type="containsText" dxfId="4338" priority="5906" operator="containsText" text="OTRO">
      <formula>NOT(ISERROR(SEARCH("OTRO",HX201)))</formula>
    </cfRule>
    <cfRule type="containsText" dxfId="4337" priority="5907" operator="containsText" text="IRREGULAR">
      <formula>NOT(ISERROR(SEARCH("IRREGULAR",HX201)))</formula>
    </cfRule>
    <cfRule type="containsText" dxfId="4336" priority="5908" operator="containsText" text="ADECUADO">
      <formula>NOT(ISERROR(SEARCH("ADECUADO",HX201)))</formula>
    </cfRule>
  </conditionalFormatting>
  <conditionalFormatting sqref="L166:L167 L158 L155 L146 L142 L140 L136 L131">
    <cfRule type="containsText" dxfId="4335" priority="5896" operator="containsText" text="Empleo informal">
      <formula>NOT(ISERROR(SEARCH("Empleo informal",L131)))</formula>
    </cfRule>
    <cfRule type="containsText" dxfId="4334" priority="5897" operator="containsText" text="Empleada formalmente con riesgo a tóxicos">
      <formula>NOT(ISERROR(SEARCH("Empleada formalmente con riesgo a tóxicos",L131)))</formula>
    </cfRule>
    <cfRule type="containsText" dxfId="4333" priority="5898" operator="containsText" text="Empleada formalmente con riesgo de accidente laboral">
      <formula>NOT(ISERROR(SEARCH("Empleada formalmente con riesgo de accidente laboral",L131)))</formula>
    </cfRule>
    <cfRule type="containsText" dxfId="4332" priority="5899" operator="containsText" text="Empleada formalmente por jornada laboral extensa">
      <formula>NOT(ISERROR(SEARCH("Empleada formalmente por jornada laboral extensa",L131)))</formula>
    </cfRule>
    <cfRule type="containsText" dxfId="4331" priority="5900" operator="containsText" text="Empleada formalmente sin riesgo">
      <formula>NOT(ISERROR(SEARCH("Empleada formalmente sin riesgo",L131)))</formula>
    </cfRule>
    <cfRule type="containsText" dxfId="4330" priority="5901" operator="containsText" text="Actualmente desempleada">
      <formula>NOT(ISERROR(SEARCH("Actualmente desempleada",L131)))</formula>
    </cfRule>
    <cfRule type="containsText" dxfId="4329" priority="5902" operator="containsText" text="Hogar sin apoyo">
      <formula>NOT(ISERROR(SEARCH("Hogar sin apoyo",L131)))</formula>
    </cfRule>
    <cfRule type="containsText" dxfId="4328" priority="5903" operator="containsText" text="Empleada formalmente sin riesgo">
      <formula>NOT(ISERROR(SEARCH("Empleada formalmente sin riesgo",L131)))</formula>
    </cfRule>
    <cfRule type="containsText" dxfId="4327" priority="5904" operator="containsText" text="Hogar Con apoyo">
      <formula>NOT(ISERROR(SEARCH("Hogar Con apoyo",L131)))</formula>
    </cfRule>
  </conditionalFormatting>
  <conditionalFormatting sqref="L202">
    <cfRule type="containsText" dxfId="4326" priority="5827" operator="containsText" text="Empleo informal">
      <formula>NOT(ISERROR(SEARCH("Empleo informal",L202)))</formula>
    </cfRule>
    <cfRule type="containsText" dxfId="4325" priority="5828" operator="containsText" text="Empleada formalmente con riesgo a tóxicos">
      <formula>NOT(ISERROR(SEARCH("Empleada formalmente con riesgo a tóxicos",L202)))</formula>
    </cfRule>
    <cfRule type="containsText" dxfId="4324" priority="5829" operator="containsText" text="Empleada formalmente con riesgo de accidente laboral">
      <formula>NOT(ISERROR(SEARCH("Empleada formalmente con riesgo de accidente laboral",L202)))</formula>
    </cfRule>
    <cfRule type="containsText" dxfId="4323" priority="5830" operator="containsText" text="Empleada formalmente por jornada laboral extensa">
      <formula>NOT(ISERROR(SEARCH("Empleada formalmente por jornada laboral extensa",L202)))</formula>
    </cfRule>
    <cfRule type="containsText" dxfId="4322" priority="5831" operator="containsText" text="Empleada formalmente sin riesgo">
      <formula>NOT(ISERROR(SEARCH("Empleada formalmente sin riesgo",L202)))</formula>
    </cfRule>
    <cfRule type="containsText" dxfId="4321" priority="5832" operator="containsText" text="Actualmente desempleada">
      <formula>NOT(ISERROR(SEARCH("Actualmente desempleada",L202)))</formula>
    </cfRule>
    <cfRule type="containsText" dxfId="4320" priority="5833" operator="containsText" text="Hogar sin apoyo">
      <formula>NOT(ISERROR(SEARCH("Hogar sin apoyo",L202)))</formula>
    </cfRule>
    <cfRule type="containsText" dxfId="4319" priority="5834" operator="containsText" text="Empleada formalmente sin riesgo">
      <formula>NOT(ISERROR(SEARCH("Empleada formalmente sin riesgo",L202)))</formula>
    </cfRule>
    <cfRule type="containsText" dxfId="4318" priority="5835" operator="containsText" text="Hogar Con apoyo">
      <formula>NOT(ISERROR(SEARCH("Hogar Con apoyo",L202)))</formula>
    </cfRule>
  </conditionalFormatting>
  <conditionalFormatting sqref="L202">
    <cfRule type="containsText" dxfId="4317" priority="5818" operator="containsText" text="Empleo informal">
      <formula>NOT(ISERROR(SEARCH("Empleo informal",L202)))</formula>
    </cfRule>
    <cfRule type="containsText" dxfId="4316" priority="5819" operator="containsText" text="Empleada formalmente con riesgo a tóxicos">
      <formula>NOT(ISERROR(SEARCH("Empleada formalmente con riesgo a tóxicos",L202)))</formula>
    </cfRule>
    <cfRule type="containsText" dxfId="4315" priority="5820" operator="containsText" text="Empleada formalmente con riesgo de accidente laboral">
      <formula>NOT(ISERROR(SEARCH("Empleada formalmente con riesgo de accidente laboral",L202)))</formula>
    </cfRule>
    <cfRule type="containsText" dxfId="4314" priority="5821" operator="containsText" text="Empleada formalmente por jornada laboral extensa">
      <formula>NOT(ISERROR(SEARCH("Empleada formalmente por jornada laboral extensa",L202)))</formula>
    </cfRule>
    <cfRule type="containsText" dxfId="4313" priority="5822" operator="containsText" text="Empleada formalmente sin riesgo">
      <formula>NOT(ISERROR(SEARCH("Empleada formalmente sin riesgo",L202)))</formula>
    </cfRule>
    <cfRule type="containsText" dxfId="4312" priority="5823" operator="containsText" text="Actualmente desempleada">
      <formula>NOT(ISERROR(SEARCH("Actualmente desempleada",L202)))</formula>
    </cfRule>
    <cfRule type="containsText" dxfId="4311" priority="5824" operator="containsText" text="Hogar sin apoyo">
      <formula>NOT(ISERROR(SEARCH("Hogar sin apoyo",L202)))</formula>
    </cfRule>
    <cfRule type="containsText" dxfId="4310" priority="5825" operator="containsText" text="Empleada formalmente sin riesgo">
      <formula>NOT(ISERROR(SEARCH("Empleada formalmente sin riesgo",L202)))</formula>
    </cfRule>
    <cfRule type="containsText" dxfId="4309" priority="5826" operator="containsText" text="Hogar Con apoyo">
      <formula>NOT(ISERROR(SEARCH("Hogar Con apoyo",L202)))</formula>
    </cfRule>
  </conditionalFormatting>
  <conditionalFormatting sqref="Q202">
    <cfRule type="containsText" dxfId="4308" priority="5810" operator="containsText" text="SE TRASLADO DE EPS">
      <formula>NOT(ISERROR(SEARCH("SE TRASLADO DE EPS",Q202)))</formula>
    </cfRule>
    <cfRule type="containsText" dxfId="4307" priority="5813" operator="containsText" text="NOVEDAD">
      <formula>NOT(ISERROR(SEARCH("NOVEDAD",Q202)))</formula>
    </cfRule>
    <cfRule type="containsText" dxfId="4306" priority="5814" operator="containsText" text="IDENTIDAD">
      <formula>NOT(ISERROR(SEARCH("IDENTIDAD",Q202)))</formula>
    </cfRule>
    <cfRule type="containsText" dxfId="4305" priority="5815" operator="containsText" text="CPN">
      <formula>NOT(ISERROR(SEARCH("CPN",Q202)))</formula>
    </cfRule>
    <cfRule type="containsText" dxfId="4304" priority="5816" operator="containsText" text="VIENE">
      <formula>NOT(ISERROR(SEARCH("VIENE",Q202)))</formula>
    </cfRule>
    <cfRule type="cellIs" dxfId="4303" priority="5817" operator="equal">
      <formula>"TRAMITE DE PORTABILIDAD"</formula>
    </cfRule>
  </conditionalFormatting>
  <conditionalFormatting sqref="Q202">
    <cfRule type="containsText" dxfId="4302" priority="5811" operator="containsText" text="INMIGRANTE VENEZOLANA">
      <formula>NOT(ISERROR(SEARCH("INMIGRANTE VENEZOLANA",Q202)))</formula>
    </cfRule>
    <cfRule type="containsText" dxfId="4301" priority="5812" operator="containsText" text="SIN AFILIACIÓN A EPS">
      <formula>NOT(ISERROR(SEARCH("SIN AFILIACIÓN A EPS",Q202)))</formula>
    </cfRule>
  </conditionalFormatting>
  <conditionalFormatting sqref="AJ202 AG202:AH202 BD202:BI202 AL202:BB202 BK202:BM202">
    <cfRule type="cellIs" dxfId="4300" priority="5807" operator="equal">
      <formula>"SD"</formula>
    </cfRule>
    <cfRule type="cellIs" dxfId="4299" priority="5808" operator="equal">
      <formula>"NO"</formula>
    </cfRule>
    <cfRule type="cellIs" dxfId="4298" priority="5809" operator="equal">
      <formula>"SI"</formula>
    </cfRule>
  </conditionalFormatting>
  <conditionalFormatting sqref="AC202">
    <cfRule type="containsText" dxfId="4297" priority="5803" operator="containsText" text="SABE">
      <formula>NOT(ISERROR(SEARCH("SABE",AC202)))</formula>
    </cfRule>
    <cfRule type="containsText" dxfId="4296" priority="5804" operator="containsText" text="SECUNDARIA">
      <formula>NOT(ISERROR(SEARCH("SECUNDARIA",AC202)))</formula>
    </cfRule>
    <cfRule type="containsText" dxfId="4295" priority="5805" operator="containsText" text="PRIMARIA INCOMPLETA">
      <formula>NOT(ISERROR(SEARCH("PRIMARIA INCOMPLETA",AC202)))</formula>
    </cfRule>
    <cfRule type="cellIs" dxfId="4294" priority="5806" operator="equal">
      <formula>"ANALFABETA"</formula>
    </cfRule>
  </conditionalFormatting>
  <conditionalFormatting sqref="AW202">
    <cfRule type="cellIs" dxfId="4293" priority="5800" operator="equal">
      <formula>1</formula>
    </cfRule>
    <cfRule type="cellIs" dxfId="4292" priority="5801" operator="equal">
      <formula>"3 O MAS"</formula>
    </cfRule>
    <cfRule type="cellIs" dxfId="4291" priority="5802" operator="equal">
      <formula>2</formula>
    </cfRule>
  </conditionalFormatting>
  <conditionalFormatting sqref="AI202">
    <cfRule type="containsText" dxfId="4290" priority="5782" operator="containsText" text="HABITANTE DE CALLE">
      <formula>NOT(ISERROR(SEARCH("HABITANTE DE CALLE",AI202)))</formula>
    </cfRule>
    <cfRule type="containsText" dxfId="4289" priority="5794" operator="containsText" text="NINGUNO">
      <formula>NOT(ISERROR(SEARCH("NINGUNO",AI202)))</formula>
    </cfRule>
    <cfRule type="containsText" dxfId="4288" priority="5795" operator="containsText" text="MIGRATORIA">
      <formula>NOT(ISERROR(SEARCH("MIGRATORIA",AI202)))</formula>
    </cfRule>
    <cfRule type="containsText" dxfId="4287" priority="5796" operator="containsText" text="DISCAPACIDAD">
      <formula>NOT(ISERROR(SEARCH("DISCAPACIDAD",AI202)))</formula>
    </cfRule>
    <cfRule type="containsText" dxfId="4286" priority="5797" operator="containsText" text="DESPLAZADA">
      <formula>NOT(ISERROR(SEARCH("DESPLAZADA",AI202)))</formula>
    </cfRule>
  </conditionalFormatting>
  <conditionalFormatting sqref="AE202:AF202">
    <cfRule type="containsText" dxfId="4285" priority="5792" operator="containsText" text="NO">
      <formula>NOT(ISERROR(SEARCH("NO",AE202)))</formula>
    </cfRule>
    <cfRule type="containsText" dxfId="4284" priority="5793" operator="containsText" text="SI">
      <formula>NOT(ISERROR(SEARCH("SI",AE202)))</formula>
    </cfRule>
  </conditionalFormatting>
  <conditionalFormatting sqref="BC202">
    <cfRule type="containsText" dxfId="4283" priority="5783" operator="containsText" text="SD">
      <formula>NOT(ISERROR(SEARCH("SD",BC202)))</formula>
    </cfRule>
    <cfRule type="containsText" dxfId="4282" priority="5784" operator="containsText" text="SI, NO CONTROLADA">
      <formula>NOT(ISERROR(SEARCH("SI, NO CONTROLADA",BC202)))</formula>
    </cfRule>
    <cfRule type="containsText" dxfId="4281" priority="5785" operator="containsText" text="SI, SIN MANEJO">
      <formula>NOT(ISERROR(SEARCH("SI, SIN MANEJO",BC202)))</formula>
    </cfRule>
    <cfRule type="containsText" dxfId="4280" priority="5786" operator="containsText" text="SI, CONTROLADA">
      <formula>NOT(ISERROR(SEARCH("SI, CONTROLADA",BC202)))</formula>
    </cfRule>
    <cfRule type="containsText" dxfId="4279" priority="5787" operator="containsText" text="NO">
      <formula>NOT(ISERROR(SEARCH("NO",BC202)))</formula>
    </cfRule>
  </conditionalFormatting>
  <conditionalFormatting sqref="AC202">
    <cfRule type="containsText" dxfId="4278" priority="5778" operator="containsText" text="SABE">
      <formula>NOT(ISERROR(SEARCH("SABE",AC202)))</formula>
    </cfRule>
    <cfRule type="containsText" dxfId="4277" priority="5779" operator="containsText" text="SECUNDARIA">
      <formula>NOT(ISERROR(SEARCH("SECUNDARIA",AC202)))</formula>
    </cfRule>
    <cfRule type="containsText" dxfId="4276" priority="5780" operator="containsText" text="PRIMARIA INCOMPLETA">
      <formula>NOT(ISERROR(SEARCH("PRIMARIA INCOMPLETA",AC202)))</formula>
    </cfRule>
    <cfRule type="cellIs" dxfId="4275" priority="5781" operator="equal">
      <formula>"ANALFABETA"</formula>
    </cfRule>
  </conditionalFormatting>
  <conditionalFormatting sqref="AL202:AR202">
    <cfRule type="cellIs" dxfId="4274" priority="5772" operator="equal">
      <formula>"SD"</formula>
    </cfRule>
    <cfRule type="cellIs" dxfId="4273" priority="5773" operator="equal">
      <formula>"NO"</formula>
    </cfRule>
    <cfRule type="cellIs" dxfId="4272" priority="5774" operator="equal">
      <formula>"SI"</formula>
    </cfRule>
  </conditionalFormatting>
  <conditionalFormatting sqref="AG202:AH202 AJ202">
    <cfRule type="cellIs" dxfId="4271" priority="5766" operator="equal">
      <formula>"SD"</formula>
    </cfRule>
    <cfRule type="cellIs" dxfId="4270" priority="5767" operator="equal">
      <formula>"NO"</formula>
    </cfRule>
    <cfRule type="cellIs" dxfId="4269" priority="5768" operator="equal">
      <formula>"SI"</formula>
    </cfRule>
  </conditionalFormatting>
  <conditionalFormatting sqref="AI202">
    <cfRule type="containsText" dxfId="4268" priority="5759" operator="containsText" text="HABITANTE DE CALLE">
      <formula>NOT(ISERROR(SEARCH("HABITANTE DE CALLE",AI202)))</formula>
    </cfRule>
    <cfRule type="containsText" dxfId="4267" priority="5762" operator="containsText" text="NINGUNO">
      <formula>NOT(ISERROR(SEARCH("NINGUNO",AI202)))</formula>
    </cfRule>
    <cfRule type="containsText" dxfId="4266" priority="5763" operator="containsText" text="MIGRATORIA">
      <formula>NOT(ISERROR(SEARCH("MIGRATORIA",AI202)))</formula>
    </cfRule>
    <cfRule type="containsText" dxfId="4265" priority="5764" operator="containsText" text="DISCAPACIDAD">
      <formula>NOT(ISERROR(SEARCH("DISCAPACIDAD",AI202)))</formula>
    </cfRule>
    <cfRule type="containsText" dxfId="4264" priority="5765" operator="containsText" text="DESPLAZADA">
      <formula>NOT(ISERROR(SEARCH("DESPLAZADA",AI202)))</formula>
    </cfRule>
  </conditionalFormatting>
  <conditionalFormatting sqref="AE202:AF202">
    <cfRule type="containsText" dxfId="4263" priority="5760" operator="containsText" text="NO">
      <formula>NOT(ISERROR(SEARCH("NO",AE202)))</formula>
    </cfRule>
    <cfRule type="containsText" dxfId="4262" priority="5761" operator="containsText" text="SI">
      <formula>NOT(ISERROR(SEARCH("SI",AE202)))</formula>
    </cfRule>
  </conditionalFormatting>
  <conditionalFormatting sqref="AV202">
    <cfRule type="cellIs" dxfId="4261" priority="5756" operator="equal">
      <formula>"SD"</formula>
    </cfRule>
    <cfRule type="cellIs" dxfId="4260" priority="5757" operator="equal">
      <formula>"NO"</formula>
    </cfRule>
    <cfRule type="cellIs" dxfId="4259" priority="5758" operator="equal">
      <formula>"SI"</formula>
    </cfRule>
  </conditionalFormatting>
  <conditionalFormatting sqref="AX202">
    <cfRule type="cellIs" dxfId="4258" priority="5753" operator="equal">
      <formula>"SD"</formula>
    </cfRule>
    <cfRule type="cellIs" dxfId="4257" priority="5754" operator="equal">
      <formula>"NO"</formula>
    </cfRule>
    <cfRule type="cellIs" dxfId="4256" priority="5755" operator="equal">
      <formula>"SI"</formula>
    </cfRule>
  </conditionalFormatting>
  <conditionalFormatting sqref="BK202:BM202">
    <cfRule type="cellIs" dxfId="4255" priority="5750" operator="equal">
      <formula>"SD"</formula>
    </cfRule>
    <cfRule type="cellIs" dxfId="4254" priority="5751" operator="equal">
      <formula>"NO"</formula>
    </cfRule>
    <cfRule type="cellIs" dxfId="4253" priority="5752" operator="equal">
      <formula>"SI"</formula>
    </cfRule>
  </conditionalFormatting>
  <conditionalFormatting sqref="AY202:BA202">
    <cfRule type="cellIs" dxfId="4252" priority="5747" operator="equal">
      <formula>"SD"</formula>
    </cfRule>
    <cfRule type="cellIs" dxfId="4251" priority="5748" operator="equal">
      <formula>"NO"</formula>
    </cfRule>
    <cfRule type="cellIs" dxfId="4250" priority="5749" operator="equal">
      <formula>"SI"</formula>
    </cfRule>
  </conditionalFormatting>
  <conditionalFormatting sqref="BD202:BI202 BB202">
    <cfRule type="cellIs" dxfId="4249" priority="5744" operator="equal">
      <formula>"SD"</formula>
    </cfRule>
    <cfRule type="cellIs" dxfId="4248" priority="5745" operator="equal">
      <formula>"NO"</formula>
    </cfRule>
    <cfRule type="cellIs" dxfId="4247" priority="5746" operator="equal">
      <formula>"SI"</formula>
    </cfRule>
  </conditionalFormatting>
  <conditionalFormatting sqref="BC202">
    <cfRule type="containsText" dxfId="4246" priority="5739" operator="containsText" text="SD">
      <formula>NOT(ISERROR(SEARCH("SD",BC202)))</formula>
    </cfRule>
    <cfRule type="containsText" dxfId="4245" priority="5740" operator="containsText" text="SI, NO CONTROLADA">
      <formula>NOT(ISERROR(SEARCH("SI, NO CONTROLADA",BC202)))</formula>
    </cfRule>
    <cfRule type="containsText" dxfId="4244" priority="5741" operator="containsText" text="SI, SIN MANEJO">
      <formula>NOT(ISERROR(SEARCH("SI, SIN MANEJO",BC202)))</formula>
    </cfRule>
    <cfRule type="containsText" dxfId="4243" priority="5742" operator="containsText" text="SI, CONTROLADA">
      <formula>NOT(ISERROR(SEARCH("SI, CONTROLADA",BC202)))</formula>
    </cfRule>
    <cfRule type="containsText" dxfId="4242" priority="5743" operator="containsText" text="NO">
      <formula>NOT(ISERROR(SEARCH("NO",BC202)))</formula>
    </cfRule>
  </conditionalFormatting>
  <conditionalFormatting sqref="BE202">
    <cfRule type="expression" dxfId="4241" priority="5738">
      <formula>IF(AND(FA202&gt;=126,FC202&lt;24),1,0)</formula>
    </cfRule>
  </conditionalFormatting>
  <conditionalFormatting sqref="HV202 HT202">
    <cfRule type="containsText" dxfId="4240" priority="5734" operator="containsText" text="NO SE FORMULA">
      <formula>NOT(ISERROR(SEARCH("NO SE FORMULA",HT202)))</formula>
    </cfRule>
    <cfRule type="containsText" dxfId="4239" priority="5735" operator="containsText" text="OTRO">
      <formula>NOT(ISERROR(SEARCH("OTRO",HT202)))</formula>
    </cfRule>
    <cfRule type="containsText" dxfId="4238" priority="5736" operator="containsText" text="IRREGULAR">
      <formula>NOT(ISERROR(SEARCH("IRREGULAR",HT202)))</formula>
    </cfRule>
    <cfRule type="containsText" dxfId="4237" priority="5737" operator="containsText" text="ADECUADO">
      <formula>NOT(ISERROR(SEARCH("ADECUADO",HT202)))</formula>
    </cfRule>
  </conditionalFormatting>
  <conditionalFormatting sqref="HV202">
    <cfRule type="containsText" dxfId="4236" priority="5730" operator="containsText" text="NO SE FORMULA">
      <formula>NOT(ISERROR(SEARCH("NO SE FORMULA",HV202)))</formula>
    </cfRule>
    <cfRule type="containsText" dxfId="4235" priority="5731" operator="containsText" text="OTRO">
      <formula>NOT(ISERROR(SEARCH("OTRO",HV202)))</formula>
    </cfRule>
    <cfRule type="containsText" dxfId="4234" priority="5732" operator="containsText" text="IRREGULAR">
      <formula>NOT(ISERROR(SEARCH("IRREGULAR",HV202)))</formula>
    </cfRule>
    <cfRule type="containsText" dxfId="4233" priority="5733" operator="containsText" text="ADECUADO">
      <formula>NOT(ISERROR(SEARCH("ADECUADO",HV202)))</formula>
    </cfRule>
  </conditionalFormatting>
  <conditionalFormatting sqref="L203">
    <cfRule type="containsText" dxfId="4232" priority="5721" operator="containsText" text="Empleo informal">
      <formula>NOT(ISERROR(SEARCH("Empleo informal",L203)))</formula>
    </cfRule>
    <cfRule type="containsText" dxfId="4231" priority="5722" operator="containsText" text="Empleada formalmente con riesgo a tóxicos">
      <formula>NOT(ISERROR(SEARCH("Empleada formalmente con riesgo a tóxicos",L203)))</formula>
    </cfRule>
    <cfRule type="containsText" dxfId="4230" priority="5723" operator="containsText" text="Empleada formalmente con riesgo de accidente laboral">
      <formula>NOT(ISERROR(SEARCH("Empleada formalmente con riesgo de accidente laboral",L203)))</formula>
    </cfRule>
    <cfRule type="containsText" dxfId="4229" priority="5724" operator="containsText" text="Empleada formalmente por jornada laboral extensa">
      <formula>NOT(ISERROR(SEARCH("Empleada formalmente por jornada laboral extensa",L203)))</formula>
    </cfRule>
    <cfRule type="containsText" dxfId="4228" priority="5725" operator="containsText" text="Empleada formalmente sin riesgo">
      <formula>NOT(ISERROR(SEARCH("Empleada formalmente sin riesgo",L203)))</formula>
    </cfRule>
    <cfRule type="containsText" dxfId="4227" priority="5726" operator="containsText" text="Actualmente desempleada">
      <formula>NOT(ISERROR(SEARCH("Actualmente desempleada",L203)))</formula>
    </cfRule>
    <cfRule type="containsText" dxfId="4226" priority="5727" operator="containsText" text="Hogar sin apoyo">
      <formula>NOT(ISERROR(SEARCH("Hogar sin apoyo",L203)))</formula>
    </cfRule>
    <cfRule type="containsText" dxfId="4225" priority="5728" operator="containsText" text="Empleada formalmente sin riesgo">
      <formula>NOT(ISERROR(SEARCH("Empleada formalmente sin riesgo",L203)))</formula>
    </cfRule>
    <cfRule type="containsText" dxfId="4224" priority="5729" operator="containsText" text="Hogar Con apoyo">
      <formula>NOT(ISERROR(SEARCH("Hogar Con apoyo",L203)))</formula>
    </cfRule>
  </conditionalFormatting>
  <conditionalFormatting sqref="L203">
    <cfRule type="containsText" dxfId="4223" priority="5712" operator="containsText" text="Empleo informal">
      <formula>NOT(ISERROR(SEARCH("Empleo informal",L203)))</formula>
    </cfRule>
    <cfRule type="containsText" dxfId="4222" priority="5713" operator="containsText" text="Empleada formalmente con riesgo a tóxicos">
      <formula>NOT(ISERROR(SEARCH("Empleada formalmente con riesgo a tóxicos",L203)))</formula>
    </cfRule>
    <cfRule type="containsText" dxfId="4221" priority="5714" operator="containsText" text="Empleada formalmente con riesgo de accidente laboral">
      <formula>NOT(ISERROR(SEARCH("Empleada formalmente con riesgo de accidente laboral",L203)))</formula>
    </cfRule>
    <cfRule type="containsText" dxfId="4220" priority="5715" operator="containsText" text="Empleada formalmente por jornada laboral extensa">
      <formula>NOT(ISERROR(SEARCH("Empleada formalmente por jornada laboral extensa",L203)))</formula>
    </cfRule>
    <cfRule type="containsText" dxfId="4219" priority="5716" operator="containsText" text="Empleada formalmente sin riesgo">
      <formula>NOT(ISERROR(SEARCH("Empleada formalmente sin riesgo",L203)))</formula>
    </cfRule>
    <cfRule type="containsText" dxfId="4218" priority="5717" operator="containsText" text="Actualmente desempleada">
      <formula>NOT(ISERROR(SEARCH("Actualmente desempleada",L203)))</formula>
    </cfRule>
    <cfRule type="containsText" dxfId="4217" priority="5718" operator="containsText" text="Hogar sin apoyo">
      <formula>NOT(ISERROR(SEARCH("Hogar sin apoyo",L203)))</formula>
    </cfRule>
    <cfRule type="containsText" dxfId="4216" priority="5719" operator="containsText" text="Empleada formalmente sin riesgo">
      <formula>NOT(ISERROR(SEARCH("Empleada formalmente sin riesgo",L203)))</formula>
    </cfRule>
    <cfRule type="containsText" dxfId="4215" priority="5720" operator="containsText" text="Hogar Con apoyo">
      <formula>NOT(ISERROR(SEARCH("Hogar Con apoyo",L203)))</formula>
    </cfRule>
  </conditionalFormatting>
  <conditionalFormatting sqref="Q203">
    <cfRule type="containsText" dxfId="4214" priority="5704" operator="containsText" text="SE TRASLADO DE EPS">
      <formula>NOT(ISERROR(SEARCH("SE TRASLADO DE EPS",Q203)))</formula>
    </cfRule>
    <cfRule type="containsText" dxfId="4213" priority="5707" operator="containsText" text="NOVEDAD">
      <formula>NOT(ISERROR(SEARCH("NOVEDAD",Q203)))</formula>
    </cfRule>
    <cfRule type="containsText" dxfId="4212" priority="5708" operator="containsText" text="IDENTIDAD">
      <formula>NOT(ISERROR(SEARCH("IDENTIDAD",Q203)))</formula>
    </cfRule>
    <cfRule type="containsText" dxfId="4211" priority="5709" operator="containsText" text="CPN">
      <formula>NOT(ISERROR(SEARCH("CPN",Q203)))</formula>
    </cfRule>
    <cfRule type="containsText" dxfId="4210" priority="5710" operator="containsText" text="VIENE">
      <formula>NOT(ISERROR(SEARCH("VIENE",Q203)))</formula>
    </cfRule>
    <cfRule type="cellIs" dxfId="4209" priority="5711" operator="equal">
      <formula>"TRAMITE DE PORTABILIDAD"</formula>
    </cfRule>
  </conditionalFormatting>
  <conditionalFormatting sqref="Q203">
    <cfRule type="containsText" dxfId="4208" priority="5705" operator="containsText" text="INMIGRANTE VENEZOLANA">
      <formula>NOT(ISERROR(SEARCH("INMIGRANTE VENEZOLANA",Q203)))</formula>
    </cfRule>
    <cfRule type="containsText" dxfId="4207" priority="5706" operator="containsText" text="SIN AFILIACIÓN A EPS">
      <formula>NOT(ISERROR(SEARCH("SIN AFILIACIÓN A EPS",Q203)))</formula>
    </cfRule>
  </conditionalFormatting>
  <conditionalFormatting sqref="AJ203 AG203:AH203 AL203:AR203">
    <cfRule type="cellIs" dxfId="4206" priority="5701" operator="equal">
      <formula>"SD"</formula>
    </cfRule>
    <cfRule type="cellIs" dxfId="4205" priority="5702" operator="equal">
      <formula>"NO"</formula>
    </cfRule>
    <cfRule type="cellIs" dxfId="4204" priority="5703" operator="equal">
      <formula>"SI"</formula>
    </cfRule>
  </conditionalFormatting>
  <conditionalFormatting sqref="AI203">
    <cfRule type="containsText" dxfId="4203" priority="5688" operator="containsText" text="HABITANTE DE CALLE">
      <formula>NOT(ISERROR(SEARCH("HABITANTE DE CALLE",AI203)))</formula>
    </cfRule>
    <cfRule type="containsText" dxfId="4202" priority="5695" operator="containsText" text="NINGUNO">
      <formula>NOT(ISERROR(SEARCH("NINGUNO",AI203)))</formula>
    </cfRule>
    <cfRule type="containsText" dxfId="4201" priority="5696" operator="containsText" text="MIGRATORIA">
      <formula>NOT(ISERROR(SEARCH("MIGRATORIA",AI203)))</formula>
    </cfRule>
    <cfRule type="containsText" dxfId="4200" priority="5697" operator="containsText" text="DISCAPACIDAD">
      <formula>NOT(ISERROR(SEARCH("DISCAPACIDAD",AI203)))</formula>
    </cfRule>
    <cfRule type="containsText" dxfId="4199" priority="5698" operator="containsText" text="DESPLAZADA">
      <formula>NOT(ISERROR(SEARCH("DESPLAZADA",AI203)))</formula>
    </cfRule>
  </conditionalFormatting>
  <conditionalFormatting sqref="AE203:AF203">
    <cfRule type="containsText" dxfId="4198" priority="5693" operator="containsText" text="NO">
      <formula>NOT(ISERROR(SEARCH("NO",AE203)))</formula>
    </cfRule>
    <cfRule type="containsText" dxfId="4197" priority="5694" operator="containsText" text="SI">
      <formula>NOT(ISERROR(SEARCH("SI",AE203)))</formula>
    </cfRule>
  </conditionalFormatting>
  <conditionalFormatting sqref="AL203:AR203">
    <cfRule type="cellIs" dxfId="4196" priority="5682" operator="equal">
      <formula>"SD"</formula>
    </cfRule>
    <cfRule type="cellIs" dxfId="4195" priority="5683" operator="equal">
      <formula>"NO"</formula>
    </cfRule>
    <cfRule type="cellIs" dxfId="4194" priority="5684" operator="equal">
      <formula>"SI"</formula>
    </cfRule>
  </conditionalFormatting>
  <conditionalFormatting sqref="AG203:AH203 AJ203">
    <cfRule type="cellIs" dxfId="4193" priority="5676" operator="equal">
      <formula>"SD"</formula>
    </cfRule>
    <cfRule type="cellIs" dxfId="4192" priority="5677" operator="equal">
      <formula>"NO"</formula>
    </cfRule>
    <cfRule type="cellIs" dxfId="4191" priority="5678" operator="equal">
      <formula>"SI"</formula>
    </cfRule>
  </conditionalFormatting>
  <conditionalFormatting sqref="AI203">
    <cfRule type="containsText" dxfId="4190" priority="5669" operator="containsText" text="HABITANTE DE CALLE">
      <formula>NOT(ISERROR(SEARCH("HABITANTE DE CALLE",AI203)))</formula>
    </cfRule>
    <cfRule type="containsText" dxfId="4189" priority="5672" operator="containsText" text="NINGUNO">
      <formula>NOT(ISERROR(SEARCH("NINGUNO",AI203)))</formula>
    </cfRule>
    <cfRule type="containsText" dxfId="4188" priority="5673" operator="containsText" text="MIGRATORIA">
      <formula>NOT(ISERROR(SEARCH("MIGRATORIA",AI203)))</formula>
    </cfRule>
    <cfRule type="containsText" dxfId="4187" priority="5674" operator="containsText" text="DISCAPACIDAD">
      <formula>NOT(ISERROR(SEARCH("DISCAPACIDAD",AI203)))</formula>
    </cfRule>
    <cfRule type="containsText" dxfId="4186" priority="5675" operator="containsText" text="DESPLAZADA">
      <formula>NOT(ISERROR(SEARCH("DESPLAZADA",AI203)))</formula>
    </cfRule>
  </conditionalFormatting>
  <conditionalFormatting sqref="AE203:AF203">
    <cfRule type="containsText" dxfId="4185" priority="5670" operator="containsText" text="NO">
      <formula>NOT(ISERROR(SEARCH("NO",AE203)))</formula>
    </cfRule>
    <cfRule type="containsText" dxfId="4184" priority="5671" operator="containsText" text="SI">
      <formula>NOT(ISERROR(SEARCH("SI",AE203)))</formula>
    </cfRule>
  </conditionalFormatting>
  <conditionalFormatting sqref="AV203">
    <cfRule type="cellIs" dxfId="4183" priority="5666" operator="equal">
      <formula>"SD"</formula>
    </cfRule>
    <cfRule type="cellIs" dxfId="4182" priority="5667" operator="equal">
      <formula>"NO"</formula>
    </cfRule>
    <cfRule type="cellIs" dxfId="4181" priority="5668" operator="equal">
      <formula>"SI"</formula>
    </cfRule>
  </conditionalFormatting>
  <conditionalFormatting sqref="AV203">
    <cfRule type="cellIs" dxfId="4180" priority="5663" operator="equal">
      <formula>"SD"</formula>
    </cfRule>
    <cfRule type="cellIs" dxfId="4179" priority="5664" operator="equal">
      <formula>"NO"</formula>
    </cfRule>
    <cfRule type="cellIs" dxfId="4178" priority="5665" operator="equal">
      <formula>"SI"</formula>
    </cfRule>
  </conditionalFormatting>
  <conditionalFormatting sqref="BD203:BI203 AX203:BB203 BK203:BM203">
    <cfRule type="cellIs" dxfId="4177" priority="5660" operator="equal">
      <formula>"SD"</formula>
    </cfRule>
    <cfRule type="cellIs" dxfId="4176" priority="5661" operator="equal">
      <formula>"NO"</formula>
    </cfRule>
    <cfRule type="cellIs" dxfId="4175" priority="5662" operator="equal">
      <formula>"SI"</formula>
    </cfRule>
  </conditionalFormatting>
  <conditionalFormatting sqref="BC203">
    <cfRule type="containsText" dxfId="4174" priority="5655" operator="containsText" text="SD">
      <formula>NOT(ISERROR(SEARCH("SD",BC203)))</formula>
    </cfRule>
    <cfRule type="containsText" dxfId="4173" priority="5656" operator="containsText" text="SI, NO CONTROLADA">
      <formula>NOT(ISERROR(SEARCH("SI, NO CONTROLADA",BC203)))</formula>
    </cfRule>
    <cfRule type="containsText" dxfId="4172" priority="5657" operator="containsText" text="SI, SIN MANEJO">
      <formula>NOT(ISERROR(SEARCH("SI, SIN MANEJO",BC203)))</formula>
    </cfRule>
    <cfRule type="containsText" dxfId="4171" priority="5658" operator="containsText" text="SI, CONTROLADA">
      <formula>NOT(ISERROR(SEARCH("SI, CONTROLADA",BC203)))</formula>
    </cfRule>
    <cfRule type="containsText" dxfId="4170" priority="5659" operator="containsText" text="NO">
      <formula>NOT(ISERROR(SEARCH("NO",BC203)))</formula>
    </cfRule>
  </conditionalFormatting>
  <conditionalFormatting sqref="AX203">
    <cfRule type="cellIs" dxfId="4169" priority="5652" operator="equal">
      <formula>"SD"</formula>
    </cfRule>
    <cfRule type="cellIs" dxfId="4168" priority="5653" operator="equal">
      <formula>"NO"</formula>
    </cfRule>
    <cfRule type="cellIs" dxfId="4167" priority="5654" operator="equal">
      <formula>"SI"</formula>
    </cfRule>
  </conditionalFormatting>
  <conditionalFormatting sqref="BK203:BM203">
    <cfRule type="cellIs" dxfId="4166" priority="5649" operator="equal">
      <formula>"SD"</formula>
    </cfRule>
    <cfRule type="cellIs" dxfId="4165" priority="5650" operator="equal">
      <formula>"NO"</formula>
    </cfRule>
    <cfRule type="cellIs" dxfId="4164" priority="5651" operator="equal">
      <formula>"SI"</formula>
    </cfRule>
  </conditionalFormatting>
  <conditionalFormatting sqref="AY203:BA203">
    <cfRule type="cellIs" dxfId="4163" priority="5646" operator="equal">
      <formula>"SD"</formula>
    </cfRule>
    <cfRule type="cellIs" dxfId="4162" priority="5647" operator="equal">
      <formula>"NO"</formula>
    </cfRule>
    <cfRule type="cellIs" dxfId="4161" priority="5648" operator="equal">
      <formula>"SI"</formula>
    </cfRule>
  </conditionalFormatting>
  <conditionalFormatting sqref="BD203:BI203 BB203">
    <cfRule type="cellIs" dxfId="4160" priority="5643" operator="equal">
      <formula>"SD"</formula>
    </cfRule>
    <cfRule type="cellIs" dxfId="4159" priority="5644" operator="equal">
      <formula>"NO"</formula>
    </cfRule>
    <cfRule type="cellIs" dxfId="4158" priority="5645" operator="equal">
      <formula>"SI"</formula>
    </cfRule>
  </conditionalFormatting>
  <conditionalFormatting sqref="BC203">
    <cfRule type="containsText" dxfId="4157" priority="5638" operator="containsText" text="SD">
      <formula>NOT(ISERROR(SEARCH("SD",BC203)))</formula>
    </cfRule>
    <cfRule type="containsText" dxfId="4156" priority="5639" operator="containsText" text="SI, NO CONTROLADA">
      <formula>NOT(ISERROR(SEARCH("SI, NO CONTROLADA",BC203)))</formula>
    </cfRule>
    <cfRule type="containsText" dxfId="4155" priority="5640" operator="containsText" text="SI, SIN MANEJO">
      <formula>NOT(ISERROR(SEARCH("SI, SIN MANEJO",BC203)))</formula>
    </cfRule>
    <cfRule type="containsText" dxfId="4154" priority="5641" operator="containsText" text="SI, CONTROLADA">
      <formula>NOT(ISERROR(SEARCH("SI, CONTROLADA",BC203)))</formula>
    </cfRule>
    <cfRule type="containsText" dxfId="4153" priority="5642" operator="containsText" text="NO">
      <formula>NOT(ISERROR(SEARCH("NO",BC203)))</formula>
    </cfRule>
  </conditionalFormatting>
  <conditionalFormatting sqref="BE203">
    <cfRule type="expression" dxfId="4152" priority="5637">
      <formula>IF(AND(FA203&gt;=126,FC203&lt;24),1,0)</formula>
    </cfRule>
  </conditionalFormatting>
  <conditionalFormatting sqref="L204">
    <cfRule type="containsText" dxfId="4151" priority="5628" operator="containsText" text="Empleo informal">
      <formula>NOT(ISERROR(SEARCH("Empleo informal",L204)))</formula>
    </cfRule>
    <cfRule type="containsText" dxfId="4150" priority="5629" operator="containsText" text="Empleada formalmente con riesgo a tóxicos">
      <formula>NOT(ISERROR(SEARCH("Empleada formalmente con riesgo a tóxicos",L204)))</formula>
    </cfRule>
    <cfRule type="containsText" dxfId="4149" priority="5630" operator="containsText" text="Empleada formalmente con riesgo de accidente laboral">
      <formula>NOT(ISERROR(SEARCH("Empleada formalmente con riesgo de accidente laboral",L204)))</formula>
    </cfRule>
    <cfRule type="containsText" dxfId="4148" priority="5631" operator="containsText" text="Empleada formalmente por jornada laboral extensa">
      <formula>NOT(ISERROR(SEARCH("Empleada formalmente por jornada laboral extensa",L204)))</formula>
    </cfRule>
    <cfRule type="containsText" dxfId="4147" priority="5632" operator="containsText" text="Empleada formalmente sin riesgo">
      <formula>NOT(ISERROR(SEARCH("Empleada formalmente sin riesgo",L204)))</formula>
    </cfRule>
    <cfRule type="containsText" dxfId="4146" priority="5633" operator="containsText" text="Actualmente desempleada">
      <formula>NOT(ISERROR(SEARCH("Actualmente desempleada",L204)))</formula>
    </cfRule>
    <cfRule type="containsText" dxfId="4145" priority="5634" operator="containsText" text="Hogar sin apoyo">
      <formula>NOT(ISERROR(SEARCH("Hogar sin apoyo",L204)))</formula>
    </cfRule>
    <cfRule type="containsText" dxfId="4144" priority="5635" operator="containsText" text="Empleada formalmente sin riesgo">
      <formula>NOT(ISERROR(SEARCH("Empleada formalmente sin riesgo",L204)))</formula>
    </cfRule>
    <cfRule type="containsText" dxfId="4143" priority="5636" operator="containsText" text="Hogar Con apoyo">
      <formula>NOT(ISERROR(SEARCH("Hogar Con apoyo",L204)))</formula>
    </cfRule>
  </conditionalFormatting>
  <conditionalFormatting sqref="L204">
    <cfRule type="containsText" dxfId="4142" priority="5619" operator="containsText" text="Empleo informal">
      <formula>NOT(ISERROR(SEARCH("Empleo informal",L204)))</formula>
    </cfRule>
    <cfRule type="containsText" dxfId="4141" priority="5620" operator="containsText" text="Empleada formalmente con riesgo a tóxicos">
      <formula>NOT(ISERROR(SEARCH("Empleada formalmente con riesgo a tóxicos",L204)))</formula>
    </cfRule>
    <cfRule type="containsText" dxfId="4140" priority="5621" operator="containsText" text="Empleada formalmente con riesgo de accidente laboral">
      <formula>NOT(ISERROR(SEARCH("Empleada formalmente con riesgo de accidente laboral",L204)))</formula>
    </cfRule>
    <cfRule type="containsText" dxfId="4139" priority="5622" operator="containsText" text="Empleada formalmente por jornada laboral extensa">
      <formula>NOT(ISERROR(SEARCH("Empleada formalmente por jornada laboral extensa",L204)))</formula>
    </cfRule>
    <cfRule type="containsText" dxfId="4138" priority="5623" operator="containsText" text="Empleada formalmente sin riesgo">
      <formula>NOT(ISERROR(SEARCH("Empleada formalmente sin riesgo",L204)))</formula>
    </cfRule>
    <cfRule type="containsText" dxfId="4137" priority="5624" operator="containsText" text="Actualmente desempleada">
      <formula>NOT(ISERROR(SEARCH("Actualmente desempleada",L204)))</formula>
    </cfRule>
    <cfRule type="containsText" dxfId="4136" priority="5625" operator="containsText" text="Hogar sin apoyo">
      <formula>NOT(ISERROR(SEARCH("Hogar sin apoyo",L204)))</formula>
    </cfRule>
    <cfRule type="containsText" dxfId="4135" priority="5626" operator="containsText" text="Empleada formalmente sin riesgo">
      <formula>NOT(ISERROR(SEARCH("Empleada formalmente sin riesgo",L204)))</formula>
    </cfRule>
    <cfRule type="containsText" dxfId="4134" priority="5627" operator="containsText" text="Hogar Con apoyo">
      <formula>NOT(ISERROR(SEARCH("Hogar Con apoyo",L204)))</formula>
    </cfRule>
  </conditionalFormatting>
  <conditionalFormatting sqref="CB204:CC204 CE204">
    <cfRule type="cellIs" dxfId="4133" priority="5616" operator="equal">
      <formula>"SD"</formula>
    </cfRule>
    <cfRule type="cellIs" dxfId="4132" priority="5617" operator="equal">
      <formula>"NO"</formula>
    </cfRule>
    <cfRule type="cellIs" dxfId="4131" priority="5618" operator="equal">
      <formula>"SI"</formula>
    </cfRule>
  </conditionalFormatting>
  <conditionalFormatting sqref="CD204">
    <cfRule type="cellIs" dxfId="4130" priority="5611" operator="equal">
      <formula>"SD"</formula>
    </cfRule>
    <cfRule type="cellIs" dxfId="4129" priority="5612" operator="equal">
      <formula>"OBLICUA"</formula>
    </cfRule>
    <cfRule type="cellIs" dxfId="4128" priority="5614" operator="equal">
      <formula>"PODÁLICA"</formula>
    </cfRule>
    <cfRule type="cellIs" dxfId="4127" priority="5615" operator="equal">
      <formula>"CEFÁLICA"</formula>
    </cfRule>
  </conditionalFormatting>
  <conditionalFormatting sqref="CD205">
    <cfRule type="cellIs" dxfId="4126" priority="5603" operator="equal">
      <formula>"SD"</formula>
    </cfRule>
    <cfRule type="cellIs" dxfId="4125" priority="5604" operator="equal">
      <formula>"OBLICUA"</formula>
    </cfRule>
    <cfRule type="cellIs" dxfId="4124" priority="5606" operator="equal">
      <formula>"PODÁLICA"</formula>
    </cfRule>
    <cfRule type="cellIs" dxfId="4123" priority="5607" operator="equal">
      <formula>"CEFÁLICA"</formula>
    </cfRule>
  </conditionalFormatting>
  <conditionalFormatting sqref="CB205:CC205">
    <cfRule type="cellIs" dxfId="4122" priority="5600" operator="equal">
      <formula>"SD"</formula>
    </cfRule>
    <cfRule type="cellIs" dxfId="4121" priority="5601" operator="equal">
      <formula>"NO"</formula>
    </cfRule>
    <cfRule type="cellIs" dxfId="4120" priority="5602" operator="equal">
      <formula>"SI"</formula>
    </cfRule>
  </conditionalFormatting>
  <conditionalFormatting sqref="CE205">
    <cfRule type="cellIs" dxfId="4119" priority="5597" operator="equal">
      <formula>"SD"</formula>
    </cfRule>
    <cfRule type="cellIs" dxfId="4118" priority="5598" operator="equal">
      <formula>"NO"</formula>
    </cfRule>
    <cfRule type="cellIs" dxfId="4117" priority="5599" operator="equal">
      <formula>"SI"</formula>
    </cfRule>
  </conditionalFormatting>
  <conditionalFormatting sqref="L205">
    <cfRule type="containsText" dxfId="4116" priority="5588" operator="containsText" text="Empleo informal">
      <formula>NOT(ISERROR(SEARCH("Empleo informal",L205)))</formula>
    </cfRule>
    <cfRule type="containsText" dxfId="4115" priority="5589" operator="containsText" text="Empleada formalmente con riesgo a tóxicos">
      <formula>NOT(ISERROR(SEARCH("Empleada formalmente con riesgo a tóxicos",L205)))</formula>
    </cfRule>
    <cfRule type="containsText" dxfId="4114" priority="5590" operator="containsText" text="Empleada formalmente con riesgo de accidente laboral">
      <formula>NOT(ISERROR(SEARCH("Empleada formalmente con riesgo de accidente laboral",L205)))</formula>
    </cfRule>
    <cfRule type="containsText" dxfId="4113" priority="5591" operator="containsText" text="Empleada formalmente por jornada laboral extensa">
      <formula>NOT(ISERROR(SEARCH("Empleada formalmente por jornada laboral extensa",L205)))</formula>
    </cfRule>
    <cfRule type="containsText" dxfId="4112" priority="5592" operator="containsText" text="Empleada formalmente sin riesgo">
      <formula>NOT(ISERROR(SEARCH("Empleada formalmente sin riesgo",L205)))</formula>
    </cfRule>
    <cfRule type="containsText" dxfId="4111" priority="5593" operator="containsText" text="Actualmente desempleada">
      <formula>NOT(ISERROR(SEARCH("Actualmente desempleada",L205)))</formula>
    </cfRule>
    <cfRule type="containsText" dxfId="4110" priority="5594" operator="containsText" text="Hogar sin apoyo">
      <formula>NOT(ISERROR(SEARCH("Hogar sin apoyo",L205)))</formula>
    </cfRule>
    <cfRule type="containsText" dxfId="4109" priority="5595" operator="containsText" text="Empleada formalmente sin riesgo">
      <formula>NOT(ISERROR(SEARCH("Empleada formalmente sin riesgo",L205)))</formula>
    </cfRule>
    <cfRule type="containsText" dxfId="4108" priority="5596" operator="containsText" text="Hogar Con apoyo">
      <formula>NOT(ISERROR(SEARCH("Hogar Con apoyo",L205)))</formula>
    </cfRule>
  </conditionalFormatting>
  <conditionalFormatting sqref="L205">
    <cfRule type="containsText" dxfId="4107" priority="5579" operator="containsText" text="Empleo informal">
      <formula>NOT(ISERROR(SEARCH("Empleo informal",L205)))</formula>
    </cfRule>
    <cfRule type="containsText" dxfId="4106" priority="5580" operator="containsText" text="Empleada formalmente con riesgo a tóxicos">
      <formula>NOT(ISERROR(SEARCH("Empleada formalmente con riesgo a tóxicos",L205)))</formula>
    </cfRule>
    <cfRule type="containsText" dxfId="4105" priority="5581" operator="containsText" text="Empleada formalmente con riesgo de accidente laboral">
      <formula>NOT(ISERROR(SEARCH("Empleada formalmente con riesgo de accidente laboral",L205)))</formula>
    </cfRule>
    <cfRule type="containsText" dxfId="4104" priority="5582" operator="containsText" text="Empleada formalmente por jornada laboral extensa">
      <formula>NOT(ISERROR(SEARCH("Empleada formalmente por jornada laboral extensa",L205)))</formula>
    </cfRule>
    <cfRule type="containsText" dxfId="4103" priority="5583" operator="containsText" text="Empleada formalmente sin riesgo">
      <formula>NOT(ISERROR(SEARCH("Empleada formalmente sin riesgo",L205)))</formula>
    </cfRule>
    <cfRule type="containsText" dxfId="4102" priority="5584" operator="containsText" text="Actualmente desempleada">
      <formula>NOT(ISERROR(SEARCH("Actualmente desempleada",L205)))</formula>
    </cfRule>
    <cfRule type="containsText" dxfId="4101" priority="5585" operator="containsText" text="Hogar sin apoyo">
      <formula>NOT(ISERROR(SEARCH("Hogar sin apoyo",L205)))</formula>
    </cfRule>
    <cfRule type="containsText" dxfId="4100" priority="5586" operator="containsText" text="Empleada formalmente sin riesgo">
      <formula>NOT(ISERROR(SEARCH("Empleada formalmente sin riesgo",L205)))</formula>
    </cfRule>
    <cfRule type="containsText" dxfId="4099" priority="5587" operator="containsText" text="Hogar Con apoyo">
      <formula>NOT(ISERROR(SEARCH("Hogar Con apoyo",L205)))</formula>
    </cfRule>
  </conditionalFormatting>
  <conditionalFormatting sqref="CB206:CC206">
    <cfRule type="cellIs" dxfId="4098" priority="5576" operator="equal">
      <formula>"SD"</formula>
    </cfRule>
    <cfRule type="cellIs" dxfId="4097" priority="5577" operator="equal">
      <formula>"NO"</formula>
    </cfRule>
    <cfRule type="cellIs" dxfId="4096" priority="5578" operator="equal">
      <formula>"SI"</formula>
    </cfRule>
  </conditionalFormatting>
  <conditionalFormatting sqref="CE206">
    <cfRule type="cellIs" dxfId="4095" priority="5573" operator="equal">
      <formula>"SD"</formula>
    </cfRule>
    <cfRule type="cellIs" dxfId="4094" priority="5574" operator="equal">
      <formula>"NO"</formula>
    </cfRule>
    <cfRule type="cellIs" dxfId="4093" priority="5575" operator="equal">
      <formula>"SI"</formula>
    </cfRule>
  </conditionalFormatting>
  <conditionalFormatting sqref="Q205">
    <cfRule type="containsText" dxfId="4092" priority="5565" operator="containsText" text="SE TRASLADO DE EPS">
      <formula>NOT(ISERROR(SEARCH("SE TRASLADO DE EPS",Q205)))</formula>
    </cfRule>
    <cfRule type="containsText" dxfId="4091" priority="5568" operator="containsText" text="NOVEDAD">
      <formula>NOT(ISERROR(SEARCH("NOVEDAD",Q205)))</formula>
    </cfRule>
    <cfRule type="containsText" dxfId="4090" priority="5569" operator="containsText" text="IDENTIDAD">
      <formula>NOT(ISERROR(SEARCH("IDENTIDAD",Q205)))</formula>
    </cfRule>
    <cfRule type="containsText" dxfId="4089" priority="5570" operator="containsText" text="CPN">
      <formula>NOT(ISERROR(SEARCH("CPN",Q205)))</formula>
    </cfRule>
    <cfRule type="containsText" dxfId="4088" priority="5571" operator="containsText" text="VIENE">
      <formula>NOT(ISERROR(SEARCH("VIENE",Q205)))</formula>
    </cfRule>
    <cfRule type="cellIs" dxfId="4087" priority="5572" operator="equal">
      <formula>"TRAMITE DE PORTABILIDAD"</formula>
    </cfRule>
  </conditionalFormatting>
  <conditionalFormatting sqref="Q205">
    <cfRule type="containsText" dxfId="4086" priority="5566" operator="containsText" text="INMIGRANTE VENEZOLANA">
      <formula>NOT(ISERROR(SEARCH("INMIGRANTE VENEZOLANA",Q205)))</formula>
    </cfRule>
    <cfRule type="containsText" dxfId="4085" priority="5567" operator="containsText" text="SIN AFILIACIÓN A EPS">
      <formula>NOT(ISERROR(SEARCH("SIN AFILIACIÓN A EPS",Q205)))</formula>
    </cfRule>
  </conditionalFormatting>
  <conditionalFormatting sqref="Q206">
    <cfRule type="containsText" dxfId="4084" priority="5557" operator="containsText" text="SE TRASLADO DE EPS">
      <formula>NOT(ISERROR(SEARCH("SE TRASLADO DE EPS",Q206)))</formula>
    </cfRule>
    <cfRule type="containsText" dxfId="4083" priority="5560" operator="containsText" text="NOVEDAD">
      <formula>NOT(ISERROR(SEARCH("NOVEDAD",Q206)))</formula>
    </cfRule>
    <cfRule type="containsText" dxfId="4082" priority="5561" operator="containsText" text="IDENTIDAD">
      <formula>NOT(ISERROR(SEARCH("IDENTIDAD",Q206)))</formula>
    </cfRule>
    <cfRule type="containsText" dxfId="4081" priority="5562" operator="containsText" text="CPN">
      <formula>NOT(ISERROR(SEARCH("CPN",Q206)))</formula>
    </cfRule>
    <cfRule type="containsText" dxfId="4080" priority="5563" operator="containsText" text="VIENE">
      <formula>NOT(ISERROR(SEARCH("VIENE",Q206)))</formula>
    </cfRule>
    <cfRule type="cellIs" dxfId="4079" priority="5564" operator="equal">
      <formula>"TRAMITE DE PORTABILIDAD"</formula>
    </cfRule>
  </conditionalFormatting>
  <conditionalFormatting sqref="Q206">
    <cfRule type="containsText" dxfId="4078" priority="5558" operator="containsText" text="INMIGRANTE VENEZOLANA">
      <formula>NOT(ISERROR(SEARCH("INMIGRANTE VENEZOLANA",Q206)))</formula>
    </cfRule>
    <cfRule type="containsText" dxfId="4077" priority="5559" operator="containsText" text="SIN AFILIACIÓN A EPS">
      <formula>NOT(ISERROR(SEARCH("SIN AFILIACIÓN A EPS",Q206)))</formula>
    </cfRule>
  </conditionalFormatting>
  <conditionalFormatting sqref="Q207">
    <cfRule type="containsText" dxfId="4076" priority="5538" operator="containsText" text="SE TRASLADO DE EPS">
      <formula>NOT(ISERROR(SEARCH("SE TRASLADO DE EPS",Q207)))</formula>
    </cfRule>
    <cfRule type="containsText" dxfId="4075" priority="5541" operator="containsText" text="NOVEDAD">
      <formula>NOT(ISERROR(SEARCH("NOVEDAD",Q207)))</formula>
    </cfRule>
    <cfRule type="containsText" dxfId="4074" priority="5542" operator="containsText" text="IDENTIDAD">
      <formula>NOT(ISERROR(SEARCH("IDENTIDAD",Q207)))</formula>
    </cfRule>
    <cfRule type="containsText" dxfId="4073" priority="5543" operator="containsText" text="CPN">
      <formula>NOT(ISERROR(SEARCH("CPN",Q207)))</formula>
    </cfRule>
    <cfRule type="containsText" dxfId="4072" priority="5544" operator="containsText" text="VIENE">
      <formula>NOT(ISERROR(SEARCH("VIENE",Q207)))</formula>
    </cfRule>
    <cfRule type="cellIs" dxfId="4071" priority="5545" operator="equal">
      <formula>"TRAMITE DE PORTABILIDAD"</formula>
    </cfRule>
  </conditionalFormatting>
  <conditionalFormatting sqref="Q207">
    <cfRule type="containsText" dxfId="4070" priority="5539" operator="containsText" text="INMIGRANTE VENEZOLANA">
      <formula>NOT(ISERROR(SEARCH("INMIGRANTE VENEZOLANA",Q207)))</formula>
    </cfRule>
    <cfRule type="containsText" dxfId="4069" priority="5540" operator="containsText" text="SIN AFILIACIÓN A EPS">
      <formula>NOT(ISERROR(SEARCH("SIN AFILIACIÓN A EPS",Q207)))</formula>
    </cfRule>
  </conditionalFormatting>
  <conditionalFormatting sqref="CD207">
    <cfRule type="cellIs" dxfId="4068" priority="5533" operator="equal">
      <formula>"SD"</formula>
    </cfRule>
    <cfRule type="cellIs" dxfId="4067" priority="5534" operator="equal">
      <formula>"OBLICUA"</formula>
    </cfRule>
    <cfRule type="cellIs" dxfId="4066" priority="5536" operator="equal">
      <formula>"PODÁLICA"</formula>
    </cfRule>
    <cfRule type="cellIs" dxfId="4065" priority="5537" operator="equal">
      <formula>"CEFÁLICA"</formula>
    </cfRule>
  </conditionalFormatting>
  <conditionalFormatting sqref="CB207:CC207">
    <cfRule type="cellIs" dxfId="4064" priority="5530" operator="equal">
      <formula>"SD"</formula>
    </cfRule>
    <cfRule type="cellIs" dxfId="4063" priority="5531" operator="equal">
      <formula>"NO"</formula>
    </cfRule>
    <cfRule type="cellIs" dxfId="4062" priority="5532" operator="equal">
      <formula>"SI"</formula>
    </cfRule>
  </conditionalFormatting>
  <conditionalFormatting sqref="CE207">
    <cfRule type="cellIs" dxfId="4061" priority="5527" operator="equal">
      <formula>"SD"</formula>
    </cfRule>
    <cfRule type="cellIs" dxfId="4060" priority="5528" operator="equal">
      <formula>"NO"</formula>
    </cfRule>
    <cfRule type="cellIs" dxfId="4059" priority="5529" operator="equal">
      <formula>"SI"</formula>
    </cfRule>
  </conditionalFormatting>
  <conditionalFormatting sqref="BT207">
    <cfRule type="cellIs" dxfId="4058" priority="5522" operator="equal">
      <formula>"DEFINIR CON ECO"</formula>
    </cfRule>
    <cfRule type="cellIs" dxfId="4057" priority="5523" operator="equal">
      <formula>"ERROR FUM O INGRESO O ECO"</formula>
    </cfRule>
    <cfRule type="cellIs" dxfId="4056" priority="5524" operator="equal">
      <formula>"III TRIM"</formula>
    </cfRule>
    <cfRule type="cellIs" dxfId="4055" priority="5525" operator="equal">
      <formula>"II TRIM"</formula>
    </cfRule>
    <cfRule type="cellIs" dxfId="4054" priority="5526" operator="equal">
      <formula>"I TRIM"</formula>
    </cfRule>
  </conditionalFormatting>
  <conditionalFormatting sqref="CD208">
    <cfRule type="cellIs" dxfId="4053" priority="5517" operator="equal">
      <formula>"SD"</formula>
    </cfRule>
    <cfRule type="cellIs" dxfId="4052" priority="5518" operator="equal">
      <formula>"OBLICUA"</formula>
    </cfRule>
    <cfRule type="cellIs" dxfId="4051" priority="5520" operator="equal">
      <formula>"PODÁLICA"</formula>
    </cfRule>
    <cfRule type="cellIs" dxfId="4050" priority="5521" operator="equal">
      <formula>"CEFÁLICA"</formula>
    </cfRule>
  </conditionalFormatting>
  <conditionalFormatting sqref="CB208:CC208">
    <cfRule type="cellIs" dxfId="4049" priority="5514" operator="equal">
      <formula>"SD"</formula>
    </cfRule>
    <cfRule type="cellIs" dxfId="4048" priority="5515" operator="equal">
      <formula>"NO"</formula>
    </cfRule>
    <cfRule type="cellIs" dxfId="4047" priority="5516" operator="equal">
      <formula>"SI"</formula>
    </cfRule>
  </conditionalFormatting>
  <conditionalFormatting sqref="CE208">
    <cfRule type="cellIs" dxfId="4046" priority="5511" operator="equal">
      <formula>"SD"</formula>
    </cfRule>
    <cfRule type="cellIs" dxfId="4045" priority="5512" operator="equal">
      <formula>"NO"</formula>
    </cfRule>
    <cfRule type="cellIs" dxfId="4044" priority="5513" operator="equal">
      <formula>"SI"</formula>
    </cfRule>
  </conditionalFormatting>
  <conditionalFormatting sqref="CE210 CB210:CC210">
    <cfRule type="cellIs" dxfId="4043" priority="5500" operator="equal">
      <formula>"SD"</formula>
    </cfRule>
    <cfRule type="cellIs" dxfId="4042" priority="5501" operator="equal">
      <formula>"NO"</formula>
    </cfRule>
    <cfRule type="cellIs" dxfId="4041" priority="5502" operator="equal">
      <formula>"SI"</formula>
    </cfRule>
  </conditionalFormatting>
  <conditionalFormatting sqref="CD210">
    <cfRule type="cellIs" dxfId="4040" priority="5495" operator="equal">
      <formula>"SD"</formula>
    </cfRule>
    <cfRule type="cellIs" dxfId="4039" priority="5496" operator="equal">
      <formula>"OBLICUA"</formula>
    </cfRule>
    <cfRule type="cellIs" dxfId="4038" priority="5498" operator="equal">
      <formula>"PODÁLICA"</formula>
    </cfRule>
    <cfRule type="cellIs" dxfId="4037" priority="5499" operator="equal">
      <formula>"CEFÁLICA"</formula>
    </cfRule>
  </conditionalFormatting>
  <conditionalFormatting sqref="CE211 CB211:CC211">
    <cfRule type="cellIs" dxfId="4036" priority="5492" operator="equal">
      <formula>"SD"</formula>
    </cfRule>
    <cfRule type="cellIs" dxfId="4035" priority="5493" operator="equal">
      <formula>"NO"</formula>
    </cfRule>
    <cfRule type="cellIs" dxfId="4034" priority="5494" operator="equal">
      <formula>"SI"</formula>
    </cfRule>
  </conditionalFormatting>
  <conditionalFormatting sqref="CD211">
    <cfRule type="cellIs" dxfId="4033" priority="5487" operator="equal">
      <formula>"SD"</formula>
    </cfRule>
    <cfRule type="cellIs" dxfId="4032" priority="5488" operator="equal">
      <formula>"OBLICUA"</formula>
    </cfRule>
    <cfRule type="cellIs" dxfId="4031" priority="5490" operator="equal">
      <formula>"PODÁLICA"</formula>
    </cfRule>
    <cfRule type="cellIs" dxfId="4030" priority="5491" operator="equal">
      <formula>"CEFÁLICA"</formula>
    </cfRule>
  </conditionalFormatting>
  <conditionalFormatting sqref="FB211">
    <cfRule type="containsText" dxfId="4029" priority="5483" operator="containsText" text="RH NEGATIVO SIN COOMB">
      <formula>NOT(ISERROR(SEARCH("RH NEGATIVO SIN COOMB",FB211)))</formula>
    </cfRule>
    <cfRule type="containsText" dxfId="4028" priority="5484" operator="containsText" text="RH NEGATIVO CON COOMBS POSITIVO">
      <formula>NOT(ISERROR(SEARCH("RH NEGATIVO CON COOMBS POSITIVO",FB211)))</formula>
    </cfRule>
    <cfRule type="containsText" dxfId="4027" priority="5485" operator="containsText" text="RH NEGATIVO CON COOMBS NEGATIVO">
      <formula>NOT(ISERROR(SEARCH("RH NEGATIVO CON COOMBS NEGATIVO",FB211)))</formula>
    </cfRule>
    <cfRule type="containsText" dxfId="4026" priority="5486" operator="containsText" text="RH POSITIVO">
      <formula>NOT(ISERROR(SEARCH("RH POSITIVO",FB211)))</formula>
    </cfRule>
  </conditionalFormatting>
  <conditionalFormatting sqref="FZ211">
    <cfRule type="containsText" dxfId="4025" priority="5479" operator="containsText" text="RH NEGATIVO SIN COOMB">
      <formula>NOT(ISERROR(SEARCH("RH NEGATIVO SIN COOMB",FZ211)))</formula>
    </cfRule>
    <cfRule type="containsText" dxfId="4024" priority="5480" operator="containsText" text="RH NEGATIVO CON COOMBS POSITIVO">
      <formula>NOT(ISERROR(SEARCH("RH NEGATIVO CON COOMBS POSITIVO",FZ211)))</formula>
    </cfRule>
    <cfRule type="containsText" dxfId="4023" priority="5481" operator="containsText" text="RH NEGATIVO CON COOMBS NEGATIVO">
      <formula>NOT(ISERROR(SEARCH("RH NEGATIVO CON COOMBS NEGATIVO",FZ211)))</formula>
    </cfRule>
    <cfRule type="containsText" dxfId="4022" priority="5482" operator="containsText" text="RH POSITIVO">
      <formula>NOT(ISERROR(SEARCH("RH POSITIVO",FZ211)))</formula>
    </cfRule>
  </conditionalFormatting>
  <conditionalFormatting sqref="GC211">
    <cfRule type="containsText" dxfId="4021" priority="5475" operator="containsText" text="RH NEGATIVO SIN COOMB">
      <formula>NOT(ISERROR(SEARCH("RH NEGATIVO SIN COOMB",GC211)))</formula>
    </cfRule>
    <cfRule type="containsText" dxfId="4020" priority="5476" operator="containsText" text="RH NEGATIVO CON COOMBS POSITIVO">
      <formula>NOT(ISERROR(SEARCH("RH NEGATIVO CON COOMBS POSITIVO",GC211)))</formula>
    </cfRule>
    <cfRule type="containsText" dxfId="4019" priority="5477" operator="containsText" text="RH NEGATIVO CON COOMBS NEGATIVO">
      <formula>NOT(ISERROR(SEARCH("RH NEGATIVO CON COOMBS NEGATIVO",GC211)))</formula>
    </cfRule>
    <cfRule type="containsText" dxfId="4018" priority="5478" operator="containsText" text="RH POSITIVO">
      <formula>NOT(ISERROR(SEARCH("RH POSITIVO",GC211)))</formula>
    </cfRule>
  </conditionalFormatting>
  <conditionalFormatting sqref="L206">
    <cfRule type="containsText" dxfId="4017" priority="5466" operator="containsText" text="Empleo informal">
      <formula>NOT(ISERROR(SEARCH("Empleo informal",L206)))</formula>
    </cfRule>
    <cfRule type="containsText" dxfId="4016" priority="5467" operator="containsText" text="Empleada formalmente con riesgo a tóxicos">
      <formula>NOT(ISERROR(SEARCH("Empleada formalmente con riesgo a tóxicos",L206)))</formula>
    </cfRule>
    <cfRule type="containsText" dxfId="4015" priority="5468" operator="containsText" text="Empleada formalmente con riesgo de accidente laboral">
      <formula>NOT(ISERROR(SEARCH("Empleada formalmente con riesgo de accidente laboral",L206)))</formula>
    </cfRule>
    <cfRule type="containsText" dxfId="4014" priority="5469" operator="containsText" text="Empleada formalmente por jornada laboral extensa">
      <formula>NOT(ISERROR(SEARCH("Empleada formalmente por jornada laboral extensa",L206)))</formula>
    </cfRule>
    <cfRule type="containsText" dxfId="4013" priority="5470" operator="containsText" text="Empleada formalmente sin riesgo">
      <formula>NOT(ISERROR(SEARCH("Empleada formalmente sin riesgo",L206)))</formula>
    </cfRule>
    <cfRule type="containsText" dxfId="4012" priority="5471" operator="containsText" text="Actualmente desempleada">
      <formula>NOT(ISERROR(SEARCH("Actualmente desempleada",L206)))</formula>
    </cfRule>
    <cfRule type="containsText" dxfId="4011" priority="5472" operator="containsText" text="Hogar sin apoyo">
      <formula>NOT(ISERROR(SEARCH("Hogar sin apoyo",L206)))</formula>
    </cfRule>
    <cfRule type="containsText" dxfId="4010" priority="5473" operator="containsText" text="Empleada formalmente sin riesgo">
      <formula>NOT(ISERROR(SEARCH("Empleada formalmente sin riesgo",L206)))</formula>
    </cfRule>
    <cfRule type="containsText" dxfId="4009" priority="5474" operator="containsText" text="Hogar Con apoyo">
      <formula>NOT(ISERROR(SEARCH("Hogar Con apoyo",L206)))</formula>
    </cfRule>
  </conditionalFormatting>
  <conditionalFormatting sqref="L206">
    <cfRule type="containsText" dxfId="4008" priority="5457" operator="containsText" text="Empleo informal">
      <formula>NOT(ISERROR(SEARCH("Empleo informal",L206)))</formula>
    </cfRule>
    <cfRule type="containsText" dxfId="4007" priority="5458" operator="containsText" text="Empleada formalmente con riesgo a tóxicos">
      <formula>NOT(ISERROR(SEARCH("Empleada formalmente con riesgo a tóxicos",L206)))</formula>
    </cfRule>
    <cfRule type="containsText" dxfId="4006" priority="5459" operator="containsText" text="Empleada formalmente con riesgo de accidente laboral">
      <formula>NOT(ISERROR(SEARCH("Empleada formalmente con riesgo de accidente laboral",L206)))</formula>
    </cfRule>
    <cfRule type="containsText" dxfId="4005" priority="5460" operator="containsText" text="Empleada formalmente por jornada laboral extensa">
      <formula>NOT(ISERROR(SEARCH("Empleada formalmente por jornada laboral extensa",L206)))</formula>
    </cfRule>
    <cfRule type="containsText" dxfId="4004" priority="5461" operator="containsText" text="Empleada formalmente sin riesgo">
      <formula>NOT(ISERROR(SEARCH("Empleada formalmente sin riesgo",L206)))</formula>
    </cfRule>
    <cfRule type="containsText" dxfId="4003" priority="5462" operator="containsText" text="Actualmente desempleada">
      <formula>NOT(ISERROR(SEARCH("Actualmente desempleada",L206)))</formula>
    </cfRule>
    <cfRule type="containsText" dxfId="4002" priority="5463" operator="containsText" text="Hogar sin apoyo">
      <formula>NOT(ISERROR(SEARCH("Hogar sin apoyo",L206)))</formula>
    </cfRule>
    <cfRule type="containsText" dxfId="4001" priority="5464" operator="containsText" text="Empleada formalmente sin riesgo">
      <formula>NOT(ISERROR(SEARCH("Empleada formalmente sin riesgo",L206)))</formula>
    </cfRule>
    <cfRule type="containsText" dxfId="4000" priority="5465" operator="containsText" text="Hogar Con apoyo">
      <formula>NOT(ISERROR(SEARCH("Hogar Con apoyo",L206)))</formula>
    </cfRule>
  </conditionalFormatting>
  <conditionalFormatting sqref="BC213">
    <cfRule type="cellIs" dxfId="3999" priority="5248" operator="equal">
      <formula>"SD"</formula>
    </cfRule>
    <cfRule type="cellIs" dxfId="3998" priority="5249" operator="equal">
      <formula>"NO"</formula>
    </cfRule>
    <cfRule type="cellIs" dxfId="3997" priority="5250" operator="equal">
      <formula>"SI"</formula>
    </cfRule>
  </conditionalFormatting>
  <conditionalFormatting sqref="BC214">
    <cfRule type="cellIs" dxfId="3996" priority="5239" operator="equal">
      <formula>"SD"</formula>
    </cfRule>
    <cfRule type="cellIs" dxfId="3995" priority="5240" operator="equal">
      <formula>"NO"</formula>
    </cfRule>
    <cfRule type="cellIs" dxfId="3994" priority="5241" operator="equal">
      <formula>"SI"</formula>
    </cfRule>
  </conditionalFormatting>
  <conditionalFormatting sqref="BC215">
    <cfRule type="cellIs" dxfId="3993" priority="5233" operator="equal">
      <formula>"SD"</formula>
    </cfRule>
    <cfRule type="cellIs" dxfId="3992" priority="5234" operator="equal">
      <formula>"NO"</formula>
    </cfRule>
    <cfRule type="cellIs" dxfId="3991" priority="5235" operator="equal">
      <formula>"SI"</formula>
    </cfRule>
  </conditionalFormatting>
  <conditionalFormatting sqref="AY216">
    <cfRule type="cellIs" dxfId="3990" priority="5225" operator="equal">
      <formula>"SD"</formula>
    </cfRule>
    <cfRule type="cellIs" dxfId="3989" priority="5226" operator="equal">
      <formula>"NO"</formula>
    </cfRule>
    <cfRule type="cellIs" dxfId="3988" priority="5227" operator="equal">
      <formula>"SI"</formula>
    </cfRule>
  </conditionalFormatting>
  <conditionalFormatting sqref="AZ216">
    <cfRule type="cellIs" dxfId="3987" priority="5222" operator="equal">
      <formula>"SD"</formula>
    </cfRule>
    <cfRule type="cellIs" dxfId="3986" priority="5223" operator="equal">
      <formula>"NO"</formula>
    </cfRule>
    <cfRule type="cellIs" dxfId="3985" priority="5224" operator="equal">
      <formula>"SI"</formula>
    </cfRule>
  </conditionalFormatting>
  <conditionalFormatting sqref="BA216">
    <cfRule type="cellIs" dxfId="3984" priority="5219" operator="equal">
      <formula>"SD"</formula>
    </cfRule>
    <cfRule type="cellIs" dxfId="3983" priority="5220" operator="equal">
      <formula>"NO"</formula>
    </cfRule>
    <cfRule type="cellIs" dxfId="3982" priority="5221" operator="equal">
      <formula>"SI"</formula>
    </cfRule>
  </conditionalFormatting>
  <conditionalFormatting sqref="BB216">
    <cfRule type="cellIs" dxfId="3981" priority="5216" operator="equal">
      <formula>"SD"</formula>
    </cfRule>
    <cfRule type="cellIs" dxfId="3980" priority="5217" operator="equal">
      <formula>"NO"</formula>
    </cfRule>
    <cfRule type="cellIs" dxfId="3979" priority="5218" operator="equal">
      <formula>"SI"</formula>
    </cfRule>
  </conditionalFormatting>
  <conditionalFormatting sqref="BC216">
    <cfRule type="cellIs" dxfId="3978" priority="5213" operator="equal">
      <formula>"SD"</formula>
    </cfRule>
    <cfRule type="cellIs" dxfId="3977" priority="5214" operator="equal">
      <formula>"NO"</formula>
    </cfRule>
    <cfRule type="cellIs" dxfId="3976" priority="5215" operator="equal">
      <formula>"SI"</formula>
    </cfRule>
  </conditionalFormatting>
  <conditionalFormatting sqref="BD216">
    <cfRule type="cellIs" dxfId="3975" priority="5210" operator="equal">
      <formula>"SD"</formula>
    </cfRule>
    <cfRule type="cellIs" dxfId="3974" priority="5211" operator="equal">
      <formula>"NO"</formula>
    </cfRule>
    <cfRule type="cellIs" dxfId="3973" priority="5212" operator="equal">
      <formula>"SI"</formula>
    </cfRule>
  </conditionalFormatting>
  <conditionalFormatting sqref="BE216">
    <cfRule type="cellIs" dxfId="3972" priority="5207" operator="equal">
      <formula>"SD"</formula>
    </cfRule>
    <cfRule type="cellIs" dxfId="3971" priority="5208" operator="equal">
      <formula>"NO"</formula>
    </cfRule>
    <cfRule type="cellIs" dxfId="3970" priority="5209" operator="equal">
      <formula>"SI"</formula>
    </cfRule>
  </conditionalFormatting>
  <conditionalFormatting sqref="BF216">
    <cfRule type="cellIs" dxfId="3969" priority="5204" operator="equal">
      <formula>"SD"</formula>
    </cfRule>
    <cfRule type="cellIs" dxfId="3968" priority="5205" operator="equal">
      <formula>"NO"</formula>
    </cfRule>
    <cfRule type="cellIs" dxfId="3967" priority="5206" operator="equal">
      <formula>"SI"</formula>
    </cfRule>
  </conditionalFormatting>
  <conditionalFormatting sqref="BG216">
    <cfRule type="cellIs" dxfId="3966" priority="5201" operator="equal">
      <formula>"SD"</formula>
    </cfRule>
    <cfRule type="cellIs" dxfId="3965" priority="5202" operator="equal">
      <formula>"NO"</formula>
    </cfRule>
    <cfRule type="cellIs" dxfId="3964" priority="5203" operator="equal">
      <formula>"SI"</formula>
    </cfRule>
  </conditionalFormatting>
  <conditionalFormatting sqref="BH216">
    <cfRule type="cellIs" dxfId="3963" priority="5198" operator="equal">
      <formula>"SD"</formula>
    </cfRule>
    <cfRule type="cellIs" dxfId="3962" priority="5199" operator="equal">
      <formula>"NO"</formula>
    </cfRule>
    <cfRule type="cellIs" dxfId="3961" priority="5200" operator="equal">
      <formula>"SI"</formula>
    </cfRule>
  </conditionalFormatting>
  <conditionalFormatting sqref="BI216">
    <cfRule type="cellIs" dxfId="3960" priority="5195" operator="equal">
      <formula>"SD"</formula>
    </cfRule>
    <cfRule type="cellIs" dxfId="3959" priority="5196" operator="equal">
      <formula>"NO"</formula>
    </cfRule>
    <cfRule type="cellIs" dxfId="3958" priority="5197" operator="equal">
      <formula>"SI"</formula>
    </cfRule>
  </conditionalFormatting>
  <conditionalFormatting sqref="BK216">
    <cfRule type="cellIs" dxfId="3957" priority="5189" operator="equal">
      <formula>"SD"</formula>
    </cfRule>
    <cfRule type="cellIs" dxfId="3956" priority="5190" operator="equal">
      <formula>"NO"</formula>
    </cfRule>
    <cfRule type="cellIs" dxfId="3955" priority="5191" operator="equal">
      <formula>"SI"</formula>
    </cfRule>
  </conditionalFormatting>
  <conditionalFormatting sqref="BL216">
    <cfRule type="cellIs" dxfId="3954" priority="5186" operator="equal">
      <formula>"SD"</formula>
    </cfRule>
    <cfRule type="cellIs" dxfId="3953" priority="5187" operator="equal">
      <formula>"NO"</formula>
    </cfRule>
    <cfRule type="cellIs" dxfId="3952" priority="5188" operator="equal">
      <formula>"SI"</formula>
    </cfRule>
  </conditionalFormatting>
  <conditionalFormatting sqref="BM216">
    <cfRule type="cellIs" dxfId="3951" priority="5183" operator="equal">
      <formula>"SD"</formula>
    </cfRule>
    <cfRule type="cellIs" dxfId="3950" priority="5184" operator="equal">
      <formula>"NO"</formula>
    </cfRule>
    <cfRule type="cellIs" dxfId="3949" priority="5185" operator="equal">
      <formula>"SI"</formula>
    </cfRule>
  </conditionalFormatting>
  <conditionalFormatting sqref="AY217">
    <cfRule type="cellIs" dxfId="3948" priority="5180" operator="equal">
      <formula>"SD"</formula>
    </cfRule>
    <cfRule type="cellIs" dxfId="3947" priority="5181" operator="equal">
      <formula>"NO"</formula>
    </cfRule>
    <cfRule type="cellIs" dxfId="3946" priority="5182" operator="equal">
      <formula>"SI"</formula>
    </cfRule>
  </conditionalFormatting>
  <conditionalFormatting sqref="AZ217">
    <cfRule type="cellIs" dxfId="3945" priority="5177" operator="equal">
      <formula>"SD"</formula>
    </cfRule>
    <cfRule type="cellIs" dxfId="3944" priority="5178" operator="equal">
      <formula>"NO"</formula>
    </cfRule>
    <cfRule type="cellIs" dxfId="3943" priority="5179" operator="equal">
      <formula>"SI"</formula>
    </cfRule>
  </conditionalFormatting>
  <conditionalFormatting sqref="BA217">
    <cfRule type="cellIs" dxfId="3942" priority="5174" operator="equal">
      <formula>"SD"</formula>
    </cfRule>
    <cfRule type="cellIs" dxfId="3941" priority="5175" operator="equal">
      <formula>"NO"</formula>
    </cfRule>
    <cfRule type="cellIs" dxfId="3940" priority="5176" operator="equal">
      <formula>"SI"</formula>
    </cfRule>
  </conditionalFormatting>
  <conditionalFormatting sqref="BB217">
    <cfRule type="cellIs" dxfId="3939" priority="5171" operator="equal">
      <formula>"SD"</formula>
    </cfRule>
    <cfRule type="cellIs" dxfId="3938" priority="5172" operator="equal">
      <formula>"NO"</formula>
    </cfRule>
    <cfRule type="cellIs" dxfId="3937" priority="5173" operator="equal">
      <formula>"SI"</formula>
    </cfRule>
  </conditionalFormatting>
  <conditionalFormatting sqref="BC217">
    <cfRule type="cellIs" dxfId="3936" priority="5168" operator="equal">
      <formula>"SD"</formula>
    </cfRule>
    <cfRule type="cellIs" dxfId="3935" priority="5169" operator="equal">
      <formula>"NO"</formula>
    </cfRule>
    <cfRule type="cellIs" dxfId="3934" priority="5170" operator="equal">
      <formula>"SI"</formula>
    </cfRule>
  </conditionalFormatting>
  <conditionalFormatting sqref="BD217">
    <cfRule type="cellIs" dxfId="3933" priority="5165" operator="equal">
      <formula>"SD"</formula>
    </cfRule>
    <cfRule type="cellIs" dxfId="3932" priority="5166" operator="equal">
      <formula>"NO"</formula>
    </cfRule>
    <cfRule type="cellIs" dxfId="3931" priority="5167" operator="equal">
      <formula>"SI"</formula>
    </cfRule>
  </conditionalFormatting>
  <conditionalFormatting sqref="BE217">
    <cfRule type="cellIs" dxfId="3930" priority="5162" operator="equal">
      <formula>"SD"</formula>
    </cfRule>
    <cfRule type="cellIs" dxfId="3929" priority="5163" operator="equal">
      <formula>"NO"</formula>
    </cfRule>
    <cfRule type="cellIs" dxfId="3928" priority="5164" operator="equal">
      <formula>"SI"</formula>
    </cfRule>
  </conditionalFormatting>
  <conditionalFormatting sqref="BF217">
    <cfRule type="cellIs" dxfId="3927" priority="5159" operator="equal">
      <formula>"SD"</formula>
    </cfRule>
    <cfRule type="cellIs" dxfId="3926" priority="5160" operator="equal">
      <formula>"NO"</formula>
    </cfRule>
    <cfRule type="cellIs" dxfId="3925" priority="5161" operator="equal">
      <formula>"SI"</formula>
    </cfRule>
  </conditionalFormatting>
  <conditionalFormatting sqref="BG217">
    <cfRule type="cellIs" dxfId="3924" priority="5156" operator="equal">
      <formula>"SD"</formula>
    </cfRule>
    <cfRule type="cellIs" dxfId="3923" priority="5157" operator="equal">
      <formula>"NO"</formula>
    </cfRule>
    <cfRule type="cellIs" dxfId="3922" priority="5158" operator="equal">
      <formula>"SI"</formula>
    </cfRule>
  </conditionalFormatting>
  <conditionalFormatting sqref="BH217">
    <cfRule type="cellIs" dxfId="3921" priority="5153" operator="equal">
      <formula>"SD"</formula>
    </cfRule>
    <cfRule type="cellIs" dxfId="3920" priority="5154" operator="equal">
      <formula>"NO"</formula>
    </cfRule>
    <cfRule type="cellIs" dxfId="3919" priority="5155" operator="equal">
      <formula>"SI"</formula>
    </cfRule>
  </conditionalFormatting>
  <conditionalFormatting sqref="BI217">
    <cfRule type="cellIs" dxfId="3918" priority="5150" operator="equal">
      <formula>"SD"</formula>
    </cfRule>
    <cfRule type="cellIs" dxfId="3917" priority="5151" operator="equal">
      <formula>"NO"</formula>
    </cfRule>
    <cfRule type="cellIs" dxfId="3916" priority="5152" operator="equal">
      <formula>"SI"</formula>
    </cfRule>
  </conditionalFormatting>
  <conditionalFormatting sqref="BK217">
    <cfRule type="cellIs" dxfId="3915" priority="5144" operator="equal">
      <formula>"SD"</formula>
    </cfRule>
    <cfRule type="cellIs" dxfId="3914" priority="5145" operator="equal">
      <formula>"NO"</formula>
    </cfRule>
    <cfRule type="cellIs" dxfId="3913" priority="5146" operator="equal">
      <formula>"SI"</formula>
    </cfRule>
  </conditionalFormatting>
  <conditionalFormatting sqref="BL217">
    <cfRule type="cellIs" dxfId="3912" priority="5141" operator="equal">
      <formula>"SD"</formula>
    </cfRule>
    <cfRule type="cellIs" dxfId="3911" priority="5142" operator="equal">
      <formula>"NO"</formula>
    </cfRule>
    <cfRule type="cellIs" dxfId="3910" priority="5143" operator="equal">
      <formula>"SI"</formula>
    </cfRule>
  </conditionalFormatting>
  <conditionalFormatting sqref="BM217">
    <cfRule type="cellIs" dxfId="3909" priority="5138" operator="equal">
      <formula>"SD"</formula>
    </cfRule>
    <cfRule type="cellIs" dxfId="3908" priority="5139" operator="equal">
      <formula>"NO"</formula>
    </cfRule>
    <cfRule type="cellIs" dxfId="3907" priority="5140" operator="equal">
      <formula>"SI"</formula>
    </cfRule>
  </conditionalFormatting>
  <conditionalFormatting sqref="AZ218">
    <cfRule type="cellIs" dxfId="3906" priority="5135" operator="equal">
      <formula>"SD"</formula>
    </cfRule>
    <cfRule type="cellIs" dxfId="3905" priority="5136" operator="equal">
      <formula>"NO"</formula>
    </cfRule>
    <cfRule type="cellIs" dxfId="3904" priority="5137" operator="equal">
      <formula>"SI"</formula>
    </cfRule>
  </conditionalFormatting>
  <conditionalFormatting sqref="BA218">
    <cfRule type="cellIs" dxfId="3903" priority="5132" operator="equal">
      <formula>"SD"</formula>
    </cfRule>
    <cfRule type="cellIs" dxfId="3902" priority="5133" operator="equal">
      <formula>"NO"</formula>
    </cfRule>
    <cfRule type="cellIs" dxfId="3901" priority="5134" operator="equal">
      <formula>"SI"</formula>
    </cfRule>
  </conditionalFormatting>
  <conditionalFormatting sqref="BB218">
    <cfRule type="cellIs" dxfId="3900" priority="5129" operator="equal">
      <formula>"SD"</formula>
    </cfRule>
    <cfRule type="cellIs" dxfId="3899" priority="5130" operator="equal">
      <formula>"NO"</formula>
    </cfRule>
    <cfRule type="cellIs" dxfId="3898" priority="5131" operator="equal">
      <formula>"SI"</formula>
    </cfRule>
  </conditionalFormatting>
  <conditionalFormatting sqref="BC218">
    <cfRule type="cellIs" dxfId="3897" priority="5126" operator="equal">
      <formula>"SD"</formula>
    </cfRule>
    <cfRule type="cellIs" dxfId="3896" priority="5127" operator="equal">
      <formula>"NO"</formula>
    </cfRule>
    <cfRule type="cellIs" dxfId="3895" priority="5128" operator="equal">
      <formula>"SI"</formula>
    </cfRule>
  </conditionalFormatting>
  <conditionalFormatting sqref="BD218">
    <cfRule type="cellIs" dxfId="3894" priority="5123" operator="equal">
      <formula>"SD"</formula>
    </cfRule>
    <cfRule type="cellIs" dxfId="3893" priority="5124" operator="equal">
      <formula>"NO"</formula>
    </cfRule>
    <cfRule type="cellIs" dxfId="3892" priority="5125" operator="equal">
      <formula>"SI"</formula>
    </cfRule>
  </conditionalFormatting>
  <conditionalFormatting sqref="BE218">
    <cfRule type="cellIs" dxfId="3891" priority="5120" operator="equal">
      <formula>"SD"</formula>
    </cfRule>
    <cfRule type="cellIs" dxfId="3890" priority="5121" operator="equal">
      <formula>"NO"</formula>
    </cfRule>
    <cfRule type="cellIs" dxfId="3889" priority="5122" operator="equal">
      <formula>"SI"</formula>
    </cfRule>
  </conditionalFormatting>
  <conditionalFormatting sqref="BF218">
    <cfRule type="cellIs" dxfId="3888" priority="5117" operator="equal">
      <formula>"SD"</formula>
    </cfRule>
    <cfRule type="cellIs" dxfId="3887" priority="5118" operator="equal">
      <formula>"NO"</formula>
    </cfRule>
    <cfRule type="cellIs" dxfId="3886" priority="5119" operator="equal">
      <formula>"SI"</formula>
    </cfRule>
  </conditionalFormatting>
  <conditionalFormatting sqref="BG218">
    <cfRule type="cellIs" dxfId="3885" priority="5114" operator="equal">
      <formula>"SD"</formula>
    </cfRule>
    <cfRule type="cellIs" dxfId="3884" priority="5115" operator="equal">
      <formula>"NO"</formula>
    </cfRule>
    <cfRule type="cellIs" dxfId="3883" priority="5116" operator="equal">
      <formula>"SI"</formula>
    </cfRule>
  </conditionalFormatting>
  <conditionalFormatting sqref="BH218">
    <cfRule type="cellIs" dxfId="3882" priority="5111" operator="equal">
      <formula>"SD"</formula>
    </cfRule>
    <cfRule type="cellIs" dxfId="3881" priority="5112" operator="equal">
      <formula>"NO"</formula>
    </cfRule>
    <cfRule type="cellIs" dxfId="3880" priority="5113" operator="equal">
      <formula>"SI"</formula>
    </cfRule>
  </conditionalFormatting>
  <conditionalFormatting sqref="BI218">
    <cfRule type="cellIs" dxfId="3879" priority="5108" operator="equal">
      <formula>"SD"</formula>
    </cfRule>
    <cfRule type="cellIs" dxfId="3878" priority="5109" operator="equal">
      <formula>"NO"</formula>
    </cfRule>
    <cfRule type="cellIs" dxfId="3877" priority="5110" operator="equal">
      <formula>"SI"</formula>
    </cfRule>
  </conditionalFormatting>
  <conditionalFormatting sqref="BK218">
    <cfRule type="cellIs" dxfId="3876" priority="5102" operator="equal">
      <formula>"SD"</formula>
    </cfRule>
    <cfRule type="cellIs" dxfId="3875" priority="5103" operator="equal">
      <formula>"NO"</formula>
    </cfRule>
    <cfRule type="cellIs" dxfId="3874" priority="5104" operator="equal">
      <formula>"SI"</formula>
    </cfRule>
  </conditionalFormatting>
  <conditionalFormatting sqref="BL218">
    <cfRule type="cellIs" dxfId="3873" priority="5099" operator="equal">
      <formula>"SD"</formula>
    </cfRule>
    <cfRule type="cellIs" dxfId="3872" priority="5100" operator="equal">
      <formula>"NO"</formula>
    </cfRule>
    <cfRule type="cellIs" dxfId="3871" priority="5101" operator="equal">
      <formula>"SI"</formula>
    </cfRule>
  </conditionalFormatting>
  <conditionalFormatting sqref="BM218">
    <cfRule type="cellIs" dxfId="3870" priority="5096" operator="equal">
      <formula>"SD"</formula>
    </cfRule>
    <cfRule type="cellIs" dxfId="3869" priority="5097" operator="equal">
      <formula>"NO"</formula>
    </cfRule>
    <cfRule type="cellIs" dxfId="3868" priority="5098" operator="equal">
      <formula>"SI"</formula>
    </cfRule>
  </conditionalFormatting>
  <conditionalFormatting sqref="BC219">
    <cfRule type="cellIs" dxfId="3867" priority="4513" operator="equal">
      <formula>"SD"</formula>
    </cfRule>
    <cfRule type="cellIs" dxfId="3866" priority="4514" operator="equal">
      <formula>"NO"</formula>
    </cfRule>
    <cfRule type="cellIs" dxfId="3865" priority="4515" operator="equal">
      <formula>"SI"</formula>
    </cfRule>
  </conditionalFormatting>
  <conditionalFormatting sqref="BC220">
    <cfRule type="cellIs" dxfId="3864" priority="4510" operator="equal">
      <formula>"SD"</formula>
    </cfRule>
    <cfRule type="cellIs" dxfId="3863" priority="4511" operator="equal">
      <formula>"NO"</formula>
    </cfRule>
    <cfRule type="cellIs" dxfId="3862" priority="4512" operator="equal">
      <formula>"SI"</formula>
    </cfRule>
  </conditionalFormatting>
  <conditionalFormatting sqref="BC221">
    <cfRule type="cellIs" dxfId="3861" priority="4507" operator="equal">
      <formula>"SD"</formula>
    </cfRule>
    <cfRule type="cellIs" dxfId="3860" priority="4508" operator="equal">
      <formula>"NO"</formula>
    </cfRule>
    <cfRule type="cellIs" dxfId="3859" priority="4509" operator="equal">
      <formula>"SI"</formula>
    </cfRule>
  </conditionalFormatting>
  <conditionalFormatting sqref="CR213">
    <cfRule type="expression" dxfId="3858" priority="4224">
      <formula>IF(CT213="NO APLICA REGISTRO TA-INGRESO TARDIO",1,"")</formula>
    </cfRule>
  </conditionalFormatting>
  <conditionalFormatting sqref="CS213">
    <cfRule type="expression" dxfId="3857" priority="4223">
      <formula>IF(CT213="NO APLICA REGISTRO TA-INGRESO TARDIO",1,"")</formula>
    </cfRule>
  </conditionalFormatting>
  <conditionalFormatting sqref="FA213">
    <cfRule type="expression" dxfId="3856" priority="4222">
      <formula>IF(AND(FA213&gt;=126,FC213&lt;24),1,0)</formula>
    </cfRule>
  </conditionalFormatting>
  <conditionalFormatting sqref="FJ213">
    <cfRule type="containsText" dxfId="3855" priority="4219" operator="containsText" text="POSITIVA CICATRIZ">
      <formula>NOT(ISERROR(SEARCH("POSITIVA CICATRIZ",FJ213)))</formula>
    </cfRule>
    <cfRule type="containsText" dxfId="3854" priority="4220" operator="containsText" text="POSITIVA CASO SIFILIS">
      <formula>NOT(ISERROR(SEARCH("POSITIVA CASO SIFILIS",FJ213)))</formula>
    </cfRule>
    <cfRule type="containsText" dxfId="3853" priority="4221" operator="containsText" text="NEGATIVA">
      <formula>NOT(ISERROR(SEARCH("NEGATIVA",FJ213)))</formula>
    </cfRule>
  </conditionalFormatting>
  <conditionalFormatting sqref="FY213">
    <cfRule type="containsText" dxfId="3852" priority="4216" operator="containsText" text="P.R REACTIVA">
      <formula>NOT(ISERROR(SEARCH("P.R REACTIVA",FY213)))</formula>
    </cfRule>
    <cfRule type="containsText" dxfId="3851" priority="4217" operator="containsText" text="NO REACTIVA">
      <formula>NOT(ISERROR(SEARCH("NO REACTIVA",FY213)))</formula>
    </cfRule>
    <cfRule type="containsText" dxfId="3850" priority="4218" operator="containsText" text="ELISA REACTIVA">
      <formula>NOT(ISERROR(SEARCH("ELISA REACTIVA",FY213)))</formula>
    </cfRule>
  </conditionalFormatting>
  <conditionalFormatting sqref="HT213 HV213">
    <cfRule type="containsText" dxfId="3849" priority="4212" operator="containsText" text="NO SE FORMULA">
      <formula>NOT(ISERROR(SEARCH("NO SE FORMULA",HT213)))</formula>
    </cfRule>
    <cfRule type="containsText" dxfId="3848" priority="4213" operator="containsText" text="OTRO">
      <formula>NOT(ISERROR(SEARCH("OTRO",HT213)))</formula>
    </cfRule>
    <cfRule type="containsText" dxfId="3847" priority="4214" operator="containsText" text="IRREGULAR">
      <formula>NOT(ISERROR(SEARCH("IRREGULAR",HT213)))</formula>
    </cfRule>
    <cfRule type="containsText" dxfId="3846" priority="4215" operator="containsText" text="ADECUADO">
      <formula>NOT(ISERROR(SEARCH("ADECUADO",HT213)))</formula>
    </cfRule>
  </conditionalFormatting>
  <conditionalFormatting sqref="HX213">
    <cfRule type="containsText" dxfId="3845" priority="4208" operator="containsText" text="NO SE FORMULA">
      <formula>NOT(ISERROR(SEARCH("NO SE FORMULA",HX213)))</formula>
    </cfRule>
    <cfRule type="containsText" dxfId="3844" priority="4209" operator="containsText" text="OTRO">
      <formula>NOT(ISERROR(SEARCH("OTRO",HX213)))</formula>
    </cfRule>
    <cfRule type="containsText" dxfId="3843" priority="4210" operator="containsText" text="IRREGULAR">
      <formula>NOT(ISERROR(SEARCH("IRREGULAR",HX213)))</formula>
    </cfRule>
    <cfRule type="containsText" dxfId="3842" priority="4211" operator="containsText" text="ADECUADO">
      <formula>NOT(ISERROR(SEARCH("ADECUADO",HX213)))</formula>
    </cfRule>
  </conditionalFormatting>
  <conditionalFormatting sqref="FB219">
    <cfRule type="containsText" dxfId="3841" priority="4204" operator="containsText" text="RH NEGATIVO SIN COOMB">
      <formula>NOT(ISERROR(SEARCH("RH NEGATIVO SIN COOMB",FB219)))</formula>
    </cfRule>
    <cfRule type="containsText" dxfId="3840" priority="4205" operator="containsText" text="RH NEGATIVO CON COOMBS POSITIVO">
      <formula>NOT(ISERROR(SEARCH("RH NEGATIVO CON COOMBS POSITIVO",FB219)))</formula>
    </cfRule>
    <cfRule type="containsText" dxfId="3839" priority="4206" operator="containsText" text="RH NEGATIVO CON COOMBS NEGATIVO">
      <formula>NOT(ISERROR(SEARCH("RH NEGATIVO CON COOMBS NEGATIVO",FB219)))</formula>
    </cfRule>
    <cfRule type="containsText" dxfId="3838" priority="4207" operator="containsText" text="RH POSITIVO">
      <formula>NOT(ISERROR(SEARCH("RH POSITIVO",FB219)))</formula>
    </cfRule>
  </conditionalFormatting>
  <conditionalFormatting sqref="AG222:AH222 AJ222">
    <cfRule type="cellIs" dxfId="3837" priority="4201" operator="equal">
      <formula>"SD"</formula>
    </cfRule>
    <cfRule type="cellIs" dxfId="3836" priority="4202" operator="equal">
      <formula>"NO"</formula>
    </cfRule>
    <cfRule type="cellIs" dxfId="3835" priority="4203" operator="equal">
      <formula>"SI"</formula>
    </cfRule>
  </conditionalFormatting>
  <conditionalFormatting sqref="AI222">
    <cfRule type="containsText" dxfId="3834" priority="4191" operator="containsText" text="HABITANTE DE CALLE">
      <formula>NOT(ISERROR(SEARCH("HABITANTE DE CALLE",AI222)))</formula>
    </cfRule>
    <cfRule type="containsText" dxfId="3833" priority="4197" operator="containsText" text="NINGUNO">
      <formula>NOT(ISERROR(SEARCH("NINGUNO",AI222)))</formula>
    </cfRule>
    <cfRule type="containsText" dxfId="3832" priority="4198" operator="containsText" text="MIGRATORIA">
      <formula>NOT(ISERROR(SEARCH("MIGRATORIA",AI222)))</formula>
    </cfRule>
    <cfRule type="containsText" dxfId="3831" priority="4199" operator="containsText" text="DISCAPACIDAD">
      <formula>NOT(ISERROR(SEARCH("DISCAPACIDAD",AI222)))</formula>
    </cfRule>
    <cfRule type="containsText" dxfId="3830" priority="4200" operator="containsText" text="DESPLAZADA">
      <formula>NOT(ISERROR(SEARCH("DESPLAZADA",AI222)))</formula>
    </cfRule>
  </conditionalFormatting>
  <conditionalFormatting sqref="AE222:AF222">
    <cfRule type="containsText" dxfId="3829" priority="4195" operator="containsText" text="NO">
      <formula>NOT(ISERROR(SEARCH("NO",AE222)))</formula>
    </cfRule>
    <cfRule type="containsText" dxfId="3828" priority="4196" operator="containsText" text="SI">
      <formula>NOT(ISERROR(SEARCH("SI",AE222)))</formula>
    </cfRule>
  </conditionalFormatting>
  <conditionalFormatting sqref="AX222 BA222:BB222 BD222:BE222">
    <cfRule type="cellIs" dxfId="3827" priority="4188" operator="equal">
      <formula>"SD"</formula>
    </cfRule>
    <cfRule type="cellIs" dxfId="3826" priority="4189" operator="equal">
      <formula>"NO"</formula>
    </cfRule>
    <cfRule type="cellIs" dxfId="3825" priority="4190" operator="equal">
      <formula>"SI"</formula>
    </cfRule>
  </conditionalFormatting>
  <conditionalFormatting sqref="BE222">
    <cfRule type="expression" dxfId="3824" priority="4187">
      <formula>IF(AND(FA222&gt;=126,FC222&lt;24),1,0)</formula>
    </cfRule>
  </conditionalFormatting>
  <conditionalFormatting sqref="AY222">
    <cfRule type="containsText" dxfId="3823" priority="4182" operator="containsText" text="SD">
      <formula>NOT(ISERROR(SEARCH("SD",AY222)))</formula>
    </cfRule>
    <cfRule type="containsText" dxfId="3822" priority="4183" operator="containsText" text="SI, NO CONTROLADA">
      <formula>NOT(ISERROR(SEARCH("SI, NO CONTROLADA",AY222)))</formula>
    </cfRule>
    <cfRule type="containsText" dxfId="3821" priority="4184" operator="containsText" text="SI, SIN MANEJO">
      <formula>NOT(ISERROR(SEARCH("SI, SIN MANEJO",AY222)))</formula>
    </cfRule>
    <cfRule type="containsText" dxfId="3820" priority="4185" operator="containsText" text="SI, CONTROLADA">
      <formula>NOT(ISERROR(SEARCH("SI, CONTROLADA",AY222)))</formula>
    </cfRule>
    <cfRule type="containsText" dxfId="3819" priority="4186" operator="containsText" text="NO">
      <formula>NOT(ISERROR(SEARCH("NO",AY222)))</formula>
    </cfRule>
  </conditionalFormatting>
  <conditionalFormatting sqref="AZ222">
    <cfRule type="containsText" dxfId="3818" priority="4177" operator="containsText" text="SD">
      <formula>NOT(ISERROR(SEARCH("SD",AZ222)))</formula>
    </cfRule>
    <cfRule type="containsText" dxfId="3817" priority="4178" operator="containsText" text="SI, NO CONTROLADA">
      <formula>NOT(ISERROR(SEARCH("SI, NO CONTROLADA",AZ222)))</formula>
    </cfRule>
    <cfRule type="containsText" dxfId="3816" priority="4179" operator="containsText" text="SI, SIN MANEJO">
      <formula>NOT(ISERROR(SEARCH("SI, SIN MANEJO",AZ222)))</formula>
    </cfRule>
    <cfRule type="containsText" dxfId="3815" priority="4180" operator="containsText" text="SI, CONTROLADA">
      <formula>NOT(ISERROR(SEARCH("SI, CONTROLADA",AZ222)))</formula>
    </cfRule>
    <cfRule type="containsText" dxfId="3814" priority="4181" operator="containsText" text="NO">
      <formula>NOT(ISERROR(SEARCH("NO",AZ222)))</formula>
    </cfRule>
  </conditionalFormatting>
  <conditionalFormatting sqref="BC222">
    <cfRule type="cellIs" dxfId="3813" priority="4174" operator="equal">
      <formula>"SD"</formula>
    </cfRule>
    <cfRule type="cellIs" dxfId="3812" priority="4175" operator="equal">
      <formula>"NO"</formula>
    </cfRule>
    <cfRule type="cellIs" dxfId="3811" priority="4176" operator="equal">
      <formula>"SI"</formula>
    </cfRule>
  </conditionalFormatting>
  <conditionalFormatting sqref="AG223:AH223 AJ223">
    <cfRule type="cellIs" dxfId="3810" priority="4171" operator="equal">
      <formula>"SD"</formula>
    </cfRule>
    <cfRule type="cellIs" dxfId="3809" priority="4172" operator="equal">
      <formula>"NO"</formula>
    </cfRule>
    <cfRule type="cellIs" dxfId="3808" priority="4173" operator="equal">
      <formula>"SI"</formula>
    </cfRule>
  </conditionalFormatting>
  <conditionalFormatting sqref="AI223">
    <cfRule type="containsText" dxfId="3807" priority="4161" operator="containsText" text="HABITANTE DE CALLE">
      <formula>NOT(ISERROR(SEARCH("HABITANTE DE CALLE",AI223)))</formula>
    </cfRule>
    <cfRule type="containsText" dxfId="3806" priority="4167" operator="containsText" text="NINGUNO">
      <formula>NOT(ISERROR(SEARCH("NINGUNO",AI223)))</formula>
    </cfRule>
    <cfRule type="containsText" dxfId="3805" priority="4168" operator="containsText" text="MIGRATORIA">
      <formula>NOT(ISERROR(SEARCH("MIGRATORIA",AI223)))</formula>
    </cfRule>
    <cfRule type="containsText" dxfId="3804" priority="4169" operator="containsText" text="DISCAPACIDAD">
      <formula>NOT(ISERROR(SEARCH("DISCAPACIDAD",AI223)))</formula>
    </cfRule>
    <cfRule type="containsText" dxfId="3803" priority="4170" operator="containsText" text="DESPLAZADA">
      <formula>NOT(ISERROR(SEARCH("DESPLAZADA",AI223)))</formula>
    </cfRule>
  </conditionalFormatting>
  <conditionalFormatting sqref="AE223:AF223">
    <cfRule type="containsText" dxfId="3802" priority="4165" operator="containsText" text="NO">
      <formula>NOT(ISERROR(SEARCH("NO",AE223)))</formula>
    </cfRule>
    <cfRule type="containsText" dxfId="3801" priority="4166" operator="containsText" text="SI">
      <formula>NOT(ISERROR(SEARCH("SI",AE223)))</formula>
    </cfRule>
  </conditionalFormatting>
  <conditionalFormatting sqref="BF223:BI223">
    <cfRule type="cellIs" dxfId="3800" priority="4158" operator="equal">
      <formula>"SD"</formula>
    </cfRule>
    <cfRule type="cellIs" dxfId="3799" priority="4159" operator="equal">
      <formula>"NO"</formula>
    </cfRule>
    <cfRule type="cellIs" dxfId="3798" priority="4160" operator="equal">
      <formula>"SI"</formula>
    </cfRule>
  </conditionalFormatting>
  <conditionalFormatting sqref="AX223 BA223:BB223 BD223:BE223">
    <cfRule type="cellIs" dxfId="3797" priority="4155" operator="equal">
      <formula>"SD"</formula>
    </cfRule>
    <cfRule type="cellIs" dxfId="3796" priority="4156" operator="equal">
      <formula>"NO"</formula>
    </cfRule>
    <cfRule type="cellIs" dxfId="3795" priority="4157" operator="equal">
      <formula>"SI"</formula>
    </cfRule>
  </conditionalFormatting>
  <conditionalFormatting sqref="BE223">
    <cfRule type="expression" dxfId="3794" priority="4154">
      <formula>IF(AND(FA223&gt;=126,FC223&lt;24),1,0)</formula>
    </cfRule>
  </conditionalFormatting>
  <conditionalFormatting sqref="AY223">
    <cfRule type="containsText" dxfId="3793" priority="4149" operator="containsText" text="SD">
      <formula>NOT(ISERROR(SEARCH("SD",AY223)))</formula>
    </cfRule>
    <cfRule type="containsText" dxfId="3792" priority="4150" operator="containsText" text="SI, NO CONTROLADA">
      <formula>NOT(ISERROR(SEARCH("SI, NO CONTROLADA",AY223)))</formula>
    </cfRule>
    <cfRule type="containsText" dxfId="3791" priority="4151" operator="containsText" text="SI, SIN MANEJO">
      <formula>NOT(ISERROR(SEARCH("SI, SIN MANEJO",AY223)))</formula>
    </cfRule>
    <cfRule type="containsText" dxfId="3790" priority="4152" operator="containsText" text="SI, CONTROLADA">
      <formula>NOT(ISERROR(SEARCH("SI, CONTROLADA",AY223)))</formula>
    </cfRule>
    <cfRule type="containsText" dxfId="3789" priority="4153" operator="containsText" text="NO">
      <formula>NOT(ISERROR(SEARCH("NO",AY223)))</formula>
    </cfRule>
  </conditionalFormatting>
  <conditionalFormatting sqref="AZ223">
    <cfRule type="containsText" dxfId="3788" priority="4144" operator="containsText" text="SD">
      <formula>NOT(ISERROR(SEARCH("SD",AZ223)))</formula>
    </cfRule>
    <cfRule type="containsText" dxfId="3787" priority="4145" operator="containsText" text="SI, NO CONTROLADA">
      <formula>NOT(ISERROR(SEARCH("SI, NO CONTROLADA",AZ223)))</formula>
    </cfRule>
    <cfRule type="containsText" dxfId="3786" priority="4146" operator="containsText" text="SI, SIN MANEJO">
      <formula>NOT(ISERROR(SEARCH("SI, SIN MANEJO",AZ223)))</formula>
    </cfRule>
    <cfRule type="containsText" dxfId="3785" priority="4147" operator="containsText" text="SI, CONTROLADA">
      <formula>NOT(ISERROR(SEARCH("SI, CONTROLADA",AZ223)))</formula>
    </cfRule>
    <cfRule type="containsText" dxfId="3784" priority="4148" operator="containsText" text="NO">
      <formula>NOT(ISERROR(SEARCH("NO",AZ223)))</formula>
    </cfRule>
  </conditionalFormatting>
  <conditionalFormatting sqref="BC223">
    <cfRule type="cellIs" dxfId="3783" priority="4141" operator="equal">
      <formula>"SD"</formula>
    </cfRule>
    <cfRule type="cellIs" dxfId="3782" priority="4142" operator="equal">
      <formula>"NO"</formula>
    </cfRule>
    <cfRule type="cellIs" dxfId="3781" priority="4143" operator="equal">
      <formula>"SI"</formula>
    </cfRule>
  </conditionalFormatting>
  <conditionalFormatting sqref="CE223">
    <cfRule type="cellIs" dxfId="3780" priority="4138" operator="equal">
      <formula>"SD"</formula>
    </cfRule>
    <cfRule type="cellIs" dxfId="3779" priority="4139" operator="equal">
      <formula>"NO"</formula>
    </cfRule>
    <cfRule type="cellIs" dxfId="3778" priority="4140" operator="equal">
      <formula>"SI"</formula>
    </cfRule>
  </conditionalFormatting>
  <conditionalFormatting sqref="CD223">
    <cfRule type="cellIs" dxfId="3777" priority="4133" operator="equal">
      <formula>"SD"</formula>
    </cfRule>
    <cfRule type="cellIs" dxfId="3776" priority="4134" operator="equal">
      <formula>"OBLICUA"</formula>
    </cfRule>
    <cfRule type="cellIs" dxfId="3775" priority="4136" operator="equal">
      <formula>"PODÁLICA"</formula>
    </cfRule>
    <cfRule type="cellIs" dxfId="3774" priority="4137" operator="equal">
      <formula>"CEFÁLICA"</formula>
    </cfRule>
  </conditionalFormatting>
  <conditionalFormatting sqref="AG224:AH224 AJ224">
    <cfRule type="cellIs" dxfId="3773" priority="4130" operator="equal">
      <formula>"SD"</formula>
    </cfRule>
    <cfRule type="cellIs" dxfId="3772" priority="4131" operator="equal">
      <formula>"NO"</formula>
    </cfRule>
    <cfRule type="cellIs" dxfId="3771" priority="4132" operator="equal">
      <formula>"SI"</formula>
    </cfRule>
  </conditionalFormatting>
  <conditionalFormatting sqref="AI224">
    <cfRule type="containsText" dxfId="3770" priority="4120" operator="containsText" text="HABITANTE DE CALLE">
      <formula>NOT(ISERROR(SEARCH("HABITANTE DE CALLE",AI224)))</formula>
    </cfRule>
    <cfRule type="containsText" dxfId="3769" priority="4126" operator="containsText" text="NINGUNO">
      <formula>NOT(ISERROR(SEARCH("NINGUNO",AI224)))</formula>
    </cfRule>
    <cfRule type="containsText" dxfId="3768" priority="4127" operator="containsText" text="MIGRATORIA">
      <formula>NOT(ISERROR(SEARCH("MIGRATORIA",AI224)))</formula>
    </cfRule>
    <cfRule type="containsText" dxfId="3767" priority="4128" operator="containsText" text="DISCAPACIDAD">
      <formula>NOT(ISERROR(SEARCH("DISCAPACIDAD",AI224)))</formula>
    </cfRule>
    <cfRule type="containsText" dxfId="3766" priority="4129" operator="containsText" text="DESPLAZADA">
      <formula>NOT(ISERROR(SEARCH("DESPLAZADA",AI224)))</formula>
    </cfRule>
  </conditionalFormatting>
  <conditionalFormatting sqref="AE224:AF224">
    <cfRule type="containsText" dxfId="3765" priority="4124" operator="containsText" text="NO">
      <formula>NOT(ISERROR(SEARCH("NO",AE224)))</formula>
    </cfRule>
    <cfRule type="containsText" dxfId="3764" priority="4125" operator="containsText" text="SI">
      <formula>NOT(ISERROR(SEARCH("SI",AE224)))</formula>
    </cfRule>
  </conditionalFormatting>
  <conditionalFormatting sqref="BJ224:BK224">
    <cfRule type="cellIs" dxfId="3763" priority="4117" operator="equal">
      <formula>"SD"</formula>
    </cfRule>
    <cfRule type="cellIs" dxfId="3762" priority="4118" operator="equal">
      <formula>"NO"</formula>
    </cfRule>
    <cfRule type="cellIs" dxfId="3761" priority="4119" operator="equal">
      <formula>"SI"</formula>
    </cfRule>
  </conditionalFormatting>
  <conditionalFormatting sqref="BF224:BI224">
    <cfRule type="cellIs" dxfId="3760" priority="4114" operator="equal">
      <formula>"SD"</formula>
    </cfRule>
    <cfRule type="cellIs" dxfId="3759" priority="4115" operator="equal">
      <formula>"NO"</formula>
    </cfRule>
    <cfRule type="cellIs" dxfId="3758" priority="4116" operator="equal">
      <formula>"SI"</formula>
    </cfRule>
  </conditionalFormatting>
  <conditionalFormatting sqref="AX224 BA224:BB224 BD224:BE224">
    <cfRule type="cellIs" dxfId="3757" priority="4111" operator="equal">
      <formula>"SD"</formula>
    </cfRule>
    <cfRule type="cellIs" dxfId="3756" priority="4112" operator="equal">
      <formula>"NO"</formula>
    </cfRule>
    <cfRule type="cellIs" dxfId="3755" priority="4113" operator="equal">
      <formula>"SI"</formula>
    </cfRule>
  </conditionalFormatting>
  <conditionalFormatting sqref="BE224">
    <cfRule type="expression" dxfId="3754" priority="4110">
      <formula>IF(AND(FA224&gt;=126,FC224&lt;24),1,0)</formula>
    </cfRule>
  </conditionalFormatting>
  <conditionalFormatting sqref="AY224">
    <cfRule type="containsText" dxfId="3753" priority="4105" operator="containsText" text="SD">
      <formula>NOT(ISERROR(SEARCH("SD",AY224)))</formula>
    </cfRule>
    <cfRule type="containsText" dxfId="3752" priority="4106" operator="containsText" text="SI, NO CONTROLADA">
      <formula>NOT(ISERROR(SEARCH("SI, NO CONTROLADA",AY224)))</formula>
    </cfRule>
    <cfRule type="containsText" dxfId="3751" priority="4107" operator="containsText" text="SI, SIN MANEJO">
      <formula>NOT(ISERROR(SEARCH("SI, SIN MANEJO",AY224)))</formula>
    </cfRule>
    <cfRule type="containsText" dxfId="3750" priority="4108" operator="containsText" text="SI, CONTROLADA">
      <formula>NOT(ISERROR(SEARCH("SI, CONTROLADA",AY224)))</formula>
    </cfRule>
    <cfRule type="containsText" dxfId="3749" priority="4109" operator="containsText" text="NO">
      <formula>NOT(ISERROR(SEARCH("NO",AY224)))</formula>
    </cfRule>
  </conditionalFormatting>
  <conditionalFormatting sqref="AZ224">
    <cfRule type="containsText" dxfId="3748" priority="4100" operator="containsText" text="SD">
      <formula>NOT(ISERROR(SEARCH("SD",AZ224)))</formula>
    </cfRule>
    <cfRule type="containsText" dxfId="3747" priority="4101" operator="containsText" text="SI, NO CONTROLADA">
      <formula>NOT(ISERROR(SEARCH("SI, NO CONTROLADA",AZ224)))</formula>
    </cfRule>
    <cfRule type="containsText" dxfId="3746" priority="4102" operator="containsText" text="SI, SIN MANEJO">
      <formula>NOT(ISERROR(SEARCH("SI, SIN MANEJO",AZ224)))</formula>
    </cfRule>
    <cfRule type="containsText" dxfId="3745" priority="4103" operator="containsText" text="SI, CONTROLADA">
      <formula>NOT(ISERROR(SEARCH("SI, CONTROLADA",AZ224)))</formula>
    </cfRule>
    <cfRule type="containsText" dxfId="3744" priority="4104" operator="containsText" text="NO">
      <formula>NOT(ISERROR(SEARCH("NO",AZ224)))</formula>
    </cfRule>
  </conditionalFormatting>
  <conditionalFormatting sqref="BC224">
    <cfRule type="cellIs" dxfId="3743" priority="4097" operator="equal">
      <formula>"SD"</formula>
    </cfRule>
    <cfRule type="cellIs" dxfId="3742" priority="4098" operator="equal">
      <formula>"NO"</formula>
    </cfRule>
    <cfRule type="cellIs" dxfId="3741" priority="4099" operator="equal">
      <formula>"SI"</formula>
    </cfRule>
  </conditionalFormatting>
  <conditionalFormatting sqref="CC224">
    <cfRule type="cellIs" dxfId="3740" priority="4094" operator="equal">
      <formula>"SD"</formula>
    </cfRule>
    <cfRule type="cellIs" dxfId="3739" priority="4095" operator="equal">
      <formula>"NO"</formula>
    </cfRule>
    <cfRule type="cellIs" dxfId="3738" priority="4096" operator="equal">
      <formula>"SI"</formula>
    </cfRule>
  </conditionalFormatting>
  <conditionalFormatting sqref="CE224">
    <cfRule type="cellIs" dxfId="3737" priority="4091" operator="equal">
      <formula>"SD"</formula>
    </cfRule>
    <cfRule type="cellIs" dxfId="3736" priority="4092" operator="equal">
      <formula>"NO"</formula>
    </cfRule>
    <cfRule type="cellIs" dxfId="3735" priority="4093" operator="equal">
      <formula>"SI"</formula>
    </cfRule>
  </conditionalFormatting>
  <conditionalFormatting sqref="CD224">
    <cfRule type="cellIs" dxfId="3734" priority="4086" operator="equal">
      <formula>"SD"</formula>
    </cfRule>
    <cfRule type="cellIs" dxfId="3733" priority="4087" operator="equal">
      <formula>"OBLICUA"</formula>
    </cfRule>
    <cfRule type="cellIs" dxfId="3732" priority="4089" operator="equal">
      <formula>"PODÁLICA"</formula>
    </cfRule>
    <cfRule type="cellIs" dxfId="3731" priority="4090" operator="equal">
      <formula>"CEFÁLICA"</formula>
    </cfRule>
  </conditionalFormatting>
  <conditionalFormatting sqref="AE225">
    <cfRule type="containsText" dxfId="3730" priority="4084" operator="containsText" text="NO">
      <formula>NOT(ISERROR(SEARCH("NO",AE225)))</formula>
    </cfRule>
    <cfRule type="containsText" dxfId="3729" priority="4085" operator="containsText" text="SI">
      <formula>NOT(ISERROR(SEARCH("SI",AE225)))</formula>
    </cfRule>
  </conditionalFormatting>
  <conditionalFormatting sqref="AG225:AH225 AJ225">
    <cfRule type="cellIs" dxfId="3728" priority="4078" operator="equal">
      <formula>"SD"</formula>
    </cfRule>
    <cfRule type="cellIs" dxfId="3727" priority="4079" operator="equal">
      <formula>"NO"</formula>
    </cfRule>
    <cfRule type="cellIs" dxfId="3726" priority="4080" operator="equal">
      <formula>"SI"</formula>
    </cfRule>
  </conditionalFormatting>
  <conditionalFormatting sqref="AI225">
    <cfRule type="containsText" dxfId="3725" priority="4071" operator="containsText" text="HABITANTE DE CALLE">
      <formula>NOT(ISERROR(SEARCH("HABITANTE DE CALLE",AI225)))</formula>
    </cfRule>
    <cfRule type="containsText" dxfId="3724" priority="4074" operator="containsText" text="NINGUNO">
      <formula>NOT(ISERROR(SEARCH("NINGUNO",AI225)))</formula>
    </cfRule>
    <cfRule type="containsText" dxfId="3723" priority="4075" operator="containsText" text="MIGRATORIA">
      <formula>NOT(ISERROR(SEARCH("MIGRATORIA",AI225)))</formula>
    </cfRule>
    <cfRule type="containsText" dxfId="3722" priority="4076" operator="containsText" text="DISCAPACIDAD">
      <formula>NOT(ISERROR(SEARCH("DISCAPACIDAD",AI225)))</formula>
    </cfRule>
    <cfRule type="containsText" dxfId="3721" priority="4077" operator="containsText" text="DESPLAZADA">
      <formula>NOT(ISERROR(SEARCH("DESPLAZADA",AI225)))</formula>
    </cfRule>
  </conditionalFormatting>
  <conditionalFormatting sqref="AF225">
    <cfRule type="containsText" dxfId="3720" priority="4072" operator="containsText" text="NO">
      <formula>NOT(ISERROR(SEARCH("NO",AF225)))</formula>
    </cfRule>
    <cfRule type="containsText" dxfId="3719" priority="4073" operator="containsText" text="SI">
      <formula>NOT(ISERROR(SEARCH("SI",AF225)))</formula>
    </cfRule>
  </conditionalFormatting>
  <conditionalFormatting sqref="BJ225">
    <cfRule type="cellIs" dxfId="3718" priority="4068" operator="equal">
      <formula>"SD"</formula>
    </cfRule>
    <cfRule type="cellIs" dxfId="3717" priority="4069" operator="equal">
      <formula>"NO"</formula>
    </cfRule>
    <cfRule type="cellIs" dxfId="3716" priority="4070" operator="equal">
      <formula>"SI"</formula>
    </cfRule>
  </conditionalFormatting>
  <conditionalFormatting sqref="BF225:BI225">
    <cfRule type="cellIs" dxfId="3715" priority="4065" operator="equal">
      <formula>"SD"</formula>
    </cfRule>
    <cfRule type="cellIs" dxfId="3714" priority="4066" operator="equal">
      <formula>"NO"</formula>
    </cfRule>
    <cfRule type="cellIs" dxfId="3713" priority="4067" operator="equal">
      <formula>"SI"</formula>
    </cfRule>
  </conditionalFormatting>
  <conditionalFormatting sqref="AX225 BA225:BB225 BD225:BE225">
    <cfRule type="cellIs" dxfId="3712" priority="4062" operator="equal">
      <formula>"SD"</formula>
    </cfRule>
    <cfRule type="cellIs" dxfId="3711" priority="4063" operator="equal">
      <formula>"NO"</formula>
    </cfRule>
    <cfRule type="cellIs" dxfId="3710" priority="4064" operator="equal">
      <formula>"SI"</formula>
    </cfRule>
  </conditionalFormatting>
  <conditionalFormatting sqref="BE225">
    <cfRule type="expression" dxfId="3709" priority="4061">
      <formula>IF(AND(FA225&gt;=126,FC225&lt;24),1,0)</formula>
    </cfRule>
  </conditionalFormatting>
  <conditionalFormatting sqref="AY225">
    <cfRule type="containsText" dxfId="3708" priority="4056" operator="containsText" text="SD">
      <formula>NOT(ISERROR(SEARCH("SD",AY225)))</formula>
    </cfRule>
    <cfRule type="containsText" dxfId="3707" priority="4057" operator="containsText" text="SI, NO CONTROLADA">
      <formula>NOT(ISERROR(SEARCH("SI, NO CONTROLADA",AY225)))</formula>
    </cfRule>
    <cfRule type="containsText" dxfId="3706" priority="4058" operator="containsText" text="SI, SIN MANEJO">
      <formula>NOT(ISERROR(SEARCH("SI, SIN MANEJO",AY225)))</formula>
    </cfRule>
    <cfRule type="containsText" dxfId="3705" priority="4059" operator="containsText" text="SI, CONTROLADA">
      <formula>NOT(ISERROR(SEARCH("SI, CONTROLADA",AY225)))</formula>
    </cfRule>
    <cfRule type="containsText" dxfId="3704" priority="4060" operator="containsText" text="NO">
      <formula>NOT(ISERROR(SEARCH("NO",AY225)))</formula>
    </cfRule>
  </conditionalFormatting>
  <conditionalFormatting sqref="AZ225">
    <cfRule type="containsText" dxfId="3703" priority="4051" operator="containsText" text="SD">
      <formula>NOT(ISERROR(SEARCH("SD",AZ225)))</formula>
    </cfRule>
    <cfRule type="containsText" dxfId="3702" priority="4052" operator="containsText" text="SI, NO CONTROLADA">
      <formula>NOT(ISERROR(SEARCH("SI, NO CONTROLADA",AZ225)))</formula>
    </cfRule>
    <cfRule type="containsText" dxfId="3701" priority="4053" operator="containsText" text="SI, SIN MANEJO">
      <formula>NOT(ISERROR(SEARCH("SI, SIN MANEJO",AZ225)))</formula>
    </cfRule>
    <cfRule type="containsText" dxfId="3700" priority="4054" operator="containsText" text="SI, CONTROLADA">
      <formula>NOT(ISERROR(SEARCH("SI, CONTROLADA",AZ225)))</formula>
    </cfRule>
    <cfRule type="containsText" dxfId="3699" priority="4055" operator="containsText" text="NO">
      <formula>NOT(ISERROR(SEARCH("NO",AZ225)))</formula>
    </cfRule>
  </conditionalFormatting>
  <conditionalFormatting sqref="BC225">
    <cfRule type="cellIs" dxfId="3698" priority="4048" operator="equal">
      <formula>"SD"</formula>
    </cfRule>
    <cfRule type="cellIs" dxfId="3697" priority="4049" operator="equal">
      <formula>"NO"</formula>
    </cfRule>
    <cfRule type="cellIs" dxfId="3696" priority="4050" operator="equal">
      <formula>"SI"</formula>
    </cfRule>
  </conditionalFormatting>
  <conditionalFormatting sqref="BL225:BM225">
    <cfRule type="cellIs" dxfId="3695" priority="4045" operator="equal">
      <formula>"SD"</formula>
    </cfRule>
    <cfRule type="cellIs" dxfId="3694" priority="4046" operator="equal">
      <formula>"NO"</formula>
    </cfRule>
    <cfRule type="cellIs" dxfId="3693" priority="4047" operator="equal">
      <formula>"SI"</formula>
    </cfRule>
  </conditionalFormatting>
  <conditionalFormatting sqref="BK225">
    <cfRule type="cellIs" dxfId="3692" priority="4042" operator="equal">
      <formula>"SD"</formula>
    </cfRule>
    <cfRule type="cellIs" dxfId="3691" priority="4043" operator="equal">
      <formula>"NO"</formula>
    </cfRule>
    <cfRule type="cellIs" dxfId="3690" priority="4044" operator="equal">
      <formula>"SI"</formula>
    </cfRule>
  </conditionalFormatting>
  <conditionalFormatting sqref="AE226">
    <cfRule type="containsText" dxfId="3689" priority="4040" operator="containsText" text="NO">
      <formula>NOT(ISERROR(SEARCH("NO",AE226)))</formula>
    </cfRule>
    <cfRule type="containsText" dxfId="3688" priority="4041" operator="containsText" text="SI">
      <formula>NOT(ISERROR(SEARCH("SI",AE226)))</formula>
    </cfRule>
  </conditionalFormatting>
  <conditionalFormatting sqref="AG226:AH226 AJ226">
    <cfRule type="cellIs" dxfId="3687" priority="4034" operator="equal">
      <formula>"SD"</formula>
    </cfRule>
    <cfRule type="cellIs" dxfId="3686" priority="4035" operator="equal">
      <formula>"NO"</formula>
    </cfRule>
    <cfRule type="cellIs" dxfId="3685" priority="4036" operator="equal">
      <formula>"SI"</formula>
    </cfRule>
  </conditionalFormatting>
  <conditionalFormatting sqref="AI226">
    <cfRule type="containsText" dxfId="3684" priority="4027" operator="containsText" text="HABITANTE DE CALLE">
      <formula>NOT(ISERROR(SEARCH("HABITANTE DE CALLE",AI226)))</formula>
    </cfRule>
    <cfRule type="containsText" dxfId="3683" priority="4030" operator="containsText" text="NINGUNO">
      <formula>NOT(ISERROR(SEARCH("NINGUNO",AI226)))</formula>
    </cfRule>
    <cfRule type="containsText" dxfId="3682" priority="4031" operator="containsText" text="MIGRATORIA">
      <formula>NOT(ISERROR(SEARCH("MIGRATORIA",AI226)))</formula>
    </cfRule>
    <cfRule type="containsText" dxfId="3681" priority="4032" operator="containsText" text="DISCAPACIDAD">
      <formula>NOT(ISERROR(SEARCH("DISCAPACIDAD",AI226)))</formula>
    </cfRule>
    <cfRule type="containsText" dxfId="3680" priority="4033" operator="containsText" text="DESPLAZADA">
      <formula>NOT(ISERROR(SEARCH("DESPLAZADA",AI226)))</formula>
    </cfRule>
  </conditionalFormatting>
  <conditionalFormatting sqref="AF226">
    <cfRule type="containsText" dxfId="3679" priority="4028" operator="containsText" text="NO">
      <formula>NOT(ISERROR(SEARCH("NO",AF226)))</formula>
    </cfRule>
    <cfRule type="containsText" dxfId="3678" priority="4029" operator="containsText" text="SI">
      <formula>NOT(ISERROR(SEARCH("SI",AF226)))</formula>
    </cfRule>
  </conditionalFormatting>
  <conditionalFormatting sqref="BF226:BH226">
    <cfRule type="cellIs" dxfId="3677" priority="4024" operator="equal">
      <formula>"SD"</formula>
    </cfRule>
    <cfRule type="cellIs" dxfId="3676" priority="4025" operator="equal">
      <formula>"NO"</formula>
    </cfRule>
    <cfRule type="cellIs" dxfId="3675" priority="4026" operator="equal">
      <formula>"SI"</formula>
    </cfRule>
  </conditionalFormatting>
  <conditionalFormatting sqref="AX226 BA226:BB226 BD226:BE226">
    <cfRule type="cellIs" dxfId="3674" priority="4021" operator="equal">
      <formula>"SD"</formula>
    </cfRule>
    <cfRule type="cellIs" dxfId="3673" priority="4022" operator="equal">
      <formula>"NO"</formula>
    </cfRule>
    <cfRule type="cellIs" dxfId="3672" priority="4023" operator="equal">
      <formula>"SI"</formula>
    </cfRule>
  </conditionalFormatting>
  <conditionalFormatting sqref="BE226">
    <cfRule type="expression" dxfId="3671" priority="4020">
      <formula>IF(AND(FA226&gt;=126,FC226&lt;24),1,0)</formula>
    </cfRule>
  </conditionalFormatting>
  <conditionalFormatting sqref="AY226">
    <cfRule type="containsText" dxfId="3670" priority="4015" operator="containsText" text="SD">
      <formula>NOT(ISERROR(SEARCH("SD",AY226)))</formula>
    </cfRule>
    <cfRule type="containsText" dxfId="3669" priority="4016" operator="containsText" text="SI, NO CONTROLADA">
      <formula>NOT(ISERROR(SEARCH("SI, NO CONTROLADA",AY226)))</formula>
    </cfRule>
    <cfRule type="containsText" dxfId="3668" priority="4017" operator="containsText" text="SI, SIN MANEJO">
      <formula>NOT(ISERROR(SEARCH("SI, SIN MANEJO",AY226)))</formula>
    </cfRule>
    <cfRule type="containsText" dxfId="3667" priority="4018" operator="containsText" text="SI, CONTROLADA">
      <formula>NOT(ISERROR(SEARCH("SI, CONTROLADA",AY226)))</formula>
    </cfRule>
    <cfRule type="containsText" dxfId="3666" priority="4019" operator="containsText" text="NO">
      <formula>NOT(ISERROR(SEARCH("NO",AY226)))</formula>
    </cfRule>
  </conditionalFormatting>
  <conditionalFormatting sqref="AZ226">
    <cfRule type="containsText" dxfId="3665" priority="4010" operator="containsText" text="SD">
      <formula>NOT(ISERROR(SEARCH("SD",AZ226)))</formula>
    </cfRule>
    <cfRule type="containsText" dxfId="3664" priority="4011" operator="containsText" text="SI, NO CONTROLADA">
      <formula>NOT(ISERROR(SEARCH("SI, NO CONTROLADA",AZ226)))</formula>
    </cfRule>
    <cfRule type="containsText" dxfId="3663" priority="4012" operator="containsText" text="SI, SIN MANEJO">
      <formula>NOT(ISERROR(SEARCH("SI, SIN MANEJO",AZ226)))</formula>
    </cfRule>
    <cfRule type="containsText" dxfId="3662" priority="4013" operator="containsText" text="SI, CONTROLADA">
      <formula>NOT(ISERROR(SEARCH("SI, CONTROLADA",AZ226)))</formula>
    </cfRule>
    <cfRule type="containsText" dxfId="3661" priority="4014" operator="containsText" text="NO">
      <formula>NOT(ISERROR(SEARCH("NO",AZ226)))</formula>
    </cfRule>
  </conditionalFormatting>
  <conditionalFormatting sqref="BC226">
    <cfRule type="cellIs" dxfId="3660" priority="4007" operator="equal">
      <formula>"SD"</formula>
    </cfRule>
    <cfRule type="cellIs" dxfId="3659" priority="4008" operator="equal">
      <formula>"NO"</formula>
    </cfRule>
    <cfRule type="cellIs" dxfId="3658" priority="4009" operator="equal">
      <formula>"SI"</formula>
    </cfRule>
  </conditionalFormatting>
  <conditionalFormatting sqref="BJ226">
    <cfRule type="cellIs" dxfId="3657" priority="4004" operator="equal">
      <formula>"SD"</formula>
    </cfRule>
    <cfRule type="cellIs" dxfId="3656" priority="4005" operator="equal">
      <formula>"NO"</formula>
    </cfRule>
    <cfRule type="cellIs" dxfId="3655" priority="4006" operator="equal">
      <formula>"SI"</formula>
    </cfRule>
  </conditionalFormatting>
  <conditionalFormatting sqref="BI226">
    <cfRule type="cellIs" dxfId="3654" priority="4001" operator="equal">
      <formula>"SD"</formula>
    </cfRule>
    <cfRule type="cellIs" dxfId="3653" priority="4002" operator="equal">
      <formula>"NO"</formula>
    </cfRule>
    <cfRule type="cellIs" dxfId="3652" priority="4003" operator="equal">
      <formula>"SI"</formula>
    </cfRule>
  </conditionalFormatting>
  <conditionalFormatting sqref="BL226:BM226">
    <cfRule type="cellIs" dxfId="3651" priority="3998" operator="equal">
      <formula>"SD"</formula>
    </cfRule>
    <cfRule type="cellIs" dxfId="3650" priority="3999" operator="equal">
      <formula>"NO"</formula>
    </cfRule>
    <cfRule type="cellIs" dxfId="3649" priority="4000" operator="equal">
      <formula>"SI"</formula>
    </cfRule>
  </conditionalFormatting>
  <conditionalFormatting sqref="BK226">
    <cfRule type="cellIs" dxfId="3648" priority="3995" operator="equal">
      <formula>"SD"</formula>
    </cfRule>
    <cfRule type="cellIs" dxfId="3647" priority="3996" operator="equal">
      <formula>"NO"</formula>
    </cfRule>
    <cfRule type="cellIs" dxfId="3646" priority="3997" operator="equal">
      <formula>"SI"</formula>
    </cfRule>
  </conditionalFormatting>
  <conditionalFormatting sqref="CD226">
    <cfRule type="cellIs" dxfId="3645" priority="3990" operator="equal">
      <formula>"SD"</formula>
    </cfRule>
    <cfRule type="cellIs" dxfId="3644" priority="3991" operator="equal">
      <formula>"OBLICUA"</formula>
    </cfRule>
    <cfRule type="cellIs" dxfId="3643" priority="3993" operator="equal">
      <formula>"PODÁLICA"</formula>
    </cfRule>
    <cfRule type="cellIs" dxfId="3642" priority="3994" operator="equal">
      <formula>"CEFÁLICA"</formula>
    </cfRule>
  </conditionalFormatting>
  <conditionalFormatting sqref="CE226">
    <cfRule type="cellIs" dxfId="3641" priority="3987" operator="equal">
      <formula>"SD"</formula>
    </cfRule>
    <cfRule type="cellIs" dxfId="3640" priority="3988" operator="equal">
      <formula>"NO"</formula>
    </cfRule>
    <cfRule type="cellIs" dxfId="3639" priority="3989" operator="equal">
      <formula>"SI"</formula>
    </cfRule>
  </conditionalFormatting>
  <conditionalFormatting sqref="AE227">
    <cfRule type="containsText" dxfId="3638" priority="3985" operator="containsText" text="NO">
      <formula>NOT(ISERROR(SEARCH("NO",AE227)))</formula>
    </cfRule>
    <cfRule type="containsText" dxfId="3637" priority="3986" operator="containsText" text="SI">
      <formula>NOT(ISERROR(SEARCH("SI",AE227)))</formula>
    </cfRule>
  </conditionalFormatting>
  <conditionalFormatting sqref="AG227:AH227 AJ227">
    <cfRule type="cellIs" dxfId="3636" priority="3979" operator="equal">
      <formula>"SD"</formula>
    </cfRule>
    <cfRule type="cellIs" dxfId="3635" priority="3980" operator="equal">
      <formula>"NO"</formula>
    </cfRule>
    <cfRule type="cellIs" dxfId="3634" priority="3981" operator="equal">
      <formula>"SI"</formula>
    </cfRule>
  </conditionalFormatting>
  <conditionalFormatting sqref="AI227">
    <cfRule type="containsText" dxfId="3633" priority="3972" operator="containsText" text="HABITANTE DE CALLE">
      <formula>NOT(ISERROR(SEARCH("HABITANTE DE CALLE",AI227)))</formula>
    </cfRule>
    <cfRule type="containsText" dxfId="3632" priority="3975" operator="containsText" text="NINGUNO">
      <formula>NOT(ISERROR(SEARCH("NINGUNO",AI227)))</formula>
    </cfRule>
    <cfRule type="containsText" dxfId="3631" priority="3976" operator="containsText" text="MIGRATORIA">
      <formula>NOT(ISERROR(SEARCH("MIGRATORIA",AI227)))</formula>
    </cfRule>
    <cfRule type="containsText" dxfId="3630" priority="3977" operator="containsText" text="DISCAPACIDAD">
      <formula>NOT(ISERROR(SEARCH("DISCAPACIDAD",AI227)))</formula>
    </cfRule>
    <cfRule type="containsText" dxfId="3629" priority="3978" operator="containsText" text="DESPLAZADA">
      <formula>NOT(ISERROR(SEARCH("DESPLAZADA",AI227)))</formula>
    </cfRule>
  </conditionalFormatting>
  <conditionalFormatting sqref="AF227">
    <cfRule type="containsText" dxfId="3628" priority="3973" operator="containsText" text="NO">
      <formula>NOT(ISERROR(SEARCH("NO",AF227)))</formula>
    </cfRule>
    <cfRule type="containsText" dxfId="3627" priority="3974" operator="containsText" text="SI">
      <formula>NOT(ISERROR(SEARCH("SI",AF227)))</formula>
    </cfRule>
  </conditionalFormatting>
  <conditionalFormatting sqref="BF227:BG227">
    <cfRule type="cellIs" dxfId="3626" priority="3969" operator="equal">
      <formula>"SD"</formula>
    </cfRule>
    <cfRule type="cellIs" dxfId="3625" priority="3970" operator="equal">
      <formula>"NO"</formula>
    </cfRule>
    <cfRule type="cellIs" dxfId="3624" priority="3971" operator="equal">
      <formula>"SI"</formula>
    </cfRule>
  </conditionalFormatting>
  <conditionalFormatting sqref="BA227:BB227 BD227:BE227">
    <cfRule type="cellIs" dxfId="3623" priority="3966" operator="equal">
      <formula>"SD"</formula>
    </cfRule>
    <cfRule type="cellIs" dxfId="3622" priority="3967" operator="equal">
      <formula>"NO"</formula>
    </cfRule>
    <cfRule type="cellIs" dxfId="3621" priority="3968" operator="equal">
      <formula>"SI"</formula>
    </cfRule>
  </conditionalFormatting>
  <conditionalFormatting sqref="BE227">
    <cfRule type="expression" dxfId="3620" priority="3965">
      <formula>IF(AND(FA227&gt;=126,FC227&lt;24),1,0)</formula>
    </cfRule>
  </conditionalFormatting>
  <conditionalFormatting sqref="AY227">
    <cfRule type="containsText" dxfId="3619" priority="3960" operator="containsText" text="SD">
      <formula>NOT(ISERROR(SEARCH("SD",AY227)))</formula>
    </cfRule>
    <cfRule type="containsText" dxfId="3618" priority="3961" operator="containsText" text="SI, NO CONTROLADA">
      <formula>NOT(ISERROR(SEARCH("SI, NO CONTROLADA",AY227)))</formula>
    </cfRule>
    <cfRule type="containsText" dxfId="3617" priority="3962" operator="containsText" text="SI, SIN MANEJO">
      <formula>NOT(ISERROR(SEARCH("SI, SIN MANEJO",AY227)))</formula>
    </cfRule>
    <cfRule type="containsText" dxfId="3616" priority="3963" operator="containsText" text="SI, CONTROLADA">
      <formula>NOT(ISERROR(SEARCH("SI, CONTROLADA",AY227)))</formula>
    </cfRule>
    <cfRule type="containsText" dxfId="3615" priority="3964" operator="containsText" text="NO">
      <formula>NOT(ISERROR(SEARCH("NO",AY227)))</formula>
    </cfRule>
  </conditionalFormatting>
  <conditionalFormatting sqref="AZ227">
    <cfRule type="containsText" dxfId="3614" priority="3955" operator="containsText" text="SD">
      <formula>NOT(ISERROR(SEARCH("SD",AZ227)))</formula>
    </cfRule>
    <cfRule type="containsText" dxfId="3613" priority="3956" operator="containsText" text="SI, NO CONTROLADA">
      <formula>NOT(ISERROR(SEARCH("SI, NO CONTROLADA",AZ227)))</formula>
    </cfRule>
    <cfRule type="containsText" dxfId="3612" priority="3957" operator="containsText" text="SI, SIN MANEJO">
      <formula>NOT(ISERROR(SEARCH("SI, SIN MANEJO",AZ227)))</formula>
    </cfRule>
    <cfRule type="containsText" dxfId="3611" priority="3958" operator="containsText" text="SI, CONTROLADA">
      <formula>NOT(ISERROR(SEARCH("SI, CONTROLADA",AZ227)))</formula>
    </cfRule>
    <cfRule type="containsText" dxfId="3610" priority="3959" operator="containsText" text="NO">
      <formula>NOT(ISERROR(SEARCH("NO",AZ227)))</formula>
    </cfRule>
  </conditionalFormatting>
  <conditionalFormatting sqref="BC227">
    <cfRule type="cellIs" dxfId="3609" priority="3952" operator="equal">
      <formula>"SD"</formula>
    </cfRule>
    <cfRule type="cellIs" dxfId="3608" priority="3953" operator="equal">
      <formula>"NO"</formula>
    </cfRule>
    <cfRule type="cellIs" dxfId="3607" priority="3954" operator="equal">
      <formula>"SI"</formula>
    </cfRule>
  </conditionalFormatting>
  <conditionalFormatting sqref="BH227">
    <cfRule type="cellIs" dxfId="3606" priority="3949" operator="equal">
      <formula>"SD"</formula>
    </cfRule>
    <cfRule type="cellIs" dxfId="3605" priority="3950" operator="equal">
      <formula>"NO"</formula>
    </cfRule>
    <cfRule type="cellIs" dxfId="3604" priority="3951" operator="equal">
      <formula>"SI"</formula>
    </cfRule>
  </conditionalFormatting>
  <conditionalFormatting sqref="BJ227">
    <cfRule type="cellIs" dxfId="3603" priority="3946" operator="equal">
      <formula>"SD"</formula>
    </cfRule>
    <cfRule type="cellIs" dxfId="3602" priority="3947" operator="equal">
      <formula>"NO"</formula>
    </cfRule>
    <cfRule type="cellIs" dxfId="3601" priority="3948" operator="equal">
      <formula>"SI"</formula>
    </cfRule>
  </conditionalFormatting>
  <conditionalFormatting sqref="BI227">
    <cfRule type="cellIs" dxfId="3600" priority="3943" operator="equal">
      <formula>"SD"</formula>
    </cfRule>
    <cfRule type="cellIs" dxfId="3599" priority="3944" operator="equal">
      <formula>"NO"</formula>
    </cfRule>
    <cfRule type="cellIs" dxfId="3598" priority="3945" operator="equal">
      <formula>"SI"</formula>
    </cfRule>
  </conditionalFormatting>
  <conditionalFormatting sqref="BL227:BM227">
    <cfRule type="cellIs" dxfId="3597" priority="3940" operator="equal">
      <formula>"SD"</formula>
    </cfRule>
    <cfRule type="cellIs" dxfId="3596" priority="3941" operator="equal">
      <formula>"NO"</formula>
    </cfRule>
    <cfRule type="cellIs" dxfId="3595" priority="3942" operator="equal">
      <formula>"SI"</formula>
    </cfRule>
  </conditionalFormatting>
  <conditionalFormatting sqref="BK227">
    <cfRule type="cellIs" dxfId="3594" priority="3937" operator="equal">
      <formula>"SD"</formula>
    </cfRule>
    <cfRule type="cellIs" dxfId="3593" priority="3938" operator="equal">
      <formula>"NO"</formula>
    </cfRule>
    <cfRule type="cellIs" dxfId="3592" priority="3939" operator="equal">
      <formula>"SI"</formula>
    </cfRule>
  </conditionalFormatting>
  <conditionalFormatting sqref="CB227:CC227">
    <cfRule type="cellIs" dxfId="3591" priority="3934" operator="equal">
      <formula>"SD"</formula>
    </cfRule>
    <cfRule type="cellIs" dxfId="3590" priority="3935" operator="equal">
      <formula>"NO"</formula>
    </cfRule>
    <cfRule type="cellIs" dxfId="3589" priority="3936" operator="equal">
      <formula>"SI"</formula>
    </cfRule>
  </conditionalFormatting>
  <conditionalFormatting sqref="CD227">
    <cfRule type="cellIs" dxfId="3588" priority="3929" operator="equal">
      <formula>"SD"</formula>
    </cfRule>
    <cfRule type="cellIs" dxfId="3587" priority="3930" operator="equal">
      <formula>"OBLICUA"</formula>
    </cfRule>
    <cfRule type="cellIs" dxfId="3586" priority="3932" operator="equal">
      <formula>"PODÁLICA"</formula>
    </cfRule>
    <cfRule type="cellIs" dxfId="3585" priority="3933" operator="equal">
      <formula>"CEFÁLICA"</formula>
    </cfRule>
  </conditionalFormatting>
  <conditionalFormatting sqref="CE227">
    <cfRule type="cellIs" dxfId="3584" priority="3926" operator="equal">
      <formula>"SD"</formula>
    </cfRule>
    <cfRule type="cellIs" dxfId="3583" priority="3927" operator="equal">
      <formula>"NO"</formula>
    </cfRule>
    <cfRule type="cellIs" dxfId="3582" priority="3928" operator="equal">
      <formula>"SI"</formula>
    </cfRule>
  </conditionalFormatting>
  <conditionalFormatting sqref="L228">
    <cfRule type="containsText" dxfId="3581" priority="3917" operator="containsText" text="Empleo informal">
      <formula>NOT(ISERROR(SEARCH("Empleo informal",L228)))</formula>
    </cfRule>
    <cfRule type="containsText" dxfId="3580" priority="3918" operator="containsText" text="Empleada formalmente con riesgo a tóxicos">
      <formula>NOT(ISERROR(SEARCH("Empleada formalmente con riesgo a tóxicos",L228)))</formula>
    </cfRule>
    <cfRule type="containsText" dxfId="3579" priority="3919" operator="containsText" text="Empleada formalmente con riesgo de accidente laboral">
      <formula>NOT(ISERROR(SEARCH("Empleada formalmente con riesgo de accidente laboral",L228)))</formula>
    </cfRule>
    <cfRule type="containsText" dxfId="3578" priority="3920" operator="containsText" text="Empleada formalmente por jornada laboral extensa">
      <formula>NOT(ISERROR(SEARCH("Empleada formalmente por jornada laboral extensa",L228)))</formula>
    </cfRule>
    <cfRule type="containsText" dxfId="3577" priority="3921" operator="containsText" text="Empleada formalmente sin riesgo">
      <formula>NOT(ISERROR(SEARCH("Empleada formalmente sin riesgo",L228)))</formula>
    </cfRule>
    <cfRule type="containsText" dxfId="3576" priority="3922" operator="containsText" text="Actualmente desempleada">
      <formula>NOT(ISERROR(SEARCH("Actualmente desempleada",L228)))</formula>
    </cfRule>
    <cfRule type="containsText" dxfId="3575" priority="3923" operator="containsText" text="Hogar sin apoyo">
      <formula>NOT(ISERROR(SEARCH("Hogar sin apoyo",L228)))</formula>
    </cfRule>
    <cfRule type="containsText" dxfId="3574" priority="3924" operator="containsText" text="Empleada formalmente sin riesgo">
      <formula>NOT(ISERROR(SEARCH("Empleada formalmente sin riesgo",L228)))</formula>
    </cfRule>
    <cfRule type="containsText" dxfId="3573" priority="3925" operator="containsText" text="Hogar Con apoyo">
      <formula>NOT(ISERROR(SEARCH("Hogar Con apoyo",L228)))</formula>
    </cfRule>
  </conditionalFormatting>
  <conditionalFormatting sqref="AE228">
    <cfRule type="containsText" dxfId="3572" priority="3915" operator="containsText" text="NO">
      <formula>NOT(ISERROR(SEARCH("NO",AE228)))</formula>
    </cfRule>
    <cfRule type="containsText" dxfId="3571" priority="3916" operator="containsText" text="SI">
      <formula>NOT(ISERROR(SEARCH("SI",AE228)))</formula>
    </cfRule>
  </conditionalFormatting>
  <conditionalFormatting sqref="AG228:AH228">
    <cfRule type="cellIs" dxfId="3570" priority="3909" operator="equal">
      <formula>"SD"</formula>
    </cfRule>
    <cfRule type="cellIs" dxfId="3569" priority="3910" operator="equal">
      <formula>"NO"</formula>
    </cfRule>
    <cfRule type="cellIs" dxfId="3568" priority="3911" operator="equal">
      <formula>"SI"</formula>
    </cfRule>
  </conditionalFormatting>
  <conditionalFormatting sqref="AI228">
    <cfRule type="containsText" dxfId="3567" priority="3902" operator="containsText" text="HABITANTE DE CALLE">
      <formula>NOT(ISERROR(SEARCH("HABITANTE DE CALLE",AI228)))</formula>
    </cfRule>
    <cfRule type="containsText" dxfId="3566" priority="3905" operator="containsText" text="NINGUNO">
      <formula>NOT(ISERROR(SEARCH("NINGUNO",AI228)))</formula>
    </cfRule>
    <cfRule type="containsText" dxfId="3565" priority="3906" operator="containsText" text="MIGRATORIA">
      <formula>NOT(ISERROR(SEARCH("MIGRATORIA",AI228)))</formula>
    </cfRule>
    <cfRule type="containsText" dxfId="3564" priority="3907" operator="containsText" text="DISCAPACIDAD">
      <formula>NOT(ISERROR(SEARCH("DISCAPACIDAD",AI228)))</formula>
    </cfRule>
    <cfRule type="containsText" dxfId="3563" priority="3908" operator="containsText" text="DESPLAZADA">
      <formula>NOT(ISERROR(SEARCH("DESPLAZADA",AI228)))</formula>
    </cfRule>
  </conditionalFormatting>
  <conditionalFormatting sqref="AF228">
    <cfRule type="containsText" dxfId="3562" priority="3903" operator="containsText" text="NO">
      <formula>NOT(ISERROR(SEARCH("NO",AF228)))</formula>
    </cfRule>
    <cfRule type="containsText" dxfId="3561" priority="3904" operator="containsText" text="SI">
      <formula>NOT(ISERROR(SEARCH("SI",AF228)))</formula>
    </cfRule>
  </conditionalFormatting>
  <conditionalFormatting sqref="AJ228">
    <cfRule type="cellIs" dxfId="3560" priority="3899" operator="equal">
      <formula>"SD"</formula>
    </cfRule>
    <cfRule type="cellIs" dxfId="3559" priority="3900" operator="equal">
      <formula>"NO"</formula>
    </cfRule>
    <cfRule type="cellIs" dxfId="3558" priority="3901" operator="equal">
      <formula>"SI"</formula>
    </cfRule>
  </conditionalFormatting>
  <conditionalFormatting sqref="AX228">
    <cfRule type="cellIs" dxfId="3557" priority="3896" operator="equal">
      <formula>"SD"</formula>
    </cfRule>
    <cfRule type="cellIs" dxfId="3556" priority="3897" operator="equal">
      <formula>"NO"</formula>
    </cfRule>
    <cfRule type="cellIs" dxfId="3555" priority="3898" operator="equal">
      <formula>"SI"</formula>
    </cfRule>
  </conditionalFormatting>
  <conditionalFormatting sqref="BF228">
    <cfRule type="cellIs" dxfId="3554" priority="3893" operator="equal">
      <formula>"SD"</formula>
    </cfRule>
    <cfRule type="cellIs" dxfId="3553" priority="3894" operator="equal">
      <formula>"NO"</formula>
    </cfRule>
    <cfRule type="cellIs" dxfId="3552" priority="3895" operator="equal">
      <formula>"SI"</formula>
    </cfRule>
  </conditionalFormatting>
  <conditionalFormatting sqref="BA228:BB228 BD228:BE228">
    <cfRule type="cellIs" dxfId="3551" priority="3890" operator="equal">
      <formula>"SD"</formula>
    </cfRule>
    <cfRule type="cellIs" dxfId="3550" priority="3891" operator="equal">
      <formula>"NO"</formula>
    </cfRule>
    <cfRule type="cellIs" dxfId="3549" priority="3892" operator="equal">
      <formula>"SI"</formula>
    </cfRule>
  </conditionalFormatting>
  <conditionalFormatting sqref="BE228">
    <cfRule type="expression" dxfId="3548" priority="3889">
      <formula>IF(AND(FA228&gt;=126,FC228&lt;24),1,0)</formula>
    </cfRule>
  </conditionalFormatting>
  <conditionalFormatting sqref="AY228">
    <cfRule type="containsText" dxfId="3547" priority="3884" operator="containsText" text="SD">
      <formula>NOT(ISERROR(SEARCH("SD",AY228)))</formula>
    </cfRule>
    <cfRule type="containsText" dxfId="3546" priority="3885" operator="containsText" text="SI, NO CONTROLADA">
      <formula>NOT(ISERROR(SEARCH("SI, NO CONTROLADA",AY228)))</formula>
    </cfRule>
    <cfRule type="containsText" dxfId="3545" priority="3886" operator="containsText" text="SI, SIN MANEJO">
      <formula>NOT(ISERROR(SEARCH("SI, SIN MANEJO",AY228)))</formula>
    </cfRule>
    <cfRule type="containsText" dxfId="3544" priority="3887" operator="containsText" text="SI, CONTROLADA">
      <formula>NOT(ISERROR(SEARCH("SI, CONTROLADA",AY228)))</formula>
    </cfRule>
    <cfRule type="containsText" dxfId="3543" priority="3888" operator="containsText" text="NO">
      <formula>NOT(ISERROR(SEARCH("NO",AY228)))</formula>
    </cfRule>
  </conditionalFormatting>
  <conditionalFormatting sqref="AZ228">
    <cfRule type="containsText" dxfId="3542" priority="3879" operator="containsText" text="SD">
      <formula>NOT(ISERROR(SEARCH("SD",AZ228)))</formula>
    </cfRule>
    <cfRule type="containsText" dxfId="3541" priority="3880" operator="containsText" text="SI, NO CONTROLADA">
      <formula>NOT(ISERROR(SEARCH("SI, NO CONTROLADA",AZ228)))</formula>
    </cfRule>
    <cfRule type="containsText" dxfId="3540" priority="3881" operator="containsText" text="SI, SIN MANEJO">
      <formula>NOT(ISERROR(SEARCH("SI, SIN MANEJO",AZ228)))</formula>
    </cfRule>
    <cfRule type="containsText" dxfId="3539" priority="3882" operator="containsText" text="SI, CONTROLADA">
      <formula>NOT(ISERROR(SEARCH("SI, CONTROLADA",AZ228)))</formula>
    </cfRule>
    <cfRule type="containsText" dxfId="3538" priority="3883" operator="containsText" text="NO">
      <formula>NOT(ISERROR(SEARCH("NO",AZ228)))</formula>
    </cfRule>
  </conditionalFormatting>
  <conditionalFormatting sqref="BC228">
    <cfRule type="cellIs" dxfId="3537" priority="3876" operator="equal">
      <formula>"SD"</formula>
    </cfRule>
    <cfRule type="cellIs" dxfId="3536" priority="3877" operator="equal">
      <formula>"NO"</formula>
    </cfRule>
    <cfRule type="cellIs" dxfId="3535" priority="3878" operator="equal">
      <formula>"SI"</formula>
    </cfRule>
  </conditionalFormatting>
  <conditionalFormatting sqref="BG228">
    <cfRule type="cellIs" dxfId="3534" priority="3873" operator="equal">
      <formula>"SD"</formula>
    </cfRule>
    <cfRule type="cellIs" dxfId="3533" priority="3874" operator="equal">
      <formula>"NO"</formula>
    </cfRule>
    <cfRule type="cellIs" dxfId="3532" priority="3875" operator="equal">
      <formula>"SI"</formula>
    </cfRule>
  </conditionalFormatting>
  <conditionalFormatting sqref="BH228">
    <cfRule type="cellIs" dxfId="3531" priority="3870" operator="equal">
      <formula>"SD"</formula>
    </cfRule>
    <cfRule type="cellIs" dxfId="3530" priority="3871" operator="equal">
      <formula>"NO"</formula>
    </cfRule>
    <cfRule type="cellIs" dxfId="3529" priority="3872" operator="equal">
      <formula>"SI"</formula>
    </cfRule>
  </conditionalFormatting>
  <conditionalFormatting sqref="BJ228">
    <cfRule type="cellIs" dxfId="3528" priority="3867" operator="equal">
      <formula>"SD"</formula>
    </cfRule>
    <cfRule type="cellIs" dxfId="3527" priority="3868" operator="equal">
      <formula>"NO"</formula>
    </cfRule>
    <cfRule type="cellIs" dxfId="3526" priority="3869" operator="equal">
      <formula>"SI"</formula>
    </cfRule>
  </conditionalFormatting>
  <conditionalFormatting sqref="BI228">
    <cfRule type="cellIs" dxfId="3525" priority="3864" operator="equal">
      <formula>"SD"</formula>
    </cfRule>
    <cfRule type="cellIs" dxfId="3524" priority="3865" operator="equal">
      <formula>"NO"</formula>
    </cfRule>
    <cfRule type="cellIs" dxfId="3523" priority="3866" operator="equal">
      <formula>"SI"</formula>
    </cfRule>
  </conditionalFormatting>
  <conditionalFormatting sqref="BL228:BM228">
    <cfRule type="cellIs" dxfId="3522" priority="3861" operator="equal">
      <formula>"SD"</formula>
    </cfRule>
    <cfRule type="cellIs" dxfId="3521" priority="3862" operator="equal">
      <formula>"NO"</formula>
    </cfRule>
    <cfRule type="cellIs" dxfId="3520" priority="3863" operator="equal">
      <formula>"SI"</formula>
    </cfRule>
  </conditionalFormatting>
  <conditionalFormatting sqref="BK228">
    <cfRule type="cellIs" dxfId="3519" priority="3858" operator="equal">
      <formula>"SD"</formula>
    </cfRule>
    <cfRule type="cellIs" dxfId="3518" priority="3859" operator="equal">
      <formula>"NO"</formula>
    </cfRule>
    <cfRule type="cellIs" dxfId="3517" priority="3860" operator="equal">
      <formula>"SI"</formula>
    </cfRule>
  </conditionalFormatting>
  <conditionalFormatting sqref="CB228:CC228">
    <cfRule type="cellIs" dxfId="3516" priority="3855" operator="equal">
      <formula>"SD"</formula>
    </cfRule>
    <cfRule type="cellIs" dxfId="3515" priority="3856" operator="equal">
      <formula>"NO"</formula>
    </cfRule>
    <cfRule type="cellIs" dxfId="3514" priority="3857" operator="equal">
      <formula>"SI"</formula>
    </cfRule>
  </conditionalFormatting>
  <conditionalFormatting sqref="CD228">
    <cfRule type="cellIs" dxfId="3513" priority="3850" operator="equal">
      <formula>"SD"</formula>
    </cfRule>
    <cfRule type="cellIs" dxfId="3512" priority="3851" operator="equal">
      <formula>"OBLICUA"</formula>
    </cfRule>
    <cfRule type="cellIs" dxfId="3511" priority="3853" operator="equal">
      <formula>"PODÁLICA"</formula>
    </cfRule>
    <cfRule type="cellIs" dxfId="3510" priority="3854" operator="equal">
      <formula>"CEFÁLICA"</formula>
    </cfRule>
  </conditionalFormatting>
  <conditionalFormatting sqref="CE228">
    <cfRule type="cellIs" dxfId="3509" priority="3847" operator="equal">
      <formula>"SD"</formula>
    </cfRule>
    <cfRule type="cellIs" dxfId="3508" priority="3848" operator="equal">
      <formula>"NO"</formula>
    </cfRule>
    <cfRule type="cellIs" dxfId="3507" priority="3849" operator="equal">
      <formula>"SI"</formula>
    </cfRule>
  </conditionalFormatting>
  <conditionalFormatting sqref="L229">
    <cfRule type="containsText" dxfId="3506" priority="3838" operator="containsText" text="Empleo informal">
      <formula>NOT(ISERROR(SEARCH("Empleo informal",L229)))</formula>
    </cfRule>
    <cfRule type="containsText" dxfId="3505" priority="3839" operator="containsText" text="Empleada formalmente con riesgo a tóxicos">
      <formula>NOT(ISERROR(SEARCH("Empleada formalmente con riesgo a tóxicos",L229)))</formula>
    </cfRule>
    <cfRule type="containsText" dxfId="3504" priority="3840" operator="containsText" text="Empleada formalmente con riesgo de accidente laboral">
      <formula>NOT(ISERROR(SEARCH("Empleada formalmente con riesgo de accidente laboral",L229)))</formula>
    </cfRule>
    <cfRule type="containsText" dxfId="3503" priority="3841" operator="containsText" text="Empleada formalmente por jornada laboral extensa">
      <formula>NOT(ISERROR(SEARCH("Empleada formalmente por jornada laboral extensa",L229)))</formula>
    </cfRule>
    <cfRule type="containsText" dxfId="3502" priority="3842" operator="containsText" text="Empleada formalmente sin riesgo">
      <formula>NOT(ISERROR(SEARCH("Empleada formalmente sin riesgo",L229)))</formula>
    </cfRule>
    <cfRule type="containsText" dxfId="3501" priority="3843" operator="containsText" text="Actualmente desempleada">
      <formula>NOT(ISERROR(SEARCH("Actualmente desempleada",L229)))</formula>
    </cfRule>
    <cfRule type="containsText" dxfId="3500" priority="3844" operator="containsText" text="Hogar sin apoyo">
      <formula>NOT(ISERROR(SEARCH("Hogar sin apoyo",L229)))</formula>
    </cfRule>
    <cfRule type="containsText" dxfId="3499" priority="3845" operator="containsText" text="Empleada formalmente sin riesgo">
      <formula>NOT(ISERROR(SEARCH("Empleada formalmente sin riesgo",L229)))</formula>
    </cfRule>
    <cfRule type="containsText" dxfId="3498" priority="3846" operator="containsText" text="Hogar Con apoyo">
      <formula>NOT(ISERROR(SEARCH("Hogar Con apoyo",L229)))</formula>
    </cfRule>
  </conditionalFormatting>
  <conditionalFormatting sqref="AE229">
    <cfRule type="containsText" dxfId="3497" priority="3836" operator="containsText" text="NO">
      <formula>NOT(ISERROR(SEARCH("NO",AE229)))</formula>
    </cfRule>
    <cfRule type="containsText" dxfId="3496" priority="3837" operator="containsText" text="SI">
      <formula>NOT(ISERROR(SEARCH("SI",AE229)))</formula>
    </cfRule>
  </conditionalFormatting>
  <conditionalFormatting sqref="AG229:AH229">
    <cfRule type="cellIs" dxfId="3495" priority="3830" operator="equal">
      <formula>"SD"</formula>
    </cfRule>
    <cfRule type="cellIs" dxfId="3494" priority="3831" operator="equal">
      <formula>"NO"</formula>
    </cfRule>
    <cfRule type="cellIs" dxfId="3493" priority="3832" operator="equal">
      <formula>"SI"</formula>
    </cfRule>
  </conditionalFormatting>
  <conditionalFormatting sqref="AI229">
    <cfRule type="containsText" dxfId="3492" priority="3823" operator="containsText" text="HABITANTE DE CALLE">
      <formula>NOT(ISERROR(SEARCH("HABITANTE DE CALLE",AI229)))</formula>
    </cfRule>
    <cfRule type="containsText" dxfId="3491" priority="3826" operator="containsText" text="NINGUNO">
      <formula>NOT(ISERROR(SEARCH("NINGUNO",AI229)))</formula>
    </cfRule>
    <cfRule type="containsText" dxfId="3490" priority="3827" operator="containsText" text="MIGRATORIA">
      <formula>NOT(ISERROR(SEARCH("MIGRATORIA",AI229)))</formula>
    </cfRule>
    <cfRule type="containsText" dxfId="3489" priority="3828" operator="containsText" text="DISCAPACIDAD">
      <formula>NOT(ISERROR(SEARCH("DISCAPACIDAD",AI229)))</formula>
    </cfRule>
    <cfRule type="containsText" dxfId="3488" priority="3829" operator="containsText" text="DESPLAZADA">
      <formula>NOT(ISERROR(SEARCH("DESPLAZADA",AI229)))</formula>
    </cfRule>
  </conditionalFormatting>
  <conditionalFormatting sqref="AF229">
    <cfRule type="containsText" dxfId="3487" priority="3824" operator="containsText" text="NO">
      <formula>NOT(ISERROR(SEARCH("NO",AF229)))</formula>
    </cfRule>
    <cfRule type="containsText" dxfId="3486" priority="3825" operator="containsText" text="SI">
      <formula>NOT(ISERROR(SEARCH("SI",AF229)))</formula>
    </cfRule>
  </conditionalFormatting>
  <conditionalFormatting sqref="AJ229">
    <cfRule type="cellIs" dxfId="3485" priority="3820" operator="equal">
      <formula>"SD"</formula>
    </cfRule>
    <cfRule type="cellIs" dxfId="3484" priority="3821" operator="equal">
      <formula>"NO"</formula>
    </cfRule>
    <cfRule type="cellIs" dxfId="3483" priority="3822" operator="equal">
      <formula>"SI"</formula>
    </cfRule>
  </conditionalFormatting>
  <conditionalFormatting sqref="AX229">
    <cfRule type="cellIs" dxfId="3482" priority="3817" operator="equal">
      <formula>"SD"</formula>
    </cfRule>
    <cfRule type="cellIs" dxfId="3481" priority="3818" operator="equal">
      <formula>"NO"</formula>
    </cfRule>
    <cfRule type="cellIs" dxfId="3480" priority="3819" operator="equal">
      <formula>"SI"</formula>
    </cfRule>
  </conditionalFormatting>
  <conditionalFormatting sqref="BF229">
    <cfRule type="cellIs" dxfId="3479" priority="3814" operator="equal">
      <formula>"SD"</formula>
    </cfRule>
    <cfRule type="cellIs" dxfId="3478" priority="3815" operator="equal">
      <formula>"NO"</formula>
    </cfRule>
    <cfRule type="cellIs" dxfId="3477" priority="3816" operator="equal">
      <formula>"SI"</formula>
    </cfRule>
  </conditionalFormatting>
  <conditionalFormatting sqref="BA229:BB229 BD229:BE229">
    <cfRule type="cellIs" dxfId="3476" priority="3811" operator="equal">
      <formula>"SD"</formula>
    </cfRule>
    <cfRule type="cellIs" dxfId="3475" priority="3812" operator="equal">
      <formula>"NO"</formula>
    </cfRule>
    <cfRule type="cellIs" dxfId="3474" priority="3813" operator="equal">
      <formula>"SI"</formula>
    </cfRule>
  </conditionalFormatting>
  <conditionalFormatting sqref="BE229">
    <cfRule type="expression" dxfId="3473" priority="3810">
      <formula>IF(AND(FA229&gt;=126,FC229&lt;24),1,0)</formula>
    </cfRule>
  </conditionalFormatting>
  <conditionalFormatting sqref="AY229">
    <cfRule type="containsText" dxfId="3472" priority="3805" operator="containsText" text="SD">
      <formula>NOT(ISERROR(SEARCH("SD",AY229)))</formula>
    </cfRule>
    <cfRule type="containsText" dxfId="3471" priority="3806" operator="containsText" text="SI, NO CONTROLADA">
      <formula>NOT(ISERROR(SEARCH("SI, NO CONTROLADA",AY229)))</formula>
    </cfRule>
    <cfRule type="containsText" dxfId="3470" priority="3807" operator="containsText" text="SI, SIN MANEJO">
      <formula>NOT(ISERROR(SEARCH("SI, SIN MANEJO",AY229)))</formula>
    </cfRule>
    <cfRule type="containsText" dxfId="3469" priority="3808" operator="containsText" text="SI, CONTROLADA">
      <formula>NOT(ISERROR(SEARCH("SI, CONTROLADA",AY229)))</formula>
    </cfRule>
    <cfRule type="containsText" dxfId="3468" priority="3809" operator="containsText" text="NO">
      <formula>NOT(ISERROR(SEARCH("NO",AY229)))</formula>
    </cfRule>
  </conditionalFormatting>
  <conditionalFormatting sqref="AZ229">
    <cfRule type="containsText" dxfId="3467" priority="3800" operator="containsText" text="SD">
      <formula>NOT(ISERROR(SEARCH("SD",AZ229)))</formula>
    </cfRule>
    <cfRule type="containsText" dxfId="3466" priority="3801" operator="containsText" text="SI, NO CONTROLADA">
      <formula>NOT(ISERROR(SEARCH("SI, NO CONTROLADA",AZ229)))</formula>
    </cfRule>
    <cfRule type="containsText" dxfId="3465" priority="3802" operator="containsText" text="SI, SIN MANEJO">
      <formula>NOT(ISERROR(SEARCH("SI, SIN MANEJO",AZ229)))</formula>
    </cfRule>
    <cfRule type="containsText" dxfId="3464" priority="3803" operator="containsText" text="SI, CONTROLADA">
      <formula>NOT(ISERROR(SEARCH("SI, CONTROLADA",AZ229)))</formula>
    </cfRule>
    <cfRule type="containsText" dxfId="3463" priority="3804" operator="containsText" text="NO">
      <formula>NOT(ISERROR(SEARCH("NO",AZ229)))</formula>
    </cfRule>
  </conditionalFormatting>
  <conditionalFormatting sqref="BC229">
    <cfRule type="cellIs" dxfId="3462" priority="3797" operator="equal">
      <formula>"SD"</formula>
    </cfRule>
    <cfRule type="cellIs" dxfId="3461" priority="3798" operator="equal">
      <formula>"NO"</formula>
    </cfRule>
    <cfRule type="cellIs" dxfId="3460" priority="3799" operator="equal">
      <formula>"SI"</formula>
    </cfRule>
  </conditionalFormatting>
  <conditionalFormatting sqref="BG229">
    <cfRule type="cellIs" dxfId="3459" priority="3794" operator="equal">
      <formula>"SD"</formula>
    </cfRule>
    <cfRule type="cellIs" dxfId="3458" priority="3795" operator="equal">
      <formula>"NO"</formula>
    </cfRule>
    <cfRule type="cellIs" dxfId="3457" priority="3796" operator="equal">
      <formula>"SI"</formula>
    </cfRule>
  </conditionalFormatting>
  <conditionalFormatting sqref="BH229">
    <cfRule type="cellIs" dxfId="3456" priority="3791" operator="equal">
      <formula>"SD"</formula>
    </cfRule>
    <cfRule type="cellIs" dxfId="3455" priority="3792" operator="equal">
      <formula>"NO"</formula>
    </cfRule>
    <cfRule type="cellIs" dxfId="3454" priority="3793" operator="equal">
      <formula>"SI"</formula>
    </cfRule>
  </conditionalFormatting>
  <conditionalFormatting sqref="BI229">
    <cfRule type="cellIs" dxfId="3453" priority="3788" operator="equal">
      <formula>"SD"</formula>
    </cfRule>
    <cfRule type="cellIs" dxfId="3452" priority="3789" operator="equal">
      <formula>"NO"</formula>
    </cfRule>
    <cfRule type="cellIs" dxfId="3451" priority="3790" operator="equal">
      <formula>"SI"</formula>
    </cfRule>
  </conditionalFormatting>
  <conditionalFormatting sqref="BJ229">
    <cfRule type="cellIs" dxfId="3450" priority="3785" operator="equal">
      <formula>"SD"</formula>
    </cfRule>
    <cfRule type="cellIs" dxfId="3449" priority="3786" operator="equal">
      <formula>"NO"</formula>
    </cfRule>
    <cfRule type="cellIs" dxfId="3448" priority="3787" operator="equal">
      <formula>"SI"</formula>
    </cfRule>
  </conditionalFormatting>
  <conditionalFormatting sqref="BL229:BM229">
    <cfRule type="cellIs" dxfId="3447" priority="3782" operator="equal">
      <formula>"SD"</formula>
    </cfRule>
    <cfRule type="cellIs" dxfId="3446" priority="3783" operator="equal">
      <formula>"NO"</formula>
    </cfRule>
    <cfRule type="cellIs" dxfId="3445" priority="3784" operator="equal">
      <formula>"SI"</formula>
    </cfRule>
  </conditionalFormatting>
  <conditionalFormatting sqref="BK229">
    <cfRule type="cellIs" dxfId="3444" priority="3779" operator="equal">
      <formula>"SD"</formula>
    </cfRule>
    <cfRule type="cellIs" dxfId="3443" priority="3780" operator="equal">
      <formula>"NO"</formula>
    </cfRule>
    <cfRule type="cellIs" dxfId="3442" priority="3781" operator="equal">
      <formula>"SI"</formula>
    </cfRule>
  </conditionalFormatting>
  <conditionalFormatting sqref="CB229:CC229">
    <cfRule type="cellIs" dxfId="3441" priority="3776" operator="equal">
      <formula>"SD"</formula>
    </cfRule>
    <cfRule type="cellIs" dxfId="3440" priority="3777" operator="equal">
      <formula>"NO"</formula>
    </cfRule>
    <cfRule type="cellIs" dxfId="3439" priority="3778" operator="equal">
      <formula>"SI"</formula>
    </cfRule>
  </conditionalFormatting>
  <conditionalFormatting sqref="CD229">
    <cfRule type="cellIs" dxfId="3438" priority="3771" operator="equal">
      <formula>"SD"</formula>
    </cfRule>
    <cfRule type="cellIs" dxfId="3437" priority="3772" operator="equal">
      <formula>"OBLICUA"</formula>
    </cfRule>
    <cfRule type="cellIs" dxfId="3436" priority="3774" operator="equal">
      <formula>"PODÁLICA"</formula>
    </cfRule>
    <cfRule type="cellIs" dxfId="3435" priority="3775" operator="equal">
      <formula>"CEFÁLICA"</formula>
    </cfRule>
  </conditionalFormatting>
  <conditionalFormatting sqref="CE229">
    <cfRule type="cellIs" dxfId="3434" priority="3768" operator="equal">
      <formula>"SD"</formula>
    </cfRule>
    <cfRule type="cellIs" dxfId="3433" priority="3769" operator="equal">
      <formula>"NO"</formula>
    </cfRule>
    <cfRule type="cellIs" dxfId="3432" priority="3770" operator="equal">
      <formula>"SI"</formula>
    </cfRule>
  </conditionalFormatting>
  <conditionalFormatting sqref="AE230">
    <cfRule type="containsText" dxfId="3431" priority="3766" operator="containsText" text="NO">
      <formula>NOT(ISERROR(SEARCH("NO",AE230)))</formula>
    </cfRule>
    <cfRule type="containsText" dxfId="3430" priority="3767" operator="containsText" text="SI">
      <formula>NOT(ISERROR(SEARCH("SI",AE230)))</formula>
    </cfRule>
  </conditionalFormatting>
  <conditionalFormatting sqref="AG230:AH230">
    <cfRule type="cellIs" dxfId="3429" priority="3760" operator="equal">
      <formula>"SD"</formula>
    </cfRule>
    <cfRule type="cellIs" dxfId="3428" priority="3761" operator="equal">
      <formula>"NO"</formula>
    </cfRule>
    <cfRule type="cellIs" dxfId="3427" priority="3762" operator="equal">
      <formula>"SI"</formula>
    </cfRule>
  </conditionalFormatting>
  <conditionalFormatting sqref="AI230">
    <cfRule type="containsText" dxfId="3426" priority="3753" operator="containsText" text="HABITANTE DE CALLE">
      <formula>NOT(ISERROR(SEARCH("HABITANTE DE CALLE",AI230)))</formula>
    </cfRule>
    <cfRule type="containsText" dxfId="3425" priority="3756" operator="containsText" text="NINGUNO">
      <formula>NOT(ISERROR(SEARCH("NINGUNO",AI230)))</formula>
    </cfRule>
    <cfRule type="containsText" dxfId="3424" priority="3757" operator="containsText" text="MIGRATORIA">
      <formula>NOT(ISERROR(SEARCH("MIGRATORIA",AI230)))</formula>
    </cfRule>
    <cfRule type="containsText" dxfId="3423" priority="3758" operator="containsText" text="DISCAPACIDAD">
      <formula>NOT(ISERROR(SEARCH("DISCAPACIDAD",AI230)))</formula>
    </cfRule>
    <cfRule type="containsText" dxfId="3422" priority="3759" operator="containsText" text="DESPLAZADA">
      <formula>NOT(ISERROR(SEARCH("DESPLAZADA",AI230)))</formula>
    </cfRule>
  </conditionalFormatting>
  <conditionalFormatting sqref="AF230">
    <cfRule type="containsText" dxfId="3421" priority="3754" operator="containsText" text="NO">
      <formula>NOT(ISERROR(SEARCH("NO",AF230)))</formula>
    </cfRule>
    <cfRule type="containsText" dxfId="3420" priority="3755" operator="containsText" text="SI">
      <formula>NOT(ISERROR(SEARCH("SI",AF230)))</formula>
    </cfRule>
  </conditionalFormatting>
  <conditionalFormatting sqref="AJ230">
    <cfRule type="cellIs" dxfId="3419" priority="3750" operator="equal">
      <formula>"SD"</formula>
    </cfRule>
    <cfRule type="cellIs" dxfId="3418" priority="3751" operator="equal">
      <formula>"NO"</formula>
    </cfRule>
    <cfRule type="cellIs" dxfId="3417" priority="3752" operator="equal">
      <formula>"SI"</formula>
    </cfRule>
  </conditionalFormatting>
  <conditionalFormatting sqref="AX230">
    <cfRule type="cellIs" dxfId="3416" priority="3747" operator="equal">
      <formula>"SD"</formula>
    </cfRule>
    <cfRule type="cellIs" dxfId="3415" priority="3748" operator="equal">
      <formula>"NO"</formula>
    </cfRule>
    <cfRule type="cellIs" dxfId="3414" priority="3749" operator="equal">
      <formula>"SI"</formula>
    </cfRule>
  </conditionalFormatting>
  <conditionalFormatting sqref="BF230">
    <cfRule type="cellIs" dxfId="3413" priority="3744" operator="equal">
      <formula>"SD"</formula>
    </cfRule>
    <cfRule type="cellIs" dxfId="3412" priority="3745" operator="equal">
      <formula>"NO"</formula>
    </cfRule>
    <cfRule type="cellIs" dxfId="3411" priority="3746" operator="equal">
      <formula>"SI"</formula>
    </cfRule>
  </conditionalFormatting>
  <conditionalFormatting sqref="BA230:BB230 BD230:BE230">
    <cfRule type="cellIs" dxfId="3410" priority="3741" operator="equal">
      <formula>"SD"</formula>
    </cfRule>
    <cfRule type="cellIs" dxfId="3409" priority="3742" operator="equal">
      <formula>"NO"</formula>
    </cfRule>
    <cfRule type="cellIs" dxfId="3408" priority="3743" operator="equal">
      <formula>"SI"</formula>
    </cfRule>
  </conditionalFormatting>
  <conditionalFormatting sqref="BE230">
    <cfRule type="expression" dxfId="3407" priority="3740">
      <formula>IF(AND(FA230&gt;=126,FC230&lt;24),1,0)</formula>
    </cfRule>
  </conditionalFormatting>
  <conditionalFormatting sqref="AY230">
    <cfRule type="containsText" dxfId="3406" priority="3735" operator="containsText" text="SD">
      <formula>NOT(ISERROR(SEARCH("SD",AY230)))</formula>
    </cfRule>
    <cfRule type="containsText" dxfId="3405" priority="3736" operator="containsText" text="SI, NO CONTROLADA">
      <formula>NOT(ISERROR(SEARCH("SI, NO CONTROLADA",AY230)))</formula>
    </cfRule>
    <cfRule type="containsText" dxfId="3404" priority="3737" operator="containsText" text="SI, SIN MANEJO">
      <formula>NOT(ISERROR(SEARCH("SI, SIN MANEJO",AY230)))</formula>
    </cfRule>
    <cfRule type="containsText" dxfId="3403" priority="3738" operator="containsText" text="SI, CONTROLADA">
      <formula>NOT(ISERROR(SEARCH("SI, CONTROLADA",AY230)))</formula>
    </cfRule>
    <cfRule type="containsText" dxfId="3402" priority="3739" operator="containsText" text="NO">
      <formula>NOT(ISERROR(SEARCH("NO",AY230)))</formula>
    </cfRule>
  </conditionalFormatting>
  <conditionalFormatting sqref="AZ230">
    <cfRule type="containsText" dxfId="3401" priority="3730" operator="containsText" text="SD">
      <formula>NOT(ISERROR(SEARCH("SD",AZ230)))</formula>
    </cfRule>
    <cfRule type="containsText" dxfId="3400" priority="3731" operator="containsText" text="SI, NO CONTROLADA">
      <formula>NOT(ISERROR(SEARCH("SI, NO CONTROLADA",AZ230)))</formula>
    </cfRule>
    <cfRule type="containsText" dxfId="3399" priority="3732" operator="containsText" text="SI, SIN MANEJO">
      <formula>NOT(ISERROR(SEARCH("SI, SIN MANEJO",AZ230)))</formula>
    </cfRule>
    <cfRule type="containsText" dxfId="3398" priority="3733" operator="containsText" text="SI, CONTROLADA">
      <formula>NOT(ISERROR(SEARCH("SI, CONTROLADA",AZ230)))</formula>
    </cfRule>
    <cfRule type="containsText" dxfId="3397" priority="3734" operator="containsText" text="NO">
      <formula>NOT(ISERROR(SEARCH("NO",AZ230)))</formula>
    </cfRule>
  </conditionalFormatting>
  <conditionalFormatting sqref="BC230">
    <cfRule type="cellIs" dxfId="3396" priority="3727" operator="equal">
      <formula>"SD"</formula>
    </cfRule>
    <cfRule type="cellIs" dxfId="3395" priority="3728" operator="equal">
      <formula>"NO"</formula>
    </cfRule>
    <cfRule type="cellIs" dxfId="3394" priority="3729" operator="equal">
      <formula>"SI"</formula>
    </cfRule>
  </conditionalFormatting>
  <conditionalFormatting sqref="BG230">
    <cfRule type="cellIs" dxfId="3393" priority="3724" operator="equal">
      <formula>"SD"</formula>
    </cfRule>
    <cfRule type="cellIs" dxfId="3392" priority="3725" operator="equal">
      <formula>"NO"</formula>
    </cfRule>
    <cfRule type="cellIs" dxfId="3391" priority="3726" operator="equal">
      <formula>"SI"</formula>
    </cfRule>
  </conditionalFormatting>
  <conditionalFormatting sqref="BH230">
    <cfRule type="cellIs" dxfId="3390" priority="3721" operator="equal">
      <formula>"SD"</formula>
    </cfRule>
    <cfRule type="cellIs" dxfId="3389" priority="3722" operator="equal">
      <formula>"NO"</formula>
    </cfRule>
    <cfRule type="cellIs" dxfId="3388" priority="3723" operator="equal">
      <formula>"SI"</formula>
    </cfRule>
  </conditionalFormatting>
  <conditionalFormatting sqref="BI230">
    <cfRule type="cellIs" dxfId="3387" priority="3718" operator="equal">
      <formula>"SD"</formula>
    </cfRule>
    <cfRule type="cellIs" dxfId="3386" priority="3719" operator="equal">
      <formula>"NO"</formula>
    </cfRule>
    <cfRule type="cellIs" dxfId="3385" priority="3720" operator="equal">
      <formula>"SI"</formula>
    </cfRule>
  </conditionalFormatting>
  <conditionalFormatting sqref="BJ230">
    <cfRule type="cellIs" dxfId="3384" priority="3715" operator="equal">
      <formula>"SD"</formula>
    </cfRule>
    <cfRule type="cellIs" dxfId="3383" priority="3716" operator="equal">
      <formula>"NO"</formula>
    </cfRule>
    <cfRule type="cellIs" dxfId="3382" priority="3717" operator="equal">
      <formula>"SI"</formula>
    </cfRule>
  </conditionalFormatting>
  <conditionalFormatting sqref="BL230:BM230">
    <cfRule type="cellIs" dxfId="3381" priority="3712" operator="equal">
      <formula>"SD"</formula>
    </cfRule>
    <cfRule type="cellIs" dxfId="3380" priority="3713" operator="equal">
      <formula>"NO"</formula>
    </cfRule>
    <cfRule type="cellIs" dxfId="3379" priority="3714" operator="equal">
      <formula>"SI"</formula>
    </cfRule>
  </conditionalFormatting>
  <conditionalFormatting sqref="BK230">
    <cfRule type="cellIs" dxfId="3378" priority="3709" operator="equal">
      <formula>"SD"</formula>
    </cfRule>
    <cfRule type="cellIs" dxfId="3377" priority="3710" operator="equal">
      <formula>"NO"</formula>
    </cfRule>
    <cfRule type="cellIs" dxfId="3376" priority="3711" operator="equal">
      <formula>"SI"</formula>
    </cfRule>
  </conditionalFormatting>
  <conditionalFormatting sqref="CB230:CC230">
    <cfRule type="cellIs" dxfId="3375" priority="3706" operator="equal">
      <formula>"SD"</formula>
    </cfRule>
    <cfRule type="cellIs" dxfId="3374" priority="3707" operator="equal">
      <formula>"NO"</formula>
    </cfRule>
    <cfRule type="cellIs" dxfId="3373" priority="3708" operator="equal">
      <formula>"SI"</formula>
    </cfRule>
  </conditionalFormatting>
  <conditionalFormatting sqref="CE230">
    <cfRule type="cellIs" dxfId="3372" priority="3703" operator="equal">
      <formula>"SD"</formula>
    </cfRule>
    <cfRule type="cellIs" dxfId="3371" priority="3704" operator="equal">
      <formula>"NO"</formula>
    </cfRule>
    <cfRule type="cellIs" dxfId="3370" priority="3705" operator="equal">
      <formula>"SI"</formula>
    </cfRule>
  </conditionalFormatting>
  <conditionalFormatting sqref="L231">
    <cfRule type="containsText" dxfId="3369" priority="3694" operator="containsText" text="Empleo informal">
      <formula>NOT(ISERROR(SEARCH("Empleo informal",L231)))</formula>
    </cfRule>
    <cfRule type="containsText" dxfId="3368" priority="3695" operator="containsText" text="Empleada formalmente con riesgo a tóxicos">
      <formula>NOT(ISERROR(SEARCH("Empleada formalmente con riesgo a tóxicos",L231)))</formula>
    </cfRule>
    <cfRule type="containsText" dxfId="3367" priority="3696" operator="containsText" text="Empleada formalmente con riesgo de accidente laboral">
      <formula>NOT(ISERROR(SEARCH("Empleada formalmente con riesgo de accidente laboral",L231)))</formula>
    </cfRule>
    <cfRule type="containsText" dxfId="3366" priority="3697" operator="containsText" text="Empleada formalmente por jornada laboral extensa">
      <formula>NOT(ISERROR(SEARCH("Empleada formalmente por jornada laboral extensa",L231)))</formula>
    </cfRule>
    <cfRule type="containsText" dxfId="3365" priority="3698" operator="containsText" text="Empleada formalmente sin riesgo">
      <formula>NOT(ISERROR(SEARCH("Empleada formalmente sin riesgo",L231)))</formula>
    </cfRule>
    <cfRule type="containsText" dxfId="3364" priority="3699" operator="containsText" text="Actualmente desempleada">
      <formula>NOT(ISERROR(SEARCH("Actualmente desempleada",L231)))</formula>
    </cfRule>
    <cfRule type="containsText" dxfId="3363" priority="3700" operator="containsText" text="Hogar sin apoyo">
      <formula>NOT(ISERROR(SEARCH("Hogar sin apoyo",L231)))</formula>
    </cfRule>
    <cfRule type="containsText" dxfId="3362" priority="3701" operator="containsText" text="Empleada formalmente sin riesgo">
      <formula>NOT(ISERROR(SEARCH("Empleada formalmente sin riesgo",L231)))</formula>
    </cfRule>
    <cfRule type="containsText" dxfId="3361" priority="3702" operator="containsText" text="Hogar Con apoyo">
      <formula>NOT(ISERROR(SEARCH("Hogar Con apoyo",L231)))</formula>
    </cfRule>
  </conditionalFormatting>
  <conditionalFormatting sqref="AE231">
    <cfRule type="containsText" dxfId="3360" priority="3692" operator="containsText" text="NO">
      <formula>NOT(ISERROR(SEARCH("NO",AE231)))</formula>
    </cfRule>
    <cfRule type="containsText" dxfId="3359" priority="3693" operator="containsText" text="SI">
      <formula>NOT(ISERROR(SEARCH("SI",AE231)))</formula>
    </cfRule>
  </conditionalFormatting>
  <conditionalFormatting sqref="AG231:AH231">
    <cfRule type="cellIs" dxfId="3358" priority="3686" operator="equal">
      <formula>"SD"</formula>
    </cfRule>
    <cfRule type="cellIs" dxfId="3357" priority="3687" operator="equal">
      <formula>"NO"</formula>
    </cfRule>
    <cfRule type="cellIs" dxfId="3356" priority="3688" operator="equal">
      <formula>"SI"</formula>
    </cfRule>
  </conditionalFormatting>
  <conditionalFormatting sqref="AI231">
    <cfRule type="containsText" dxfId="3355" priority="3679" operator="containsText" text="HABITANTE DE CALLE">
      <formula>NOT(ISERROR(SEARCH("HABITANTE DE CALLE",AI231)))</formula>
    </cfRule>
    <cfRule type="containsText" dxfId="3354" priority="3682" operator="containsText" text="NINGUNO">
      <formula>NOT(ISERROR(SEARCH("NINGUNO",AI231)))</formula>
    </cfRule>
    <cfRule type="containsText" dxfId="3353" priority="3683" operator="containsText" text="MIGRATORIA">
      <formula>NOT(ISERROR(SEARCH("MIGRATORIA",AI231)))</formula>
    </cfRule>
    <cfRule type="containsText" dxfId="3352" priority="3684" operator="containsText" text="DISCAPACIDAD">
      <formula>NOT(ISERROR(SEARCH("DISCAPACIDAD",AI231)))</formula>
    </cfRule>
    <cfRule type="containsText" dxfId="3351" priority="3685" operator="containsText" text="DESPLAZADA">
      <formula>NOT(ISERROR(SEARCH("DESPLAZADA",AI231)))</formula>
    </cfRule>
  </conditionalFormatting>
  <conditionalFormatting sqref="AF231">
    <cfRule type="containsText" dxfId="3350" priority="3680" operator="containsText" text="NO">
      <formula>NOT(ISERROR(SEARCH("NO",AF231)))</formula>
    </cfRule>
    <cfRule type="containsText" dxfId="3349" priority="3681" operator="containsText" text="SI">
      <formula>NOT(ISERROR(SEARCH("SI",AF231)))</formula>
    </cfRule>
  </conditionalFormatting>
  <conditionalFormatting sqref="AJ231">
    <cfRule type="cellIs" dxfId="3348" priority="3676" operator="equal">
      <formula>"SD"</formula>
    </cfRule>
    <cfRule type="cellIs" dxfId="3347" priority="3677" operator="equal">
      <formula>"NO"</formula>
    </cfRule>
    <cfRule type="cellIs" dxfId="3346" priority="3678" operator="equal">
      <formula>"SI"</formula>
    </cfRule>
  </conditionalFormatting>
  <conditionalFormatting sqref="AX231">
    <cfRule type="cellIs" dxfId="3345" priority="3673" operator="equal">
      <formula>"SD"</formula>
    </cfRule>
    <cfRule type="cellIs" dxfId="3344" priority="3674" operator="equal">
      <formula>"NO"</formula>
    </cfRule>
    <cfRule type="cellIs" dxfId="3343" priority="3675" operator="equal">
      <formula>"SI"</formula>
    </cfRule>
  </conditionalFormatting>
  <conditionalFormatting sqref="BF231">
    <cfRule type="cellIs" dxfId="3342" priority="3670" operator="equal">
      <formula>"SD"</formula>
    </cfRule>
    <cfRule type="cellIs" dxfId="3341" priority="3671" operator="equal">
      <formula>"NO"</formula>
    </cfRule>
    <cfRule type="cellIs" dxfId="3340" priority="3672" operator="equal">
      <formula>"SI"</formula>
    </cfRule>
  </conditionalFormatting>
  <conditionalFormatting sqref="BA231:BB231 BD231:BE231">
    <cfRule type="cellIs" dxfId="3339" priority="3667" operator="equal">
      <formula>"SD"</formula>
    </cfRule>
    <cfRule type="cellIs" dxfId="3338" priority="3668" operator="equal">
      <formula>"NO"</formula>
    </cfRule>
    <cfRule type="cellIs" dxfId="3337" priority="3669" operator="equal">
      <formula>"SI"</formula>
    </cfRule>
  </conditionalFormatting>
  <conditionalFormatting sqref="BE231">
    <cfRule type="expression" dxfId="3336" priority="3666">
      <formula>IF(AND(FA231&gt;=126,FC231&lt;24),1,0)</formula>
    </cfRule>
  </conditionalFormatting>
  <conditionalFormatting sqref="AY231">
    <cfRule type="containsText" dxfId="3335" priority="3661" operator="containsText" text="SD">
      <formula>NOT(ISERROR(SEARCH("SD",AY231)))</formula>
    </cfRule>
    <cfRule type="containsText" dxfId="3334" priority="3662" operator="containsText" text="SI, NO CONTROLADA">
      <formula>NOT(ISERROR(SEARCH("SI, NO CONTROLADA",AY231)))</formula>
    </cfRule>
    <cfRule type="containsText" dxfId="3333" priority="3663" operator="containsText" text="SI, SIN MANEJO">
      <formula>NOT(ISERROR(SEARCH("SI, SIN MANEJO",AY231)))</formula>
    </cfRule>
    <cfRule type="containsText" dxfId="3332" priority="3664" operator="containsText" text="SI, CONTROLADA">
      <formula>NOT(ISERROR(SEARCH("SI, CONTROLADA",AY231)))</formula>
    </cfRule>
    <cfRule type="containsText" dxfId="3331" priority="3665" operator="containsText" text="NO">
      <formula>NOT(ISERROR(SEARCH("NO",AY231)))</formula>
    </cfRule>
  </conditionalFormatting>
  <conditionalFormatting sqref="AZ231">
    <cfRule type="containsText" dxfId="3330" priority="3656" operator="containsText" text="SD">
      <formula>NOT(ISERROR(SEARCH("SD",AZ231)))</formula>
    </cfRule>
    <cfRule type="containsText" dxfId="3329" priority="3657" operator="containsText" text="SI, NO CONTROLADA">
      <formula>NOT(ISERROR(SEARCH("SI, NO CONTROLADA",AZ231)))</formula>
    </cfRule>
    <cfRule type="containsText" dxfId="3328" priority="3658" operator="containsText" text="SI, SIN MANEJO">
      <formula>NOT(ISERROR(SEARCH("SI, SIN MANEJO",AZ231)))</formula>
    </cfRule>
    <cfRule type="containsText" dxfId="3327" priority="3659" operator="containsText" text="SI, CONTROLADA">
      <formula>NOT(ISERROR(SEARCH("SI, CONTROLADA",AZ231)))</formula>
    </cfRule>
    <cfRule type="containsText" dxfId="3326" priority="3660" operator="containsText" text="NO">
      <formula>NOT(ISERROR(SEARCH("NO",AZ231)))</formula>
    </cfRule>
  </conditionalFormatting>
  <conditionalFormatting sqref="BC231">
    <cfRule type="cellIs" dxfId="3325" priority="3653" operator="equal">
      <formula>"SD"</formula>
    </cfRule>
    <cfRule type="cellIs" dxfId="3324" priority="3654" operator="equal">
      <formula>"NO"</formula>
    </cfRule>
    <cfRule type="cellIs" dxfId="3323" priority="3655" operator="equal">
      <formula>"SI"</formula>
    </cfRule>
  </conditionalFormatting>
  <conditionalFormatting sqref="BG231">
    <cfRule type="cellIs" dxfId="3322" priority="3650" operator="equal">
      <formula>"SD"</formula>
    </cfRule>
    <cfRule type="cellIs" dxfId="3321" priority="3651" operator="equal">
      <formula>"NO"</formula>
    </cfRule>
    <cfRule type="cellIs" dxfId="3320" priority="3652" operator="equal">
      <formula>"SI"</formula>
    </cfRule>
  </conditionalFormatting>
  <conditionalFormatting sqref="CB231:CC231">
    <cfRule type="cellIs" dxfId="3319" priority="3647" operator="equal">
      <formula>"SD"</formula>
    </cfRule>
    <cfRule type="cellIs" dxfId="3318" priority="3648" operator="equal">
      <formula>"NO"</formula>
    </cfRule>
    <cfRule type="cellIs" dxfId="3317" priority="3649" operator="equal">
      <formula>"SI"</formula>
    </cfRule>
  </conditionalFormatting>
  <conditionalFormatting sqref="CD231">
    <cfRule type="cellIs" dxfId="3316" priority="3642" operator="equal">
      <formula>"SD"</formula>
    </cfRule>
    <cfRule type="cellIs" dxfId="3315" priority="3643" operator="equal">
      <formula>"OBLICUA"</formula>
    </cfRule>
    <cfRule type="cellIs" dxfId="3314" priority="3645" operator="equal">
      <formula>"PODÁLICA"</formula>
    </cfRule>
    <cfRule type="cellIs" dxfId="3313" priority="3646" operator="equal">
      <formula>"CEFÁLICA"</formula>
    </cfRule>
  </conditionalFormatting>
  <conditionalFormatting sqref="CE231">
    <cfRule type="cellIs" dxfId="3312" priority="3639" operator="equal">
      <formula>"SD"</formula>
    </cfRule>
    <cfRule type="cellIs" dxfId="3311" priority="3640" operator="equal">
      <formula>"NO"</formula>
    </cfRule>
    <cfRule type="cellIs" dxfId="3310" priority="3641" operator="equal">
      <formula>"SI"</formula>
    </cfRule>
  </conditionalFormatting>
  <conditionalFormatting sqref="AE232">
    <cfRule type="containsText" dxfId="3309" priority="3637" operator="containsText" text="NO">
      <formula>NOT(ISERROR(SEARCH("NO",AE232)))</formula>
    </cfRule>
    <cfRule type="containsText" dxfId="3308" priority="3638" operator="containsText" text="SI">
      <formula>NOT(ISERROR(SEARCH("SI",AE232)))</formula>
    </cfRule>
  </conditionalFormatting>
  <conditionalFormatting sqref="AG232:AH232">
    <cfRule type="cellIs" dxfId="3307" priority="3631" operator="equal">
      <formula>"SD"</formula>
    </cfRule>
    <cfRule type="cellIs" dxfId="3306" priority="3632" operator="equal">
      <formula>"NO"</formula>
    </cfRule>
    <cfRule type="cellIs" dxfId="3305" priority="3633" operator="equal">
      <formula>"SI"</formula>
    </cfRule>
  </conditionalFormatting>
  <conditionalFormatting sqref="AI232">
    <cfRule type="containsText" dxfId="3304" priority="3624" operator="containsText" text="HABITANTE DE CALLE">
      <formula>NOT(ISERROR(SEARCH("HABITANTE DE CALLE",AI232)))</formula>
    </cfRule>
    <cfRule type="containsText" dxfId="3303" priority="3627" operator="containsText" text="NINGUNO">
      <formula>NOT(ISERROR(SEARCH("NINGUNO",AI232)))</formula>
    </cfRule>
    <cfRule type="containsText" dxfId="3302" priority="3628" operator="containsText" text="MIGRATORIA">
      <formula>NOT(ISERROR(SEARCH("MIGRATORIA",AI232)))</formula>
    </cfRule>
    <cfRule type="containsText" dxfId="3301" priority="3629" operator="containsText" text="DISCAPACIDAD">
      <formula>NOT(ISERROR(SEARCH("DISCAPACIDAD",AI232)))</formula>
    </cfRule>
    <cfRule type="containsText" dxfId="3300" priority="3630" operator="containsText" text="DESPLAZADA">
      <formula>NOT(ISERROR(SEARCH("DESPLAZADA",AI232)))</formula>
    </cfRule>
  </conditionalFormatting>
  <conditionalFormatting sqref="AF232">
    <cfRule type="containsText" dxfId="3299" priority="3625" operator="containsText" text="NO">
      <formula>NOT(ISERROR(SEARCH("NO",AF232)))</formula>
    </cfRule>
    <cfRule type="containsText" dxfId="3298" priority="3626" operator="containsText" text="SI">
      <formula>NOT(ISERROR(SEARCH("SI",AF232)))</formula>
    </cfRule>
  </conditionalFormatting>
  <conditionalFormatting sqref="AJ232">
    <cfRule type="cellIs" dxfId="3297" priority="3621" operator="equal">
      <formula>"SD"</formula>
    </cfRule>
    <cfRule type="cellIs" dxfId="3296" priority="3622" operator="equal">
      <formula>"NO"</formula>
    </cfRule>
    <cfRule type="cellIs" dxfId="3295" priority="3623" operator="equal">
      <formula>"SI"</formula>
    </cfRule>
  </conditionalFormatting>
  <conditionalFormatting sqref="AX232">
    <cfRule type="cellIs" dxfId="3294" priority="3618" operator="equal">
      <formula>"SD"</formula>
    </cfRule>
    <cfRule type="cellIs" dxfId="3293" priority="3619" operator="equal">
      <formula>"NO"</formula>
    </cfRule>
    <cfRule type="cellIs" dxfId="3292" priority="3620" operator="equal">
      <formula>"SI"</formula>
    </cfRule>
  </conditionalFormatting>
  <conditionalFormatting sqref="BF232">
    <cfRule type="cellIs" dxfId="3291" priority="3615" operator="equal">
      <formula>"SD"</formula>
    </cfRule>
    <cfRule type="cellIs" dxfId="3290" priority="3616" operator="equal">
      <formula>"NO"</formula>
    </cfRule>
    <cfRule type="cellIs" dxfId="3289" priority="3617" operator="equal">
      <formula>"SI"</formula>
    </cfRule>
  </conditionalFormatting>
  <conditionalFormatting sqref="BA232:BB232 BD232:BE232">
    <cfRule type="cellIs" dxfId="3288" priority="3612" operator="equal">
      <formula>"SD"</formula>
    </cfRule>
    <cfRule type="cellIs" dxfId="3287" priority="3613" operator="equal">
      <formula>"NO"</formula>
    </cfRule>
    <cfRule type="cellIs" dxfId="3286" priority="3614" operator="equal">
      <formula>"SI"</formula>
    </cfRule>
  </conditionalFormatting>
  <conditionalFormatting sqref="BE232">
    <cfRule type="expression" dxfId="3285" priority="3611">
      <formula>IF(AND(FA232&gt;=126,FC232&lt;24),1,0)</formula>
    </cfRule>
  </conditionalFormatting>
  <conditionalFormatting sqref="AY232">
    <cfRule type="containsText" dxfId="3284" priority="3606" operator="containsText" text="SD">
      <formula>NOT(ISERROR(SEARCH("SD",AY232)))</formula>
    </cfRule>
    <cfRule type="containsText" dxfId="3283" priority="3607" operator="containsText" text="SI, NO CONTROLADA">
      <formula>NOT(ISERROR(SEARCH("SI, NO CONTROLADA",AY232)))</formula>
    </cfRule>
    <cfRule type="containsText" dxfId="3282" priority="3608" operator="containsText" text="SI, SIN MANEJO">
      <formula>NOT(ISERROR(SEARCH("SI, SIN MANEJO",AY232)))</formula>
    </cfRule>
    <cfRule type="containsText" dxfId="3281" priority="3609" operator="containsText" text="SI, CONTROLADA">
      <formula>NOT(ISERROR(SEARCH("SI, CONTROLADA",AY232)))</formula>
    </cfRule>
    <cfRule type="containsText" dxfId="3280" priority="3610" operator="containsText" text="NO">
      <formula>NOT(ISERROR(SEARCH("NO",AY232)))</formula>
    </cfRule>
  </conditionalFormatting>
  <conditionalFormatting sqref="AZ232">
    <cfRule type="containsText" dxfId="3279" priority="3601" operator="containsText" text="SD">
      <formula>NOT(ISERROR(SEARCH("SD",AZ232)))</formula>
    </cfRule>
    <cfRule type="containsText" dxfId="3278" priority="3602" operator="containsText" text="SI, NO CONTROLADA">
      <formula>NOT(ISERROR(SEARCH("SI, NO CONTROLADA",AZ232)))</formula>
    </cfRule>
    <cfRule type="containsText" dxfId="3277" priority="3603" operator="containsText" text="SI, SIN MANEJO">
      <formula>NOT(ISERROR(SEARCH("SI, SIN MANEJO",AZ232)))</formula>
    </cfRule>
    <cfRule type="containsText" dxfId="3276" priority="3604" operator="containsText" text="SI, CONTROLADA">
      <formula>NOT(ISERROR(SEARCH("SI, CONTROLADA",AZ232)))</formula>
    </cfRule>
    <cfRule type="containsText" dxfId="3275" priority="3605" operator="containsText" text="NO">
      <formula>NOT(ISERROR(SEARCH("NO",AZ232)))</formula>
    </cfRule>
  </conditionalFormatting>
  <conditionalFormatting sqref="BC232">
    <cfRule type="cellIs" dxfId="3274" priority="3598" operator="equal">
      <formula>"SD"</formula>
    </cfRule>
    <cfRule type="cellIs" dxfId="3273" priority="3599" operator="equal">
      <formula>"NO"</formula>
    </cfRule>
    <cfRule type="cellIs" dxfId="3272" priority="3600" operator="equal">
      <formula>"SI"</formula>
    </cfRule>
  </conditionalFormatting>
  <conditionalFormatting sqref="BG232">
    <cfRule type="cellIs" dxfId="3271" priority="3595" operator="equal">
      <formula>"SD"</formula>
    </cfRule>
    <cfRule type="cellIs" dxfId="3270" priority="3596" operator="equal">
      <formula>"NO"</formula>
    </cfRule>
    <cfRule type="cellIs" dxfId="3269" priority="3597" operator="equal">
      <formula>"SI"</formula>
    </cfRule>
  </conditionalFormatting>
  <conditionalFormatting sqref="BH231:BH232">
    <cfRule type="cellIs" dxfId="3268" priority="3577" operator="equal">
      <formula>"SD"</formula>
    </cfRule>
    <cfRule type="cellIs" dxfId="3267" priority="3578" operator="equal">
      <formula>"NO"</formula>
    </cfRule>
    <cfRule type="cellIs" dxfId="3266" priority="3579" operator="equal">
      <formula>"SI"</formula>
    </cfRule>
  </conditionalFormatting>
  <conditionalFormatting sqref="BI231:BI232">
    <cfRule type="cellIs" dxfId="3265" priority="3574" operator="equal">
      <formula>"SD"</formula>
    </cfRule>
    <cfRule type="cellIs" dxfId="3264" priority="3575" operator="equal">
      <formula>"NO"</formula>
    </cfRule>
    <cfRule type="cellIs" dxfId="3263" priority="3576" operator="equal">
      <formula>"SI"</formula>
    </cfRule>
  </conditionalFormatting>
  <conditionalFormatting sqref="BJ231:BJ232">
    <cfRule type="cellIs" dxfId="3262" priority="3571" operator="equal">
      <formula>"SD"</formula>
    </cfRule>
    <cfRule type="cellIs" dxfId="3261" priority="3572" operator="equal">
      <formula>"NO"</formula>
    </cfRule>
    <cfRule type="cellIs" dxfId="3260" priority="3573" operator="equal">
      <formula>"SI"</formula>
    </cfRule>
  </conditionalFormatting>
  <conditionalFormatting sqref="BL231:BM232">
    <cfRule type="cellIs" dxfId="3259" priority="3568" operator="equal">
      <formula>"SD"</formula>
    </cfRule>
    <cfRule type="cellIs" dxfId="3258" priority="3569" operator="equal">
      <formula>"NO"</formula>
    </cfRule>
    <cfRule type="cellIs" dxfId="3257" priority="3570" operator="equal">
      <formula>"SI"</formula>
    </cfRule>
  </conditionalFormatting>
  <conditionalFormatting sqref="BK231:BK232">
    <cfRule type="cellIs" dxfId="3256" priority="3565" operator="equal">
      <formula>"SD"</formula>
    </cfRule>
    <cfRule type="cellIs" dxfId="3255" priority="3566" operator="equal">
      <formula>"NO"</formula>
    </cfRule>
    <cfRule type="cellIs" dxfId="3254" priority="3567" operator="equal">
      <formula>"SI"</formula>
    </cfRule>
  </conditionalFormatting>
  <conditionalFormatting sqref="CB232:CC232">
    <cfRule type="cellIs" dxfId="3253" priority="3562" operator="equal">
      <formula>"SD"</formula>
    </cfRule>
    <cfRule type="cellIs" dxfId="3252" priority="3563" operator="equal">
      <formula>"NO"</formula>
    </cfRule>
    <cfRule type="cellIs" dxfId="3251" priority="3564" operator="equal">
      <formula>"SI"</formula>
    </cfRule>
  </conditionalFormatting>
  <conditionalFormatting sqref="CD232">
    <cfRule type="cellIs" dxfId="3250" priority="3557" operator="equal">
      <formula>"SD"</formula>
    </cfRule>
    <cfRule type="cellIs" dxfId="3249" priority="3558" operator="equal">
      <formula>"OBLICUA"</formula>
    </cfRule>
    <cfRule type="cellIs" dxfId="3248" priority="3560" operator="equal">
      <formula>"PODÁLICA"</formula>
    </cfRule>
    <cfRule type="cellIs" dxfId="3247" priority="3561" operator="equal">
      <formula>"CEFÁLICA"</formula>
    </cfRule>
  </conditionalFormatting>
  <conditionalFormatting sqref="CE232">
    <cfRule type="cellIs" dxfId="3246" priority="3554" operator="equal">
      <formula>"SD"</formula>
    </cfRule>
    <cfRule type="cellIs" dxfId="3245" priority="3555" operator="equal">
      <formula>"NO"</formula>
    </cfRule>
    <cfRule type="cellIs" dxfId="3244" priority="3556" operator="equal">
      <formula>"SI"</formula>
    </cfRule>
  </conditionalFormatting>
  <conditionalFormatting sqref="AE233">
    <cfRule type="containsText" dxfId="3243" priority="3552" operator="containsText" text="NO">
      <formula>NOT(ISERROR(SEARCH("NO",AE233)))</formula>
    </cfRule>
    <cfRule type="containsText" dxfId="3242" priority="3553" operator="containsText" text="SI">
      <formula>NOT(ISERROR(SEARCH("SI",AE233)))</formula>
    </cfRule>
  </conditionalFormatting>
  <conditionalFormatting sqref="AG233:AH233">
    <cfRule type="cellIs" dxfId="3241" priority="3546" operator="equal">
      <formula>"SD"</formula>
    </cfRule>
    <cfRule type="cellIs" dxfId="3240" priority="3547" operator="equal">
      <formula>"NO"</formula>
    </cfRule>
    <cfRule type="cellIs" dxfId="3239" priority="3548" operator="equal">
      <formula>"SI"</formula>
    </cfRule>
  </conditionalFormatting>
  <conditionalFormatting sqref="AI233">
    <cfRule type="containsText" dxfId="3238" priority="3539" operator="containsText" text="HABITANTE DE CALLE">
      <formula>NOT(ISERROR(SEARCH("HABITANTE DE CALLE",AI233)))</formula>
    </cfRule>
    <cfRule type="containsText" dxfId="3237" priority="3542" operator="containsText" text="NINGUNO">
      <formula>NOT(ISERROR(SEARCH("NINGUNO",AI233)))</formula>
    </cfRule>
    <cfRule type="containsText" dxfId="3236" priority="3543" operator="containsText" text="MIGRATORIA">
      <formula>NOT(ISERROR(SEARCH("MIGRATORIA",AI233)))</formula>
    </cfRule>
    <cfRule type="containsText" dxfId="3235" priority="3544" operator="containsText" text="DISCAPACIDAD">
      <formula>NOT(ISERROR(SEARCH("DISCAPACIDAD",AI233)))</formula>
    </cfRule>
    <cfRule type="containsText" dxfId="3234" priority="3545" operator="containsText" text="DESPLAZADA">
      <formula>NOT(ISERROR(SEARCH("DESPLAZADA",AI233)))</formula>
    </cfRule>
  </conditionalFormatting>
  <conditionalFormatting sqref="AF233">
    <cfRule type="containsText" dxfId="3233" priority="3540" operator="containsText" text="NO">
      <formula>NOT(ISERROR(SEARCH("NO",AF233)))</formula>
    </cfRule>
    <cfRule type="containsText" dxfId="3232" priority="3541" operator="containsText" text="SI">
      <formula>NOT(ISERROR(SEARCH("SI",AF233)))</formula>
    </cfRule>
  </conditionalFormatting>
  <conditionalFormatting sqref="AJ233">
    <cfRule type="cellIs" dxfId="3231" priority="3536" operator="equal">
      <formula>"SD"</formula>
    </cfRule>
    <cfRule type="cellIs" dxfId="3230" priority="3537" operator="equal">
      <formula>"NO"</formula>
    </cfRule>
    <cfRule type="cellIs" dxfId="3229" priority="3538" operator="equal">
      <formula>"SI"</formula>
    </cfRule>
  </conditionalFormatting>
  <conditionalFormatting sqref="AX233">
    <cfRule type="cellIs" dxfId="3228" priority="3533" operator="equal">
      <formula>"SD"</formula>
    </cfRule>
    <cfRule type="cellIs" dxfId="3227" priority="3534" operator="equal">
      <formula>"NO"</formula>
    </cfRule>
    <cfRule type="cellIs" dxfId="3226" priority="3535" operator="equal">
      <formula>"SI"</formula>
    </cfRule>
  </conditionalFormatting>
  <conditionalFormatting sqref="BA233:BB233">
    <cfRule type="cellIs" dxfId="3225" priority="3530" operator="equal">
      <formula>"SD"</formula>
    </cfRule>
    <cfRule type="cellIs" dxfId="3224" priority="3531" operator="equal">
      <formula>"NO"</formula>
    </cfRule>
    <cfRule type="cellIs" dxfId="3223" priority="3532" operator="equal">
      <formula>"SI"</formula>
    </cfRule>
  </conditionalFormatting>
  <conditionalFormatting sqref="AY233">
    <cfRule type="containsText" dxfId="3222" priority="3525" operator="containsText" text="SD">
      <formula>NOT(ISERROR(SEARCH("SD",AY233)))</formula>
    </cfRule>
    <cfRule type="containsText" dxfId="3221" priority="3526" operator="containsText" text="SI, NO CONTROLADA">
      <formula>NOT(ISERROR(SEARCH("SI, NO CONTROLADA",AY233)))</formula>
    </cfRule>
    <cfRule type="containsText" dxfId="3220" priority="3527" operator="containsText" text="SI, SIN MANEJO">
      <formula>NOT(ISERROR(SEARCH("SI, SIN MANEJO",AY233)))</formula>
    </cfRule>
    <cfRule type="containsText" dxfId="3219" priority="3528" operator="containsText" text="SI, CONTROLADA">
      <formula>NOT(ISERROR(SEARCH("SI, CONTROLADA",AY233)))</formula>
    </cfRule>
    <cfRule type="containsText" dxfId="3218" priority="3529" operator="containsText" text="NO">
      <formula>NOT(ISERROR(SEARCH("NO",AY233)))</formula>
    </cfRule>
  </conditionalFormatting>
  <conditionalFormatting sqref="AZ233">
    <cfRule type="containsText" dxfId="3217" priority="3520" operator="containsText" text="SD">
      <formula>NOT(ISERROR(SEARCH("SD",AZ233)))</formula>
    </cfRule>
    <cfRule type="containsText" dxfId="3216" priority="3521" operator="containsText" text="SI, NO CONTROLADA">
      <formula>NOT(ISERROR(SEARCH("SI, NO CONTROLADA",AZ233)))</formula>
    </cfRule>
    <cfRule type="containsText" dxfId="3215" priority="3522" operator="containsText" text="SI, SIN MANEJO">
      <formula>NOT(ISERROR(SEARCH("SI, SIN MANEJO",AZ233)))</formula>
    </cfRule>
    <cfRule type="containsText" dxfId="3214" priority="3523" operator="containsText" text="SI, CONTROLADA">
      <formula>NOT(ISERROR(SEARCH("SI, CONTROLADA",AZ233)))</formula>
    </cfRule>
    <cfRule type="containsText" dxfId="3213" priority="3524" operator="containsText" text="NO">
      <formula>NOT(ISERROR(SEARCH("NO",AZ233)))</formula>
    </cfRule>
  </conditionalFormatting>
  <conditionalFormatting sqref="BC233">
    <cfRule type="cellIs" dxfId="3212" priority="3517" operator="equal">
      <formula>"SD"</formula>
    </cfRule>
    <cfRule type="cellIs" dxfId="3211" priority="3518" operator="equal">
      <formula>"NO"</formula>
    </cfRule>
    <cfRule type="cellIs" dxfId="3210" priority="3519" operator="equal">
      <formula>"SI"</formula>
    </cfRule>
  </conditionalFormatting>
  <conditionalFormatting sqref="BF233">
    <cfRule type="cellIs" dxfId="3209" priority="3514" operator="equal">
      <formula>"SD"</formula>
    </cfRule>
    <cfRule type="cellIs" dxfId="3208" priority="3515" operator="equal">
      <formula>"NO"</formula>
    </cfRule>
    <cfRule type="cellIs" dxfId="3207" priority="3516" operator="equal">
      <formula>"SI"</formula>
    </cfRule>
  </conditionalFormatting>
  <conditionalFormatting sqref="BD233:BE233">
    <cfRule type="cellIs" dxfId="3206" priority="3511" operator="equal">
      <formula>"SD"</formula>
    </cfRule>
    <cfRule type="cellIs" dxfId="3205" priority="3512" operator="equal">
      <formula>"NO"</formula>
    </cfRule>
    <cfRule type="cellIs" dxfId="3204" priority="3513" operator="equal">
      <formula>"SI"</formula>
    </cfRule>
  </conditionalFormatting>
  <conditionalFormatting sqref="BE233">
    <cfRule type="expression" dxfId="3203" priority="3510">
      <formula>IF(AND(FA233&gt;=126,FC233&lt;24),1,0)</formula>
    </cfRule>
  </conditionalFormatting>
  <conditionalFormatting sqref="BG233">
    <cfRule type="cellIs" dxfId="3202" priority="3507" operator="equal">
      <formula>"SD"</formula>
    </cfRule>
    <cfRule type="cellIs" dxfId="3201" priority="3508" operator="equal">
      <formula>"NO"</formula>
    </cfRule>
    <cfRule type="cellIs" dxfId="3200" priority="3509" operator="equal">
      <formula>"SI"</formula>
    </cfRule>
  </conditionalFormatting>
  <conditionalFormatting sqref="BH233">
    <cfRule type="cellIs" dxfId="3199" priority="3504" operator="equal">
      <formula>"SD"</formula>
    </cfRule>
    <cfRule type="cellIs" dxfId="3198" priority="3505" operator="equal">
      <formula>"NO"</formula>
    </cfRule>
    <cfRule type="cellIs" dxfId="3197" priority="3506" operator="equal">
      <formula>"SI"</formula>
    </cfRule>
  </conditionalFormatting>
  <conditionalFormatting sqref="BI233">
    <cfRule type="cellIs" dxfId="3196" priority="3501" operator="equal">
      <formula>"SD"</formula>
    </cfRule>
    <cfRule type="cellIs" dxfId="3195" priority="3502" operator="equal">
      <formula>"NO"</formula>
    </cfRule>
    <cfRule type="cellIs" dxfId="3194" priority="3503" operator="equal">
      <formula>"SI"</formula>
    </cfRule>
  </conditionalFormatting>
  <conditionalFormatting sqref="BJ233">
    <cfRule type="cellIs" dxfId="3193" priority="3498" operator="equal">
      <formula>"SD"</formula>
    </cfRule>
    <cfRule type="cellIs" dxfId="3192" priority="3499" operator="equal">
      <formula>"NO"</formula>
    </cfRule>
    <cfRule type="cellIs" dxfId="3191" priority="3500" operator="equal">
      <formula>"SI"</formula>
    </cfRule>
  </conditionalFormatting>
  <conditionalFormatting sqref="BL233:BM233">
    <cfRule type="cellIs" dxfId="3190" priority="3495" operator="equal">
      <formula>"SD"</formula>
    </cfRule>
    <cfRule type="cellIs" dxfId="3189" priority="3496" operator="equal">
      <formula>"NO"</formula>
    </cfRule>
    <cfRule type="cellIs" dxfId="3188" priority="3497" operator="equal">
      <formula>"SI"</formula>
    </cfRule>
  </conditionalFormatting>
  <conditionalFormatting sqref="BK233">
    <cfRule type="cellIs" dxfId="3187" priority="3492" operator="equal">
      <formula>"SD"</formula>
    </cfRule>
    <cfRule type="cellIs" dxfId="3186" priority="3493" operator="equal">
      <formula>"NO"</formula>
    </cfRule>
    <cfRule type="cellIs" dxfId="3185" priority="3494" operator="equal">
      <formula>"SI"</formula>
    </cfRule>
  </conditionalFormatting>
  <conditionalFormatting sqref="CB233:CC233">
    <cfRule type="cellIs" dxfId="3184" priority="3489" operator="equal">
      <formula>"SD"</formula>
    </cfRule>
    <cfRule type="cellIs" dxfId="3183" priority="3490" operator="equal">
      <formula>"NO"</formula>
    </cfRule>
    <cfRule type="cellIs" dxfId="3182" priority="3491" operator="equal">
      <formula>"SI"</formula>
    </cfRule>
  </conditionalFormatting>
  <conditionalFormatting sqref="CE233">
    <cfRule type="cellIs" dxfId="3181" priority="3486" operator="equal">
      <formula>"SD"</formula>
    </cfRule>
    <cfRule type="cellIs" dxfId="3180" priority="3487" operator="equal">
      <formula>"NO"</formula>
    </cfRule>
    <cfRule type="cellIs" dxfId="3179" priority="3488" operator="equal">
      <formula>"SI"</formula>
    </cfRule>
  </conditionalFormatting>
  <conditionalFormatting sqref="AI204">
    <cfRule type="containsText" dxfId="3178" priority="3481" operator="containsText" text="HABITANTE DE CALLE">
      <formula>NOT(ISERROR(SEARCH("HABITANTE DE CALLE",AI204)))</formula>
    </cfRule>
    <cfRule type="containsText" dxfId="3177" priority="3482" operator="containsText" text="NINGUNO">
      <formula>NOT(ISERROR(SEARCH("NINGUNO",AI204)))</formula>
    </cfRule>
    <cfRule type="containsText" dxfId="3176" priority="3483" operator="containsText" text="MIGRATORIA">
      <formula>NOT(ISERROR(SEARCH("MIGRATORIA",AI204)))</formula>
    </cfRule>
    <cfRule type="containsText" dxfId="3175" priority="3484" operator="containsText" text="DISCAPACIDAD">
      <formula>NOT(ISERROR(SEARCH("DISCAPACIDAD",AI204)))</formula>
    </cfRule>
    <cfRule type="containsText" dxfId="3174" priority="3485" operator="containsText" text="DESPLAZADA">
      <formula>NOT(ISERROR(SEARCH("DESPLAZADA",AI204)))</formula>
    </cfRule>
  </conditionalFormatting>
  <conditionalFormatting sqref="AI204">
    <cfRule type="containsText" dxfId="3173" priority="3476" operator="containsText" text="HABITANTE DE CALLE">
      <formula>NOT(ISERROR(SEARCH("HABITANTE DE CALLE",AI204)))</formula>
    </cfRule>
    <cfRule type="containsText" dxfId="3172" priority="3477" operator="containsText" text="NINGUNO">
      <formula>NOT(ISERROR(SEARCH("NINGUNO",AI204)))</formula>
    </cfRule>
    <cfRule type="containsText" dxfId="3171" priority="3478" operator="containsText" text="MIGRATORIA">
      <formula>NOT(ISERROR(SEARCH("MIGRATORIA",AI204)))</formula>
    </cfRule>
    <cfRule type="containsText" dxfId="3170" priority="3479" operator="containsText" text="DISCAPACIDAD">
      <formula>NOT(ISERROR(SEARCH("DISCAPACIDAD",AI204)))</formula>
    </cfRule>
    <cfRule type="containsText" dxfId="3169" priority="3480" operator="containsText" text="DESPLAZADA">
      <formula>NOT(ISERROR(SEARCH("DESPLAZADA",AI204)))</formula>
    </cfRule>
  </conditionalFormatting>
  <conditionalFormatting sqref="AL204:AR204">
    <cfRule type="cellIs" dxfId="3168" priority="3473" operator="equal">
      <formula>"SD"</formula>
    </cfRule>
    <cfRule type="cellIs" dxfId="3167" priority="3474" operator="equal">
      <formula>"NO"</formula>
    </cfRule>
    <cfRule type="cellIs" dxfId="3166" priority="3475" operator="equal">
      <formula>"SI"</formula>
    </cfRule>
  </conditionalFormatting>
  <conditionalFormatting sqref="AL204:AR204">
    <cfRule type="cellIs" dxfId="3165" priority="3470" operator="equal">
      <formula>"SD"</formula>
    </cfRule>
    <cfRule type="cellIs" dxfId="3164" priority="3471" operator="equal">
      <formula>"NO"</formula>
    </cfRule>
    <cfRule type="cellIs" dxfId="3163" priority="3472" operator="equal">
      <formula>"SI"</formula>
    </cfRule>
  </conditionalFormatting>
  <conditionalFormatting sqref="BD204:BI204 AX204:BB204 BK204:BM204">
    <cfRule type="cellIs" dxfId="3162" priority="3467" operator="equal">
      <formula>"SD"</formula>
    </cfRule>
    <cfRule type="cellIs" dxfId="3161" priority="3468" operator="equal">
      <formula>"NO"</formula>
    </cfRule>
    <cfRule type="cellIs" dxfId="3160" priority="3469" operator="equal">
      <formula>"SI"</formula>
    </cfRule>
  </conditionalFormatting>
  <conditionalFormatting sqref="BC204">
    <cfRule type="containsText" dxfId="3159" priority="3462" operator="containsText" text="SD">
      <formula>NOT(ISERROR(SEARCH("SD",BC204)))</formula>
    </cfRule>
    <cfRule type="containsText" dxfId="3158" priority="3463" operator="containsText" text="SI, NO CONTROLADA">
      <formula>NOT(ISERROR(SEARCH("SI, NO CONTROLADA",BC204)))</formula>
    </cfRule>
    <cfRule type="containsText" dxfId="3157" priority="3464" operator="containsText" text="SI, SIN MANEJO">
      <formula>NOT(ISERROR(SEARCH("SI, SIN MANEJO",BC204)))</formula>
    </cfRule>
    <cfRule type="containsText" dxfId="3156" priority="3465" operator="containsText" text="SI, CONTROLADA">
      <formula>NOT(ISERROR(SEARCH("SI, CONTROLADA",BC204)))</formula>
    </cfRule>
    <cfRule type="containsText" dxfId="3155" priority="3466" operator="containsText" text="NO">
      <formula>NOT(ISERROR(SEARCH("NO",BC204)))</formula>
    </cfRule>
  </conditionalFormatting>
  <conditionalFormatting sqref="AX204">
    <cfRule type="cellIs" dxfId="3154" priority="3459" operator="equal">
      <formula>"SD"</formula>
    </cfRule>
    <cfRule type="cellIs" dxfId="3153" priority="3460" operator="equal">
      <formula>"NO"</formula>
    </cfRule>
    <cfRule type="cellIs" dxfId="3152" priority="3461" operator="equal">
      <formula>"SI"</formula>
    </cfRule>
  </conditionalFormatting>
  <conditionalFormatting sqref="BK204:BM204">
    <cfRule type="cellIs" dxfId="3151" priority="3456" operator="equal">
      <formula>"SD"</formula>
    </cfRule>
    <cfRule type="cellIs" dxfId="3150" priority="3457" operator="equal">
      <formula>"NO"</formula>
    </cfRule>
    <cfRule type="cellIs" dxfId="3149" priority="3458" operator="equal">
      <formula>"SI"</formula>
    </cfRule>
  </conditionalFormatting>
  <conditionalFormatting sqref="AY204:BA204">
    <cfRule type="cellIs" dxfId="3148" priority="3453" operator="equal">
      <formula>"SD"</formula>
    </cfRule>
    <cfRule type="cellIs" dxfId="3147" priority="3454" operator="equal">
      <formula>"NO"</formula>
    </cfRule>
    <cfRule type="cellIs" dxfId="3146" priority="3455" operator="equal">
      <formula>"SI"</formula>
    </cfRule>
  </conditionalFormatting>
  <conditionalFormatting sqref="BD204:BI204 BB204">
    <cfRule type="cellIs" dxfId="3145" priority="3450" operator="equal">
      <formula>"SD"</formula>
    </cfRule>
    <cfRule type="cellIs" dxfId="3144" priority="3451" operator="equal">
      <formula>"NO"</formula>
    </cfRule>
    <cfRule type="cellIs" dxfId="3143" priority="3452" operator="equal">
      <formula>"SI"</formula>
    </cfRule>
  </conditionalFormatting>
  <conditionalFormatting sqref="BC204">
    <cfRule type="containsText" dxfId="3142" priority="3445" operator="containsText" text="SD">
      <formula>NOT(ISERROR(SEARCH("SD",BC204)))</formula>
    </cfRule>
    <cfRule type="containsText" dxfId="3141" priority="3446" operator="containsText" text="SI, NO CONTROLADA">
      <formula>NOT(ISERROR(SEARCH("SI, NO CONTROLADA",BC204)))</formula>
    </cfRule>
    <cfRule type="containsText" dxfId="3140" priority="3447" operator="containsText" text="SI, SIN MANEJO">
      <formula>NOT(ISERROR(SEARCH("SI, SIN MANEJO",BC204)))</formula>
    </cfRule>
    <cfRule type="containsText" dxfId="3139" priority="3448" operator="containsText" text="SI, CONTROLADA">
      <formula>NOT(ISERROR(SEARCH("SI, CONTROLADA",BC204)))</formula>
    </cfRule>
    <cfRule type="containsText" dxfId="3138" priority="3449" operator="containsText" text="NO">
      <formula>NOT(ISERROR(SEARCH("NO",BC204)))</formula>
    </cfRule>
  </conditionalFormatting>
  <conditionalFormatting sqref="BE204">
    <cfRule type="expression" dxfId="3137" priority="3444">
      <formula>IF(AND(FA204&gt;=126,FC204&lt;24),1,0)</formula>
    </cfRule>
  </conditionalFormatting>
  <conditionalFormatting sqref="AG205:AH205 AJ205">
    <cfRule type="cellIs" dxfId="3136" priority="3441" operator="equal">
      <formula>"SD"</formula>
    </cfRule>
    <cfRule type="cellIs" dxfId="3135" priority="3442" operator="equal">
      <formula>"NO"</formula>
    </cfRule>
    <cfRule type="cellIs" dxfId="3134" priority="3443" operator="equal">
      <formula>"SI"</formula>
    </cfRule>
  </conditionalFormatting>
  <conditionalFormatting sqref="AK205">
    <cfRule type="containsText" dxfId="3133" priority="3436" operator="containsText" text="COMPLETAR EVALUACIÓN">
      <formula>NOT(ISERROR(SEARCH("COMPLETAR EVALUACIÓN",AK205)))</formula>
    </cfRule>
    <cfRule type="containsText" dxfId="3132" priority="3439" operator="containsText" text="CON RIESGO">
      <formula>NOT(ISERROR(SEARCH("CON RIESGO",AK205)))</formula>
    </cfRule>
    <cfRule type="containsText" dxfId="3131" priority="3440" operator="containsText" text="SIN RIESGO">
      <formula>NOT(ISERROR(SEARCH("SIN RIESGO",AK205)))</formula>
    </cfRule>
  </conditionalFormatting>
  <conditionalFormatting sqref="AE205:AF205">
    <cfRule type="containsText" dxfId="3130" priority="3437" operator="containsText" text="NO">
      <formula>NOT(ISERROR(SEARCH("NO",AE205)))</formula>
    </cfRule>
    <cfRule type="containsText" dxfId="3129" priority="3438" operator="containsText" text="SI">
      <formula>NOT(ISERROR(SEARCH("SI",AE205)))</formula>
    </cfRule>
  </conditionalFormatting>
  <conditionalFormatting sqref="AI205">
    <cfRule type="containsText" dxfId="3128" priority="3428" operator="containsText" text="HABITANTE DE CALLE">
      <formula>NOT(ISERROR(SEARCH("HABITANTE DE CALLE",AI205)))</formula>
    </cfRule>
    <cfRule type="containsText" dxfId="3127" priority="3429" operator="containsText" text="NINGUNO">
      <formula>NOT(ISERROR(SEARCH("NINGUNO",AI205)))</formula>
    </cfRule>
    <cfRule type="containsText" dxfId="3126" priority="3430" operator="containsText" text="MIGRATORIA">
      <formula>NOT(ISERROR(SEARCH("MIGRATORIA",AI205)))</formula>
    </cfRule>
    <cfRule type="containsText" dxfId="3125" priority="3431" operator="containsText" text="DISCAPACIDAD">
      <formula>NOT(ISERROR(SEARCH("DISCAPACIDAD",AI205)))</formula>
    </cfRule>
    <cfRule type="containsText" dxfId="3124" priority="3432" operator="containsText" text="DESPLAZADA">
      <formula>NOT(ISERROR(SEARCH("DESPLAZADA",AI205)))</formula>
    </cfRule>
  </conditionalFormatting>
  <conditionalFormatting sqref="AI205">
    <cfRule type="containsText" dxfId="3123" priority="3423" operator="containsText" text="HABITANTE DE CALLE">
      <formula>NOT(ISERROR(SEARCH("HABITANTE DE CALLE",AI205)))</formula>
    </cfRule>
    <cfRule type="containsText" dxfId="3122" priority="3424" operator="containsText" text="NINGUNO">
      <formula>NOT(ISERROR(SEARCH("NINGUNO",AI205)))</formula>
    </cfRule>
    <cfRule type="containsText" dxfId="3121" priority="3425" operator="containsText" text="MIGRATORIA">
      <formula>NOT(ISERROR(SEARCH("MIGRATORIA",AI205)))</formula>
    </cfRule>
    <cfRule type="containsText" dxfId="3120" priority="3426" operator="containsText" text="DISCAPACIDAD">
      <formula>NOT(ISERROR(SEARCH("DISCAPACIDAD",AI205)))</formula>
    </cfRule>
    <cfRule type="containsText" dxfId="3119" priority="3427" operator="containsText" text="DESPLAZADA">
      <formula>NOT(ISERROR(SEARCH("DESPLAZADA",AI205)))</formula>
    </cfRule>
  </conditionalFormatting>
  <conditionalFormatting sqref="AL205:AN205">
    <cfRule type="cellIs" dxfId="3118" priority="3420" operator="equal">
      <formula>"SD"</formula>
    </cfRule>
    <cfRule type="cellIs" dxfId="3117" priority="3421" operator="equal">
      <formula>"NO"</formula>
    </cfRule>
    <cfRule type="cellIs" dxfId="3116" priority="3422" operator="equal">
      <formula>"SI"</formula>
    </cfRule>
  </conditionalFormatting>
  <conditionalFormatting sqref="AL205:AN205">
    <cfRule type="cellIs" dxfId="3115" priority="3417" operator="equal">
      <formula>"SD"</formula>
    </cfRule>
    <cfRule type="cellIs" dxfId="3114" priority="3418" operator="equal">
      <formula>"NO"</formula>
    </cfRule>
    <cfRule type="cellIs" dxfId="3113" priority="3419" operator="equal">
      <formula>"SI"</formula>
    </cfRule>
  </conditionalFormatting>
  <conditionalFormatting sqref="AO205:AR205">
    <cfRule type="cellIs" dxfId="3112" priority="3414" operator="equal">
      <formula>"SD"</formula>
    </cfRule>
    <cfRule type="cellIs" dxfId="3111" priority="3415" operator="equal">
      <formula>"NO"</formula>
    </cfRule>
    <cfRule type="cellIs" dxfId="3110" priority="3416" operator="equal">
      <formula>"SI"</formula>
    </cfRule>
  </conditionalFormatting>
  <conditionalFormatting sqref="AO205:AR205">
    <cfRule type="cellIs" dxfId="3109" priority="3411" operator="equal">
      <formula>"SD"</formula>
    </cfRule>
    <cfRule type="cellIs" dxfId="3108" priority="3412" operator="equal">
      <formula>"NO"</formula>
    </cfRule>
    <cfRule type="cellIs" dxfId="3107" priority="3413" operator="equal">
      <formula>"SI"</formula>
    </cfRule>
  </conditionalFormatting>
  <conditionalFormatting sqref="BD205:BI205 AX205:BB205 BK205:BM205">
    <cfRule type="cellIs" dxfId="3106" priority="3408" operator="equal">
      <formula>"SD"</formula>
    </cfRule>
    <cfRule type="cellIs" dxfId="3105" priority="3409" operator="equal">
      <formula>"NO"</formula>
    </cfRule>
    <cfRule type="cellIs" dxfId="3104" priority="3410" operator="equal">
      <formula>"SI"</formula>
    </cfRule>
  </conditionalFormatting>
  <conditionalFormatting sqref="BC205">
    <cfRule type="containsText" dxfId="3103" priority="3403" operator="containsText" text="SD">
      <formula>NOT(ISERROR(SEARCH("SD",BC205)))</formula>
    </cfRule>
    <cfRule type="containsText" dxfId="3102" priority="3404" operator="containsText" text="SI, NO CONTROLADA">
      <formula>NOT(ISERROR(SEARCH("SI, NO CONTROLADA",BC205)))</formula>
    </cfRule>
    <cfRule type="containsText" dxfId="3101" priority="3405" operator="containsText" text="SI, SIN MANEJO">
      <formula>NOT(ISERROR(SEARCH("SI, SIN MANEJO",BC205)))</formula>
    </cfRule>
    <cfRule type="containsText" dxfId="3100" priority="3406" operator="containsText" text="SI, CONTROLADA">
      <formula>NOT(ISERROR(SEARCH("SI, CONTROLADA",BC205)))</formula>
    </cfRule>
    <cfRule type="containsText" dxfId="3099" priority="3407" operator="containsText" text="NO">
      <formula>NOT(ISERROR(SEARCH("NO",BC205)))</formula>
    </cfRule>
  </conditionalFormatting>
  <conditionalFormatting sqref="AX205">
    <cfRule type="cellIs" dxfId="3098" priority="3400" operator="equal">
      <formula>"SD"</formula>
    </cfRule>
    <cfRule type="cellIs" dxfId="3097" priority="3401" operator="equal">
      <formula>"NO"</formula>
    </cfRule>
    <cfRule type="cellIs" dxfId="3096" priority="3402" operator="equal">
      <formula>"SI"</formula>
    </cfRule>
  </conditionalFormatting>
  <conditionalFormatting sqref="BK205:BM205">
    <cfRule type="cellIs" dxfId="3095" priority="3397" operator="equal">
      <formula>"SD"</formula>
    </cfRule>
    <cfRule type="cellIs" dxfId="3094" priority="3398" operator="equal">
      <formula>"NO"</formula>
    </cfRule>
    <cfRule type="cellIs" dxfId="3093" priority="3399" operator="equal">
      <formula>"SI"</formula>
    </cfRule>
  </conditionalFormatting>
  <conditionalFormatting sqref="AY205:BA205">
    <cfRule type="cellIs" dxfId="3092" priority="3394" operator="equal">
      <formula>"SD"</formula>
    </cfRule>
    <cfRule type="cellIs" dxfId="3091" priority="3395" operator="equal">
      <formula>"NO"</formula>
    </cfRule>
    <cfRule type="cellIs" dxfId="3090" priority="3396" operator="equal">
      <formula>"SI"</formula>
    </cfRule>
  </conditionalFormatting>
  <conditionalFormatting sqref="BD205:BI205 BB205">
    <cfRule type="cellIs" dxfId="3089" priority="3391" operator="equal">
      <formula>"SD"</formula>
    </cfRule>
    <cfRule type="cellIs" dxfId="3088" priority="3392" operator="equal">
      <formula>"NO"</formula>
    </cfRule>
    <cfRule type="cellIs" dxfId="3087" priority="3393" operator="equal">
      <formula>"SI"</formula>
    </cfRule>
  </conditionalFormatting>
  <conditionalFormatting sqref="BC205">
    <cfRule type="containsText" dxfId="3086" priority="3386" operator="containsText" text="SD">
      <formula>NOT(ISERROR(SEARCH("SD",BC205)))</formula>
    </cfRule>
    <cfRule type="containsText" dxfId="3085" priority="3387" operator="containsText" text="SI, NO CONTROLADA">
      <formula>NOT(ISERROR(SEARCH("SI, NO CONTROLADA",BC205)))</formula>
    </cfRule>
    <cfRule type="containsText" dxfId="3084" priority="3388" operator="containsText" text="SI, SIN MANEJO">
      <formula>NOT(ISERROR(SEARCH("SI, SIN MANEJO",BC205)))</formula>
    </cfRule>
    <cfRule type="containsText" dxfId="3083" priority="3389" operator="containsText" text="SI, CONTROLADA">
      <formula>NOT(ISERROR(SEARCH("SI, CONTROLADA",BC205)))</formula>
    </cfRule>
    <cfRule type="containsText" dxfId="3082" priority="3390" operator="containsText" text="NO">
      <formula>NOT(ISERROR(SEARCH("NO",BC205)))</formula>
    </cfRule>
  </conditionalFormatting>
  <conditionalFormatting sqref="BE205">
    <cfRule type="expression" dxfId="3081" priority="3385">
      <formula>IF(AND(FA205&gt;=126,FC205&lt;24),1,0)</formula>
    </cfRule>
  </conditionalFormatting>
  <conditionalFormatting sqref="AH206 AJ206">
    <cfRule type="cellIs" dxfId="3080" priority="3382" operator="equal">
      <formula>"SD"</formula>
    </cfRule>
    <cfRule type="cellIs" dxfId="3079" priority="3383" operator="equal">
      <formula>"NO"</formula>
    </cfRule>
    <cfRule type="cellIs" dxfId="3078" priority="3384" operator="equal">
      <formula>"SI"</formula>
    </cfRule>
  </conditionalFormatting>
  <conditionalFormatting sqref="AI206">
    <cfRule type="containsText" dxfId="3077" priority="3377" operator="containsText" text="HABITANTE DE CALLE">
      <formula>NOT(ISERROR(SEARCH("HABITANTE DE CALLE",AI206)))</formula>
    </cfRule>
    <cfRule type="containsText" dxfId="3076" priority="3378" operator="containsText" text="NINGUNO">
      <formula>NOT(ISERROR(SEARCH("NINGUNO",AI206)))</formula>
    </cfRule>
    <cfRule type="containsText" dxfId="3075" priority="3379" operator="containsText" text="MIGRATORIA">
      <formula>NOT(ISERROR(SEARCH("MIGRATORIA",AI206)))</formula>
    </cfRule>
    <cfRule type="containsText" dxfId="3074" priority="3380" operator="containsText" text="DISCAPACIDAD">
      <formula>NOT(ISERROR(SEARCH("DISCAPACIDAD",AI206)))</formula>
    </cfRule>
    <cfRule type="containsText" dxfId="3073" priority="3381" operator="containsText" text="DESPLAZADA">
      <formula>NOT(ISERROR(SEARCH("DESPLAZADA",AI206)))</formula>
    </cfRule>
  </conditionalFormatting>
  <conditionalFormatting sqref="AI206">
    <cfRule type="containsText" dxfId="3072" priority="3372" operator="containsText" text="HABITANTE DE CALLE">
      <formula>NOT(ISERROR(SEARCH("HABITANTE DE CALLE",AI206)))</formula>
    </cfRule>
    <cfRule type="containsText" dxfId="3071" priority="3373" operator="containsText" text="NINGUNO">
      <formula>NOT(ISERROR(SEARCH("NINGUNO",AI206)))</formula>
    </cfRule>
    <cfRule type="containsText" dxfId="3070" priority="3374" operator="containsText" text="MIGRATORIA">
      <formula>NOT(ISERROR(SEARCH("MIGRATORIA",AI206)))</formula>
    </cfRule>
    <cfRule type="containsText" dxfId="3069" priority="3375" operator="containsText" text="DISCAPACIDAD">
      <formula>NOT(ISERROR(SEARCH("DISCAPACIDAD",AI206)))</formula>
    </cfRule>
    <cfRule type="containsText" dxfId="3068" priority="3376" operator="containsText" text="DESPLAZADA">
      <formula>NOT(ISERROR(SEARCH("DESPLAZADA",AI206)))</formula>
    </cfRule>
  </conditionalFormatting>
  <conditionalFormatting sqref="AL206:AN206">
    <cfRule type="cellIs" dxfId="3067" priority="3369" operator="equal">
      <formula>"SD"</formula>
    </cfRule>
    <cfRule type="cellIs" dxfId="3066" priority="3370" operator="equal">
      <formula>"NO"</formula>
    </cfRule>
    <cfRule type="cellIs" dxfId="3065" priority="3371" operator="equal">
      <formula>"SI"</formula>
    </cfRule>
  </conditionalFormatting>
  <conditionalFormatting sqref="AL206:AN206">
    <cfRule type="cellIs" dxfId="3064" priority="3366" operator="equal">
      <formula>"SD"</formula>
    </cfRule>
    <cfRule type="cellIs" dxfId="3063" priority="3367" operator="equal">
      <formula>"NO"</formula>
    </cfRule>
    <cfRule type="cellIs" dxfId="3062" priority="3368" operator="equal">
      <formula>"SI"</formula>
    </cfRule>
  </conditionalFormatting>
  <conditionalFormatting sqref="AO206:AR206">
    <cfRule type="cellIs" dxfId="3061" priority="3363" operator="equal">
      <formula>"SD"</formula>
    </cfRule>
    <cfRule type="cellIs" dxfId="3060" priority="3364" operator="equal">
      <formula>"NO"</formula>
    </cfRule>
    <cfRule type="cellIs" dxfId="3059" priority="3365" operator="equal">
      <formula>"SI"</formula>
    </cfRule>
  </conditionalFormatting>
  <conditionalFormatting sqref="AO206:AR206">
    <cfRule type="cellIs" dxfId="3058" priority="3360" operator="equal">
      <formula>"SD"</formula>
    </cfRule>
    <cfRule type="cellIs" dxfId="3057" priority="3361" operator="equal">
      <formula>"NO"</formula>
    </cfRule>
    <cfRule type="cellIs" dxfId="3056" priority="3362" operator="equal">
      <formula>"SI"</formula>
    </cfRule>
  </conditionalFormatting>
  <conditionalFormatting sqref="BD206:BI206 AX206:BB206 BK206:BM206">
    <cfRule type="cellIs" dxfId="3055" priority="3357" operator="equal">
      <formula>"SD"</formula>
    </cfRule>
    <cfRule type="cellIs" dxfId="3054" priority="3358" operator="equal">
      <formula>"NO"</formula>
    </cfRule>
    <cfRule type="cellIs" dxfId="3053" priority="3359" operator="equal">
      <formula>"SI"</formula>
    </cfRule>
  </conditionalFormatting>
  <conditionalFormatting sqref="BC206">
    <cfRule type="containsText" dxfId="3052" priority="3352" operator="containsText" text="SD">
      <formula>NOT(ISERROR(SEARCH("SD",BC206)))</formula>
    </cfRule>
    <cfRule type="containsText" dxfId="3051" priority="3353" operator="containsText" text="SI, NO CONTROLADA">
      <formula>NOT(ISERROR(SEARCH("SI, NO CONTROLADA",BC206)))</formula>
    </cfRule>
    <cfRule type="containsText" dxfId="3050" priority="3354" operator="containsText" text="SI, SIN MANEJO">
      <formula>NOT(ISERROR(SEARCH("SI, SIN MANEJO",BC206)))</formula>
    </cfRule>
    <cfRule type="containsText" dxfId="3049" priority="3355" operator="containsText" text="SI, CONTROLADA">
      <formula>NOT(ISERROR(SEARCH("SI, CONTROLADA",BC206)))</formula>
    </cfRule>
    <cfRule type="containsText" dxfId="3048" priority="3356" operator="containsText" text="NO">
      <formula>NOT(ISERROR(SEARCH("NO",BC206)))</formula>
    </cfRule>
  </conditionalFormatting>
  <conditionalFormatting sqref="AX206">
    <cfRule type="cellIs" dxfId="3047" priority="3349" operator="equal">
      <formula>"SD"</formula>
    </cfRule>
    <cfRule type="cellIs" dxfId="3046" priority="3350" operator="equal">
      <formula>"NO"</formula>
    </cfRule>
    <cfRule type="cellIs" dxfId="3045" priority="3351" operator="equal">
      <formula>"SI"</formula>
    </cfRule>
  </conditionalFormatting>
  <conditionalFormatting sqref="BK206:BM206">
    <cfRule type="cellIs" dxfId="3044" priority="3346" operator="equal">
      <formula>"SD"</formula>
    </cfRule>
    <cfRule type="cellIs" dxfId="3043" priority="3347" operator="equal">
      <formula>"NO"</formula>
    </cfRule>
    <cfRule type="cellIs" dxfId="3042" priority="3348" operator="equal">
      <formula>"SI"</formula>
    </cfRule>
  </conditionalFormatting>
  <conditionalFormatting sqref="AY206:BA206">
    <cfRule type="cellIs" dxfId="3041" priority="3343" operator="equal">
      <formula>"SD"</formula>
    </cfRule>
    <cfRule type="cellIs" dxfId="3040" priority="3344" operator="equal">
      <formula>"NO"</formula>
    </cfRule>
    <cfRule type="cellIs" dxfId="3039" priority="3345" operator="equal">
      <formula>"SI"</formula>
    </cfRule>
  </conditionalFormatting>
  <conditionalFormatting sqref="BD206:BI206 BB206">
    <cfRule type="cellIs" dxfId="3038" priority="3340" operator="equal">
      <formula>"SD"</formula>
    </cfRule>
    <cfRule type="cellIs" dxfId="3037" priority="3341" operator="equal">
      <formula>"NO"</formula>
    </cfRule>
    <cfRule type="cellIs" dxfId="3036" priority="3342" operator="equal">
      <formula>"SI"</formula>
    </cfRule>
  </conditionalFormatting>
  <conditionalFormatting sqref="BC206">
    <cfRule type="containsText" dxfId="3035" priority="3335" operator="containsText" text="SD">
      <formula>NOT(ISERROR(SEARCH("SD",BC206)))</formula>
    </cfRule>
    <cfRule type="containsText" dxfId="3034" priority="3336" operator="containsText" text="SI, NO CONTROLADA">
      <formula>NOT(ISERROR(SEARCH("SI, NO CONTROLADA",BC206)))</formula>
    </cfRule>
    <cfRule type="containsText" dxfId="3033" priority="3337" operator="containsText" text="SI, SIN MANEJO">
      <formula>NOT(ISERROR(SEARCH("SI, SIN MANEJO",BC206)))</formula>
    </cfRule>
    <cfRule type="containsText" dxfId="3032" priority="3338" operator="containsText" text="SI, CONTROLADA">
      <formula>NOT(ISERROR(SEARCH("SI, CONTROLADA",BC206)))</formula>
    </cfRule>
    <cfRule type="containsText" dxfId="3031" priority="3339" operator="containsText" text="NO">
      <formula>NOT(ISERROR(SEARCH("NO",BC206)))</formula>
    </cfRule>
  </conditionalFormatting>
  <conditionalFormatting sqref="BE206">
    <cfRule type="expression" dxfId="3030" priority="3334">
      <formula>IF(AND(FA206&gt;=126,FC206&lt;24),1,0)</formula>
    </cfRule>
  </conditionalFormatting>
  <conditionalFormatting sqref="BD207:BI207 AY207:BB207 BK207:BM207">
    <cfRule type="cellIs" dxfId="3029" priority="3331" operator="equal">
      <formula>"SD"</formula>
    </cfRule>
    <cfRule type="cellIs" dxfId="3028" priority="3332" operator="equal">
      <formula>"NO"</formula>
    </cfRule>
    <cfRule type="cellIs" dxfId="3027" priority="3333" operator="equal">
      <formula>"SI"</formula>
    </cfRule>
  </conditionalFormatting>
  <conditionalFormatting sqref="BC207">
    <cfRule type="containsText" dxfId="3026" priority="3326" operator="containsText" text="SD">
      <formula>NOT(ISERROR(SEARCH("SD",BC207)))</formula>
    </cfRule>
    <cfRule type="containsText" dxfId="3025" priority="3327" operator="containsText" text="SI, NO CONTROLADA">
      <formula>NOT(ISERROR(SEARCH("SI, NO CONTROLADA",BC207)))</formula>
    </cfRule>
    <cfRule type="containsText" dxfId="3024" priority="3328" operator="containsText" text="SI, SIN MANEJO">
      <formula>NOT(ISERROR(SEARCH("SI, SIN MANEJO",BC207)))</formula>
    </cfRule>
    <cfRule type="containsText" dxfId="3023" priority="3329" operator="containsText" text="SI, CONTROLADA">
      <formula>NOT(ISERROR(SEARCH("SI, CONTROLADA",BC207)))</formula>
    </cfRule>
    <cfRule type="containsText" dxfId="3022" priority="3330" operator="containsText" text="NO">
      <formula>NOT(ISERROR(SEARCH("NO",BC207)))</formula>
    </cfRule>
  </conditionalFormatting>
  <conditionalFormatting sqref="BK207:BM207">
    <cfRule type="cellIs" dxfId="3021" priority="3323" operator="equal">
      <formula>"SD"</formula>
    </cfRule>
    <cfRule type="cellIs" dxfId="3020" priority="3324" operator="equal">
      <formula>"NO"</formula>
    </cfRule>
    <cfRule type="cellIs" dxfId="3019" priority="3325" operator="equal">
      <formula>"SI"</formula>
    </cfRule>
  </conditionalFormatting>
  <conditionalFormatting sqref="AY207:BA207">
    <cfRule type="cellIs" dxfId="3018" priority="3320" operator="equal">
      <formula>"SD"</formula>
    </cfRule>
    <cfRule type="cellIs" dxfId="3017" priority="3321" operator="equal">
      <formula>"NO"</formula>
    </cfRule>
    <cfRule type="cellIs" dxfId="3016" priority="3322" operator="equal">
      <formula>"SI"</formula>
    </cfRule>
  </conditionalFormatting>
  <conditionalFormatting sqref="BD207:BI207 BB207">
    <cfRule type="cellIs" dxfId="3015" priority="3317" operator="equal">
      <formula>"SD"</formula>
    </cfRule>
    <cfRule type="cellIs" dxfId="3014" priority="3318" operator="equal">
      <formula>"NO"</formula>
    </cfRule>
    <cfRule type="cellIs" dxfId="3013" priority="3319" operator="equal">
      <formula>"SI"</formula>
    </cfRule>
  </conditionalFormatting>
  <conditionalFormatting sqref="BC207">
    <cfRule type="containsText" dxfId="3012" priority="3312" operator="containsText" text="SD">
      <formula>NOT(ISERROR(SEARCH("SD",BC207)))</formula>
    </cfRule>
    <cfRule type="containsText" dxfId="3011" priority="3313" operator="containsText" text="SI, NO CONTROLADA">
      <formula>NOT(ISERROR(SEARCH("SI, NO CONTROLADA",BC207)))</formula>
    </cfRule>
    <cfRule type="containsText" dxfId="3010" priority="3314" operator="containsText" text="SI, SIN MANEJO">
      <formula>NOT(ISERROR(SEARCH("SI, SIN MANEJO",BC207)))</formula>
    </cfRule>
    <cfRule type="containsText" dxfId="3009" priority="3315" operator="containsText" text="SI, CONTROLADA">
      <formula>NOT(ISERROR(SEARCH("SI, CONTROLADA",BC207)))</formula>
    </cfRule>
    <cfRule type="containsText" dxfId="3008" priority="3316" operator="containsText" text="NO">
      <formula>NOT(ISERROR(SEARCH("NO",BC207)))</formula>
    </cfRule>
  </conditionalFormatting>
  <conditionalFormatting sqref="BE207">
    <cfRule type="expression" dxfId="3007" priority="3311">
      <formula>IF(AND(FA207&gt;=126,FC207&lt;24),1,0)</formula>
    </cfRule>
  </conditionalFormatting>
  <conditionalFormatting sqref="HU64">
    <cfRule type="expression" dxfId="3006" priority="3310">
      <formula>IF(HV64="No Aplica para suministro de ASA",1,"")</formula>
    </cfRule>
  </conditionalFormatting>
  <conditionalFormatting sqref="HW64">
    <cfRule type="expression" dxfId="3005" priority="3309">
      <formula>IF(HX64="No Aplica para suministro de ASA",1,"")</formula>
    </cfRule>
  </conditionalFormatting>
  <conditionalFormatting sqref="FB209">
    <cfRule type="containsText" dxfId="3004" priority="3305" operator="containsText" text="RH NEGATIVO SIN COOMB">
      <formula>NOT(ISERROR(SEARCH("RH NEGATIVO SIN COOMB",FB209)))</formula>
    </cfRule>
    <cfRule type="containsText" dxfId="3003" priority="3306" operator="containsText" text="RH NEGATIVO CON COOMBS POSITIVO">
      <formula>NOT(ISERROR(SEARCH("RH NEGATIVO CON COOMBS POSITIVO",FB209)))</formula>
    </cfRule>
    <cfRule type="containsText" dxfId="3002" priority="3307" operator="containsText" text="RH NEGATIVO CON COOMBS NEGATIVO">
      <formula>NOT(ISERROR(SEARCH("RH NEGATIVO CON COOMBS NEGATIVO",FB209)))</formula>
    </cfRule>
    <cfRule type="containsText" dxfId="3001" priority="3308" operator="containsText" text="RH POSITIVO">
      <formula>NOT(ISERROR(SEARCH("RH POSITIVO",FB209)))</formula>
    </cfRule>
  </conditionalFormatting>
  <conditionalFormatting sqref="FK209">
    <cfRule type="containsText" dxfId="3000" priority="3301" operator="containsText" text="RH NEGATIVO SIN COOMB">
      <formula>NOT(ISERROR(SEARCH("RH NEGATIVO SIN COOMB",FK209)))</formula>
    </cfRule>
    <cfRule type="containsText" dxfId="2999" priority="3302" operator="containsText" text="RH NEGATIVO CON COOMBS POSITIVO">
      <formula>NOT(ISERROR(SEARCH("RH NEGATIVO CON COOMBS POSITIVO",FK209)))</formula>
    </cfRule>
    <cfRule type="containsText" dxfId="2998" priority="3303" operator="containsText" text="RH NEGATIVO CON COOMBS NEGATIVO">
      <formula>NOT(ISERROR(SEARCH("RH NEGATIVO CON COOMBS NEGATIVO",FK209)))</formula>
    </cfRule>
    <cfRule type="containsText" dxfId="2997" priority="3304" operator="containsText" text="RH POSITIVO">
      <formula>NOT(ISERROR(SEARCH("RH POSITIVO",FK209)))</formula>
    </cfRule>
  </conditionalFormatting>
  <conditionalFormatting sqref="FN209">
    <cfRule type="containsText" dxfId="2996" priority="3297" operator="containsText" text="RH NEGATIVO SIN COOMB">
      <formula>NOT(ISERROR(SEARCH("RH NEGATIVO SIN COOMB",FN209)))</formula>
    </cfRule>
    <cfRule type="containsText" dxfId="2995" priority="3298" operator="containsText" text="RH NEGATIVO CON COOMBS POSITIVO">
      <formula>NOT(ISERROR(SEARCH("RH NEGATIVO CON COOMBS POSITIVO",FN209)))</formula>
    </cfRule>
    <cfRule type="containsText" dxfId="2994" priority="3299" operator="containsText" text="RH NEGATIVO CON COOMBS NEGATIVO">
      <formula>NOT(ISERROR(SEARCH("RH NEGATIVO CON COOMBS NEGATIVO",FN209)))</formula>
    </cfRule>
    <cfRule type="containsText" dxfId="2993" priority="3300" operator="containsText" text="RH POSITIVO">
      <formula>NOT(ISERROR(SEARCH("RH POSITIVO",FN209)))</formula>
    </cfRule>
  </conditionalFormatting>
  <conditionalFormatting sqref="FB206">
    <cfRule type="containsText" dxfId="2992" priority="3293" operator="containsText" text="RH NEGATIVO SIN COOMB">
      <formula>NOT(ISERROR(SEARCH("RH NEGATIVO SIN COOMB",FB206)))</formula>
    </cfRule>
    <cfRule type="containsText" dxfId="2991" priority="3294" operator="containsText" text="RH NEGATIVO CON COOMBS POSITIVO">
      <formula>NOT(ISERROR(SEARCH("RH NEGATIVO CON COOMBS POSITIVO",FB206)))</formula>
    </cfRule>
    <cfRule type="containsText" dxfId="2990" priority="3295" operator="containsText" text="RH NEGATIVO CON COOMBS NEGATIVO">
      <formula>NOT(ISERROR(SEARCH("RH NEGATIVO CON COOMBS NEGATIVO",FB206)))</formula>
    </cfRule>
    <cfRule type="containsText" dxfId="2989" priority="3296" operator="containsText" text="RH POSITIVO">
      <formula>NOT(ISERROR(SEARCH("RH POSITIVO",FB206)))</formula>
    </cfRule>
  </conditionalFormatting>
  <conditionalFormatting sqref="FK206">
    <cfRule type="containsText" dxfId="2988" priority="3289" operator="containsText" text="RH NEGATIVO SIN COOMB">
      <formula>NOT(ISERROR(SEARCH("RH NEGATIVO SIN COOMB",FK206)))</formula>
    </cfRule>
    <cfRule type="containsText" dxfId="2987" priority="3290" operator="containsText" text="RH NEGATIVO CON COOMBS POSITIVO">
      <formula>NOT(ISERROR(SEARCH("RH NEGATIVO CON COOMBS POSITIVO",FK206)))</formula>
    </cfRule>
    <cfRule type="containsText" dxfId="2986" priority="3291" operator="containsText" text="RH NEGATIVO CON COOMBS NEGATIVO">
      <formula>NOT(ISERROR(SEARCH("RH NEGATIVO CON COOMBS NEGATIVO",FK206)))</formula>
    </cfRule>
    <cfRule type="containsText" dxfId="2985" priority="3292" operator="containsText" text="RH POSITIVO">
      <formula>NOT(ISERROR(SEARCH("RH POSITIVO",FK206)))</formula>
    </cfRule>
  </conditionalFormatting>
  <conditionalFormatting sqref="FZ206">
    <cfRule type="containsText" dxfId="2984" priority="3285" operator="containsText" text="RH NEGATIVO SIN COOMB">
      <formula>NOT(ISERROR(SEARCH("RH NEGATIVO SIN COOMB",FZ206)))</formula>
    </cfRule>
    <cfRule type="containsText" dxfId="2983" priority="3286" operator="containsText" text="RH NEGATIVO CON COOMBS POSITIVO">
      <formula>NOT(ISERROR(SEARCH("RH NEGATIVO CON COOMBS POSITIVO",FZ206)))</formula>
    </cfRule>
    <cfRule type="containsText" dxfId="2982" priority="3287" operator="containsText" text="RH NEGATIVO CON COOMBS NEGATIVO">
      <formula>NOT(ISERROR(SEARCH("RH NEGATIVO CON COOMBS NEGATIVO",FZ206)))</formula>
    </cfRule>
    <cfRule type="containsText" dxfId="2981" priority="3288" operator="containsText" text="RH POSITIVO">
      <formula>NOT(ISERROR(SEARCH("RH POSITIVO",FZ206)))</formula>
    </cfRule>
  </conditionalFormatting>
  <conditionalFormatting sqref="GO206">
    <cfRule type="containsText" dxfId="2980" priority="3281" operator="containsText" text="RH NEGATIVO SIN COOMB">
      <formula>NOT(ISERROR(SEARCH("RH NEGATIVO SIN COOMB",GO206)))</formula>
    </cfRule>
    <cfRule type="containsText" dxfId="2979" priority="3282" operator="containsText" text="RH NEGATIVO CON COOMBS POSITIVO">
      <formula>NOT(ISERROR(SEARCH("RH NEGATIVO CON COOMBS POSITIVO",GO206)))</formula>
    </cfRule>
    <cfRule type="containsText" dxfId="2978" priority="3283" operator="containsText" text="RH NEGATIVO CON COOMBS NEGATIVO">
      <formula>NOT(ISERROR(SEARCH("RH NEGATIVO CON COOMBS NEGATIVO",GO206)))</formula>
    </cfRule>
    <cfRule type="containsText" dxfId="2977" priority="3284" operator="containsText" text="RH POSITIVO">
      <formula>NOT(ISERROR(SEARCH("RH POSITIVO",GO206)))</formula>
    </cfRule>
  </conditionalFormatting>
  <conditionalFormatting sqref="AE234">
    <cfRule type="containsText" dxfId="2976" priority="3279" operator="containsText" text="NO">
      <formula>NOT(ISERROR(SEARCH("NO",AE234)))</formula>
    </cfRule>
    <cfRule type="containsText" dxfId="2975" priority="3280" operator="containsText" text="SI">
      <formula>NOT(ISERROR(SEARCH("SI",AE234)))</formula>
    </cfRule>
  </conditionalFormatting>
  <conditionalFormatting sqref="AG234:AH234">
    <cfRule type="cellIs" dxfId="2974" priority="3273" operator="equal">
      <formula>"SD"</formula>
    </cfRule>
    <cfRule type="cellIs" dxfId="2973" priority="3274" operator="equal">
      <formula>"NO"</formula>
    </cfRule>
    <cfRule type="cellIs" dxfId="2972" priority="3275" operator="equal">
      <formula>"SI"</formula>
    </cfRule>
  </conditionalFormatting>
  <conditionalFormatting sqref="AI234">
    <cfRule type="containsText" dxfId="2971" priority="3266" operator="containsText" text="HABITANTE DE CALLE">
      <formula>NOT(ISERROR(SEARCH("HABITANTE DE CALLE",AI234)))</formula>
    </cfRule>
    <cfRule type="containsText" dxfId="2970" priority="3269" operator="containsText" text="NINGUNO">
      <formula>NOT(ISERROR(SEARCH("NINGUNO",AI234)))</formula>
    </cfRule>
    <cfRule type="containsText" dxfId="2969" priority="3270" operator="containsText" text="MIGRATORIA">
      <formula>NOT(ISERROR(SEARCH("MIGRATORIA",AI234)))</formula>
    </cfRule>
    <cfRule type="containsText" dxfId="2968" priority="3271" operator="containsText" text="DISCAPACIDAD">
      <formula>NOT(ISERROR(SEARCH("DISCAPACIDAD",AI234)))</formula>
    </cfRule>
    <cfRule type="containsText" dxfId="2967" priority="3272" operator="containsText" text="DESPLAZADA">
      <formula>NOT(ISERROR(SEARCH("DESPLAZADA",AI234)))</formula>
    </cfRule>
  </conditionalFormatting>
  <conditionalFormatting sqref="AF234">
    <cfRule type="containsText" dxfId="2966" priority="3267" operator="containsText" text="NO">
      <formula>NOT(ISERROR(SEARCH("NO",AF234)))</formula>
    </cfRule>
    <cfRule type="containsText" dxfId="2965" priority="3268" operator="containsText" text="SI">
      <formula>NOT(ISERROR(SEARCH("SI",AF234)))</formula>
    </cfRule>
  </conditionalFormatting>
  <conditionalFormatting sqref="AJ234">
    <cfRule type="cellIs" dxfId="2964" priority="3263" operator="equal">
      <formula>"SD"</formula>
    </cfRule>
    <cfRule type="cellIs" dxfId="2963" priority="3264" operator="equal">
      <formula>"NO"</formula>
    </cfRule>
    <cfRule type="cellIs" dxfId="2962" priority="3265" operator="equal">
      <formula>"SI"</formula>
    </cfRule>
  </conditionalFormatting>
  <conditionalFormatting sqref="AY234">
    <cfRule type="containsText" dxfId="2961" priority="3258" operator="containsText" text="SD">
      <formula>NOT(ISERROR(SEARCH("SD",AY234)))</formula>
    </cfRule>
    <cfRule type="containsText" dxfId="2960" priority="3259" operator="containsText" text="SI, NO CONTROLADA">
      <formula>NOT(ISERROR(SEARCH("SI, NO CONTROLADA",AY234)))</formula>
    </cfRule>
    <cfRule type="containsText" dxfId="2959" priority="3260" operator="containsText" text="SI, SIN MANEJO">
      <formula>NOT(ISERROR(SEARCH("SI, SIN MANEJO",AY234)))</formula>
    </cfRule>
    <cfRule type="containsText" dxfId="2958" priority="3261" operator="containsText" text="SI, CONTROLADA">
      <formula>NOT(ISERROR(SEARCH("SI, CONTROLADA",AY234)))</formula>
    </cfRule>
    <cfRule type="containsText" dxfId="2957" priority="3262" operator="containsText" text="NO">
      <formula>NOT(ISERROR(SEARCH("NO",AY234)))</formula>
    </cfRule>
  </conditionalFormatting>
  <conditionalFormatting sqref="AZ234">
    <cfRule type="containsText" dxfId="2956" priority="3253" operator="containsText" text="SD">
      <formula>NOT(ISERROR(SEARCH("SD",AZ234)))</formula>
    </cfRule>
    <cfRule type="containsText" dxfId="2955" priority="3254" operator="containsText" text="SI, NO CONTROLADA">
      <formula>NOT(ISERROR(SEARCH("SI, NO CONTROLADA",AZ234)))</formula>
    </cfRule>
    <cfRule type="containsText" dxfId="2954" priority="3255" operator="containsText" text="SI, SIN MANEJO">
      <formula>NOT(ISERROR(SEARCH("SI, SIN MANEJO",AZ234)))</formula>
    </cfRule>
    <cfRule type="containsText" dxfId="2953" priority="3256" operator="containsText" text="SI, CONTROLADA">
      <formula>NOT(ISERROR(SEARCH("SI, CONTROLADA",AZ234)))</formula>
    </cfRule>
    <cfRule type="containsText" dxfId="2952" priority="3257" operator="containsText" text="NO">
      <formula>NOT(ISERROR(SEARCH("NO",AZ234)))</formula>
    </cfRule>
  </conditionalFormatting>
  <conditionalFormatting sqref="BB234">
    <cfRule type="cellIs" dxfId="2951" priority="3250" operator="equal">
      <formula>"SD"</formula>
    </cfRule>
    <cfRule type="cellIs" dxfId="2950" priority="3251" operator="equal">
      <formula>"NO"</formula>
    </cfRule>
    <cfRule type="cellIs" dxfId="2949" priority="3252" operator="equal">
      <formula>"SI"</formula>
    </cfRule>
  </conditionalFormatting>
  <conditionalFormatting sqref="BC234">
    <cfRule type="cellIs" dxfId="2948" priority="3247" operator="equal">
      <formula>"SD"</formula>
    </cfRule>
    <cfRule type="cellIs" dxfId="2947" priority="3248" operator="equal">
      <formula>"NO"</formula>
    </cfRule>
    <cfRule type="cellIs" dxfId="2946" priority="3249" operator="equal">
      <formula>"SI"</formula>
    </cfRule>
  </conditionalFormatting>
  <conditionalFormatting sqref="BF234">
    <cfRule type="cellIs" dxfId="2945" priority="3244" operator="equal">
      <formula>"SD"</formula>
    </cfRule>
    <cfRule type="cellIs" dxfId="2944" priority="3245" operator="equal">
      <formula>"NO"</formula>
    </cfRule>
    <cfRule type="cellIs" dxfId="2943" priority="3246" operator="equal">
      <formula>"SI"</formula>
    </cfRule>
  </conditionalFormatting>
  <conditionalFormatting sqref="BD234:BE234">
    <cfRule type="cellIs" dxfId="2942" priority="3241" operator="equal">
      <formula>"SD"</formula>
    </cfRule>
    <cfRule type="cellIs" dxfId="2941" priority="3242" operator="equal">
      <formula>"NO"</formula>
    </cfRule>
    <cfRule type="cellIs" dxfId="2940" priority="3243" operator="equal">
      <formula>"SI"</formula>
    </cfRule>
  </conditionalFormatting>
  <conditionalFormatting sqref="BE234">
    <cfRule type="expression" dxfId="2939" priority="3240">
      <formula>IF(AND(FA234&gt;=126,FC234&lt;24),1,0)</formula>
    </cfRule>
  </conditionalFormatting>
  <conditionalFormatting sqref="BG234">
    <cfRule type="cellIs" dxfId="2938" priority="3237" operator="equal">
      <formula>"SD"</formula>
    </cfRule>
    <cfRule type="cellIs" dxfId="2937" priority="3238" operator="equal">
      <formula>"NO"</formula>
    </cfRule>
    <cfRule type="cellIs" dxfId="2936" priority="3239" operator="equal">
      <formula>"SI"</formula>
    </cfRule>
  </conditionalFormatting>
  <conditionalFormatting sqref="BH234">
    <cfRule type="cellIs" dxfId="2935" priority="3234" operator="equal">
      <formula>"SD"</formula>
    </cfRule>
    <cfRule type="cellIs" dxfId="2934" priority="3235" operator="equal">
      <formula>"NO"</formula>
    </cfRule>
    <cfRule type="cellIs" dxfId="2933" priority="3236" operator="equal">
      <formula>"SI"</formula>
    </cfRule>
  </conditionalFormatting>
  <conditionalFormatting sqref="BI234">
    <cfRule type="cellIs" dxfId="2932" priority="3231" operator="equal">
      <formula>"SD"</formula>
    </cfRule>
    <cfRule type="cellIs" dxfId="2931" priority="3232" operator="equal">
      <formula>"NO"</formula>
    </cfRule>
    <cfRule type="cellIs" dxfId="2930" priority="3233" operator="equal">
      <formula>"SI"</formula>
    </cfRule>
  </conditionalFormatting>
  <conditionalFormatting sqref="BJ234">
    <cfRule type="cellIs" dxfId="2929" priority="3228" operator="equal">
      <formula>"SD"</formula>
    </cfRule>
    <cfRule type="cellIs" dxfId="2928" priority="3229" operator="equal">
      <formula>"NO"</formula>
    </cfRule>
    <cfRule type="cellIs" dxfId="2927" priority="3230" operator="equal">
      <formula>"SI"</formula>
    </cfRule>
  </conditionalFormatting>
  <conditionalFormatting sqref="BL234:BM234">
    <cfRule type="cellIs" dxfId="2926" priority="3225" operator="equal">
      <formula>"SD"</formula>
    </cfRule>
    <cfRule type="cellIs" dxfId="2925" priority="3226" operator="equal">
      <formula>"NO"</formula>
    </cfRule>
    <cfRule type="cellIs" dxfId="2924" priority="3227" operator="equal">
      <formula>"SI"</formula>
    </cfRule>
  </conditionalFormatting>
  <conditionalFormatting sqref="BK234">
    <cfRule type="cellIs" dxfId="2923" priority="3222" operator="equal">
      <formula>"SD"</formula>
    </cfRule>
    <cfRule type="cellIs" dxfId="2922" priority="3223" operator="equal">
      <formula>"NO"</formula>
    </cfRule>
    <cfRule type="cellIs" dxfId="2921" priority="3224" operator="equal">
      <formula>"SI"</formula>
    </cfRule>
  </conditionalFormatting>
  <conditionalFormatting sqref="AL235:AR235">
    <cfRule type="cellIs" dxfId="2920" priority="3219" operator="equal">
      <formula>"SD"</formula>
    </cfRule>
    <cfRule type="cellIs" dxfId="2919" priority="3220" operator="equal">
      <formula>"NO"</formula>
    </cfRule>
    <cfRule type="cellIs" dxfId="2918" priority="3221" operator="equal">
      <formula>"SI"</formula>
    </cfRule>
  </conditionalFormatting>
  <conditionalFormatting sqref="AK235">
    <cfRule type="containsText" dxfId="2917" priority="3216" operator="containsText" text="COMPLETAR EVALUACIÓN">
      <formula>NOT(ISERROR(SEARCH("COMPLETAR EVALUACIÓN",AK235)))</formula>
    </cfRule>
    <cfRule type="containsText" dxfId="2916" priority="3217" operator="containsText" text="CON RIESGO">
      <formula>NOT(ISERROR(SEARCH("CON RIESGO",AK235)))</formula>
    </cfRule>
    <cfRule type="containsText" dxfId="2915" priority="3218" operator="containsText" text="SIN RIESGO">
      <formula>NOT(ISERROR(SEARCH("SIN RIESGO",AK235)))</formula>
    </cfRule>
  </conditionalFormatting>
  <conditionalFormatting sqref="AE235">
    <cfRule type="containsText" dxfId="2914" priority="3214" operator="containsText" text="NO">
      <formula>NOT(ISERROR(SEARCH("NO",AE235)))</formula>
    </cfRule>
    <cfRule type="containsText" dxfId="2913" priority="3215" operator="containsText" text="SI">
      <formula>NOT(ISERROR(SEARCH("SI",AE235)))</formula>
    </cfRule>
  </conditionalFormatting>
  <conditionalFormatting sqref="AG235:AH235">
    <cfRule type="cellIs" dxfId="2912" priority="3208" operator="equal">
      <formula>"SD"</formula>
    </cfRule>
    <cfRule type="cellIs" dxfId="2911" priority="3209" operator="equal">
      <formula>"NO"</formula>
    </cfRule>
    <cfRule type="cellIs" dxfId="2910" priority="3210" operator="equal">
      <formula>"SI"</formula>
    </cfRule>
  </conditionalFormatting>
  <conditionalFormatting sqref="AI235">
    <cfRule type="containsText" dxfId="2909" priority="3201" operator="containsText" text="HABITANTE DE CALLE">
      <formula>NOT(ISERROR(SEARCH("HABITANTE DE CALLE",AI235)))</formula>
    </cfRule>
    <cfRule type="containsText" dxfId="2908" priority="3204" operator="containsText" text="NINGUNO">
      <formula>NOT(ISERROR(SEARCH("NINGUNO",AI235)))</formula>
    </cfRule>
    <cfRule type="containsText" dxfId="2907" priority="3205" operator="containsText" text="MIGRATORIA">
      <formula>NOT(ISERROR(SEARCH("MIGRATORIA",AI235)))</formula>
    </cfRule>
    <cfRule type="containsText" dxfId="2906" priority="3206" operator="containsText" text="DISCAPACIDAD">
      <formula>NOT(ISERROR(SEARCH("DISCAPACIDAD",AI235)))</formula>
    </cfRule>
    <cfRule type="containsText" dxfId="2905" priority="3207" operator="containsText" text="DESPLAZADA">
      <formula>NOT(ISERROR(SEARCH("DESPLAZADA",AI235)))</formula>
    </cfRule>
  </conditionalFormatting>
  <conditionalFormatting sqref="AF235">
    <cfRule type="containsText" dxfId="2904" priority="3202" operator="containsText" text="NO">
      <formula>NOT(ISERROR(SEARCH("NO",AF235)))</formula>
    </cfRule>
    <cfRule type="containsText" dxfId="2903" priority="3203" operator="containsText" text="SI">
      <formula>NOT(ISERROR(SEARCH("SI",AF235)))</formula>
    </cfRule>
  </conditionalFormatting>
  <conditionalFormatting sqref="AJ235">
    <cfRule type="cellIs" dxfId="2902" priority="3198" operator="equal">
      <formula>"SD"</formula>
    </cfRule>
    <cfRule type="cellIs" dxfId="2901" priority="3199" operator="equal">
      <formula>"NO"</formula>
    </cfRule>
    <cfRule type="cellIs" dxfId="2900" priority="3200" operator="equal">
      <formula>"SI"</formula>
    </cfRule>
  </conditionalFormatting>
  <conditionalFormatting sqref="AX235 BA235">
    <cfRule type="cellIs" dxfId="2899" priority="3195" operator="equal">
      <formula>"SD"</formula>
    </cfRule>
    <cfRule type="cellIs" dxfId="2898" priority="3196" operator="equal">
      <formula>"NO"</formula>
    </cfRule>
    <cfRule type="cellIs" dxfId="2897" priority="3197" operator="equal">
      <formula>"SI"</formula>
    </cfRule>
  </conditionalFormatting>
  <conditionalFormatting sqref="AY235">
    <cfRule type="containsText" dxfId="2896" priority="3190" operator="containsText" text="SD">
      <formula>NOT(ISERROR(SEARCH("SD",AY235)))</formula>
    </cfRule>
    <cfRule type="containsText" dxfId="2895" priority="3191" operator="containsText" text="SI, NO CONTROLADA">
      <formula>NOT(ISERROR(SEARCH("SI, NO CONTROLADA",AY235)))</formula>
    </cfRule>
    <cfRule type="containsText" dxfId="2894" priority="3192" operator="containsText" text="SI, SIN MANEJO">
      <formula>NOT(ISERROR(SEARCH("SI, SIN MANEJO",AY235)))</formula>
    </cfRule>
    <cfRule type="containsText" dxfId="2893" priority="3193" operator="containsText" text="SI, CONTROLADA">
      <formula>NOT(ISERROR(SEARCH("SI, CONTROLADA",AY235)))</formula>
    </cfRule>
    <cfRule type="containsText" dxfId="2892" priority="3194" operator="containsText" text="NO">
      <formula>NOT(ISERROR(SEARCH("NO",AY235)))</formula>
    </cfRule>
  </conditionalFormatting>
  <conditionalFormatting sqref="AZ235">
    <cfRule type="containsText" dxfId="2891" priority="3185" operator="containsText" text="SD">
      <formula>NOT(ISERROR(SEARCH("SD",AZ235)))</formula>
    </cfRule>
    <cfRule type="containsText" dxfId="2890" priority="3186" operator="containsText" text="SI, NO CONTROLADA">
      <formula>NOT(ISERROR(SEARCH("SI, NO CONTROLADA",AZ235)))</formula>
    </cfRule>
    <cfRule type="containsText" dxfId="2889" priority="3187" operator="containsText" text="SI, SIN MANEJO">
      <formula>NOT(ISERROR(SEARCH("SI, SIN MANEJO",AZ235)))</formula>
    </cfRule>
    <cfRule type="containsText" dxfId="2888" priority="3188" operator="containsText" text="SI, CONTROLADA">
      <formula>NOT(ISERROR(SEARCH("SI, CONTROLADA",AZ235)))</formula>
    </cfRule>
    <cfRule type="containsText" dxfId="2887" priority="3189" operator="containsText" text="NO">
      <formula>NOT(ISERROR(SEARCH("NO",AZ235)))</formula>
    </cfRule>
  </conditionalFormatting>
  <conditionalFormatting sqref="BB235">
    <cfRule type="cellIs" dxfId="2886" priority="3182" operator="equal">
      <formula>"SD"</formula>
    </cfRule>
    <cfRule type="cellIs" dxfId="2885" priority="3183" operator="equal">
      <formula>"NO"</formula>
    </cfRule>
    <cfRule type="cellIs" dxfId="2884" priority="3184" operator="equal">
      <formula>"SI"</formula>
    </cfRule>
  </conditionalFormatting>
  <conditionalFormatting sqref="BC235">
    <cfRule type="cellIs" dxfId="2883" priority="3179" operator="equal">
      <formula>"SD"</formula>
    </cfRule>
    <cfRule type="cellIs" dxfId="2882" priority="3180" operator="equal">
      <formula>"NO"</formula>
    </cfRule>
    <cfRule type="cellIs" dxfId="2881" priority="3181" operator="equal">
      <formula>"SI"</formula>
    </cfRule>
  </conditionalFormatting>
  <conditionalFormatting sqref="BF235">
    <cfRule type="cellIs" dxfId="2880" priority="3176" operator="equal">
      <formula>"SD"</formula>
    </cfRule>
    <cfRule type="cellIs" dxfId="2879" priority="3177" operator="equal">
      <formula>"NO"</formula>
    </cfRule>
    <cfRule type="cellIs" dxfId="2878" priority="3178" operator="equal">
      <formula>"SI"</formula>
    </cfRule>
  </conditionalFormatting>
  <conditionalFormatting sqref="BD235:BE235">
    <cfRule type="cellIs" dxfId="2877" priority="3173" operator="equal">
      <formula>"SD"</formula>
    </cfRule>
    <cfRule type="cellIs" dxfId="2876" priority="3174" operator="equal">
      <formula>"NO"</formula>
    </cfRule>
    <cfRule type="cellIs" dxfId="2875" priority="3175" operator="equal">
      <formula>"SI"</formula>
    </cfRule>
  </conditionalFormatting>
  <conditionalFormatting sqref="BE235">
    <cfRule type="expression" dxfId="2874" priority="3172">
      <formula>IF(AND(FA235&gt;=126,FC235&lt;24),1,0)</formula>
    </cfRule>
  </conditionalFormatting>
  <conditionalFormatting sqref="BG235">
    <cfRule type="cellIs" dxfId="2873" priority="3169" operator="equal">
      <formula>"SD"</formula>
    </cfRule>
    <cfRule type="cellIs" dxfId="2872" priority="3170" operator="equal">
      <formula>"NO"</formula>
    </cfRule>
    <cfRule type="cellIs" dxfId="2871" priority="3171" operator="equal">
      <formula>"SI"</formula>
    </cfRule>
  </conditionalFormatting>
  <conditionalFormatting sqref="BH235">
    <cfRule type="cellIs" dxfId="2870" priority="3166" operator="equal">
      <formula>"SD"</formula>
    </cfRule>
    <cfRule type="cellIs" dxfId="2869" priority="3167" operator="equal">
      <formula>"NO"</formula>
    </cfRule>
    <cfRule type="cellIs" dxfId="2868" priority="3168" operator="equal">
      <formula>"SI"</formula>
    </cfRule>
  </conditionalFormatting>
  <conditionalFormatting sqref="BI235">
    <cfRule type="cellIs" dxfId="2867" priority="3163" operator="equal">
      <formula>"SD"</formula>
    </cfRule>
    <cfRule type="cellIs" dxfId="2866" priority="3164" operator="equal">
      <formula>"NO"</formula>
    </cfRule>
    <cfRule type="cellIs" dxfId="2865" priority="3165" operator="equal">
      <formula>"SI"</formula>
    </cfRule>
  </conditionalFormatting>
  <conditionalFormatting sqref="BJ235">
    <cfRule type="cellIs" dxfId="2864" priority="3160" operator="equal">
      <formula>"SD"</formula>
    </cfRule>
    <cfRule type="cellIs" dxfId="2863" priority="3161" operator="equal">
      <formula>"NO"</formula>
    </cfRule>
    <cfRule type="cellIs" dxfId="2862" priority="3162" operator="equal">
      <formula>"SI"</formula>
    </cfRule>
  </conditionalFormatting>
  <conditionalFormatting sqref="BL235:BM235">
    <cfRule type="cellIs" dxfId="2861" priority="3157" operator="equal">
      <formula>"SD"</formula>
    </cfRule>
    <cfRule type="cellIs" dxfId="2860" priority="3158" operator="equal">
      <formula>"NO"</formula>
    </cfRule>
    <cfRule type="cellIs" dxfId="2859" priority="3159" operator="equal">
      <formula>"SI"</formula>
    </cfRule>
  </conditionalFormatting>
  <conditionalFormatting sqref="BK235">
    <cfRule type="cellIs" dxfId="2858" priority="3154" operator="equal">
      <formula>"SD"</formula>
    </cfRule>
    <cfRule type="cellIs" dxfId="2857" priority="3155" operator="equal">
      <formula>"NO"</formula>
    </cfRule>
    <cfRule type="cellIs" dxfId="2856" priority="3156" operator="equal">
      <formula>"SI"</formula>
    </cfRule>
  </conditionalFormatting>
  <conditionalFormatting sqref="FB235">
    <cfRule type="containsText" dxfId="2855" priority="3150" operator="containsText" text="RH NEGATIVO SIN COOMB">
      <formula>NOT(ISERROR(SEARCH("RH NEGATIVO SIN COOMB",FB235)))</formula>
    </cfRule>
    <cfRule type="containsText" dxfId="2854" priority="3151" operator="containsText" text="RH NEGATIVO CON COOMBS POSITIVO">
      <formula>NOT(ISERROR(SEARCH("RH NEGATIVO CON COOMBS POSITIVO",FB235)))</formula>
    </cfRule>
    <cfRule type="containsText" dxfId="2853" priority="3152" operator="containsText" text="RH NEGATIVO CON COOMBS NEGATIVO">
      <formula>NOT(ISERROR(SEARCH("RH NEGATIVO CON COOMBS NEGATIVO",FB235)))</formula>
    </cfRule>
    <cfRule type="containsText" dxfId="2852" priority="3153" operator="containsText" text="RH POSITIVO">
      <formula>NOT(ISERROR(SEARCH("RH POSITIVO",FB235)))</formula>
    </cfRule>
  </conditionalFormatting>
  <conditionalFormatting sqref="FK235">
    <cfRule type="containsText" dxfId="2851" priority="3146" operator="containsText" text="RH NEGATIVO SIN COOMB">
      <formula>NOT(ISERROR(SEARCH("RH NEGATIVO SIN COOMB",FK235)))</formula>
    </cfRule>
    <cfRule type="containsText" dxfId="2850" priority="3147" operator="containsText" text="RH NEGATIVO CON COOMBS POSITIVO">
      <formula>NOT(ISERROR(SEARCH("RH NEGATIVO CON COOMBS POSITIVO",FK235)))</formula>
    </cfRule>
    <cfRule type="containsText" dxfId="2849" priority="3148" operator="containsText" text="RH NEGATIVO CON COOMBS NEGATIVO">
      <formula>NOT(ISERROR(SEARCH("RH NEGATIVO CON COOMBS NEGATIVO",FK235)))</formula>
    </cfRule>
    <cfRule type="containsText" dxfId="2848" priority="3149" operator="containsText" text="RH POSITIVO">
      <formula>NOT(ISERROR(SEARCH("RH POSITIVO",FK235)))</formula>
    </cfRule>
  </conditionalFormatting>
  <conditionalFormatting sqref="FZ235">
    <cfRule type="containsText" dxfId="2847" priority="3142" operator="containsText" text="RH NEGATIVO SIN COOMB">
      <formula>NOT(ISERROR(SEARCH("RH NEGATIVO SIN COOMB",FZ235)))</formula>
    </cfRule>
    <cfRule type="containsText" dxfId="2846" priority="3143" operator="containsText" text="RH NEGATIVO CON COOMBS POSITIVO">
      <formula>NOT(ISERROR(SEARCH("RH NEGATIVO CON COOMBS POSITIVO",FZ235)))</formula>
    </cfRule>
    <cfRule type="containsText" dxfId="2845" priority="3144" operator="containsText" text="RH NEGATIVO CON COOMBS NEGATIVO">
      <formula>NOT(ISERROR(SEARCH("RH NEGATIVO CON COOMBS NEGATIVO",FZ235)))</formula>
    </cfRule>
    <cfRule type="containsText" dxfId="2844" priority="3145" operator="containsText" text="RH POSITIVO">
      <formula>NOT(ISERROR(SEARCH("RH POSITIVO",FZ235)))</formula>
    </cfRule>
  </conditionalFormatting>
  <conditionalFormatting sqref="GO235">
    <cfRule type="containsText" dxfId="2843" priority="3138" operator="containsText" text="RH NEGATIVO SIN COOMB">
      <formula>NOT(ISERROR(SEARCH("RH NEGATIVO SIN COOMB",GO235)))</formula>
    </cfRule>
    <cfRule type="containsText" dxfId="2842" priority="3139" operator="containsText" text="RH NEGATIVO CON COOMBS POSITIVO">
      <formula>NOT(ISERROR(SEARCH("RH NEGATIVO CON COOMBS POSITIVO",GO235)))</formula>
    </cfRule>
    <cfRule type="containsText" dxfId="2841" priority="3140" operator="containsText" text="RH NEGATIVO CON COOMBS NEGATIVO">
      <formula>NOT(ISERROR(SEARCH("RH NEGATIVO CON COOMBS NEGATIVO",GO235)))</formula>
    </cfRule>
    <cfRule type="containsText" dxfId="2840" priority="3141" operator="containsText" text="RH POSITIVO">
      <formula>NOT(ISERROR(SEARCH("RH POSITIVO",GO235)))</formula>
    </cfRule>
  </conditionalFormatting>
  <conditionalFormatting sqref="GT235">
    <cfRule type="containsText" dxfId="2839" priority="3134" operator="containsText" text="RH NEGATIVO SIN COOMB">
      <formula>NOT(ISERROR(SEARCH("RH NEGATIVO SIN COOMB",GT235)))</formula>
    </cfRule>
    <cfRule type="containsText" dxfId="2838" priority="3135" operator="containsText" text="RH NEGATIVO CON COOMBS POSITIVO">
      <formula>NOT(ISERROR(SEARCH("RH NEGATIVO CON COOMBS POSITIVO",GT235)))</formula>
    </cfRule>
    <cfRule type="containsText" dxfId="2837" priority="3136" operator="containsText" text="RH NEGATIVO CON COOMBS NEGATIVO">
      <formula>NOT(ISERROR(SEARCH("RH NEGATIVO CON COOMBS NEGATIVO",GT235)))</formula>
    </cfRule>
    <cfRule type="containsText" dxfId="2836" priority="3137" operator="containsText" text="RH POSITIVO">
      <formula>NOT(ISERROR(SEARCH("RH POSITIVO",GT235)))</formula>
    </cfRule>
  </conditionalFormatting>
  <conditionalFormatting sqref="HV235 HT235 HX235">
    <cfRule type="containsText" dxfId="2835" priority="3130" operator="containsText" text="NO SE FORMULA">
      <formula>NOT(ISERROR(SEARCH("NO SE FORMULA",HT235)))</formula>
    </cfRule>
    <cfRule type="containsText" dxfId="2834" priority="3131" operator="containsText" text="OTRO">
      <formula>NOT(ISERROR(SEARCH("OTRO",HT235)))</formula>
    </cfRule>
    <cfRule type="containsText" dxfId="2833" priority="3132" operator="containsText" text="IRREGULAR">
      <formula>NOT(ISERROR(SEARCH("IRREGULAR",HT235)))</formula>
    </cfRule>
    <cfRule type="containsText" dxfId="2832" priority="3133" operator="containsText" text="ADECUADO">
      <formula>NOT(ISERROR(SEARCH("ADECUADO",HT235)))</formula>
    </cfRule>
  </conditionalFormatting>
  <conditionalFormatting sqref="FB207">
    <cfRule type="containsText" dxfId="2831" priority="3110" operator="containsText" text="RH NEGATIVO SIN COOMB">
      <formula>NOT(ISERROR(SEARCH("RH NEGATIVO SIN COOMB",FB207)))</formula>
    </cfRule>
    <cfRule type="containsText" dxfId="2830" priority="3111" operator="containsText" text="RH NEGATIVO CON COOMBS POSITIVO">
      <formula>NOT(ISERROR(SEARCH("RH NEGATIVO CON COOMBS POSITIVO",FB207)))</formula>
    </cfRule>
    <cfRule type="containsText" dxfId="2829" priority="3112" operator="containsText" text="RH NEGATIVO CON COOMBS NEGATIVO">
      <formula>NOT(ISERROR(SEARCH("RH NEGATIVO CON COOMBS NEGATIVO",FB207)))</formula>
    </cfRule>
    <cfRule type="containsText" dxfId="2828" priority="3113" operator="containsText" text="RH POSITIVO">
      <formula>NOT(ISERROR(SEARCH("RH POSITIVO",FB207)))</formula>
    </cfRule>
  </conditionalFormatting>
  <conditionalFormatting sqref="FK207">
    <cfRule type="containsText" dxfId="2827" priority="3106" operator="containsText" text="RH NEGATIVO SIN COOMB">
      <formula>NOT(ISERROR(SEARCH("RH NEGATIVO SIN COOMB",FK207)))</formula>
    </cfRule>
    <cfRule type="containsText" dxfId="2826" priority="3107" operator="containsText" text="RH NEGATIVO CON COOMBS POSITIVO">
      <formula>NOT(ISERROR(SEARCH("RH NEGATIVO CON COOMBS POSITIVO",FK207)))</formula>
    </cfRule>
    <cfRule type="containsText" dxfId="2825" priority="3108" operator="containsText" text="RH NEGATIVO CON COOMBS NEGATIVO">
      <formula>NOT(ISERROR(SEARCH("RH NEGATIVO CON COOMBS NEGATIVO",FK207)))</formula>
    </cfRule>
    <cfRule type="containsText" dxfId="2824" priority="3109" operator="containsText" text="RH POSITIVO">
      <formula>NOT(ISERROR(SEARCH("RH POSITIVO",FK207)))</formula>
    </cfRule>
  </conditionalFormatting>
  <conditionalFormatting sqref="FZ207:FZ209">
    <cfRule type="containsText" dxfId="2823" priority="3102" operator="containsText" text="RH NEGATIVO SIN COOMB">
      <formula>NOT(ISERROR(SEARCH("RH NEGATIVO SIN COOMB",FZ207)))</formula>
    </cfRule>
    <cfRule type="containsText" dxfId="2822" priority="3103" operator="containsText" text="RH NEGATIVO CON COOMBS POSITIVO">
      <formula>NOT(ISERROR(SEARCH("RH NEGATIVO CON COOMBS POSITIVO",FZ207)))</formula>
    </cfRule>
    <cfRule type="containsText" dxfId="2821" priority="3104" operator="containsText" text="RH NEGATIVO CON COOMBS NEGATIVO">
      <formula>NOT(ISERROR(SEARCH("RH NEGATIVO CON COOMBS NEGATIVO",FZ207)))</formula>
    </cfRule>
    <cfRule type="containsText" dxfId="2820" priority="3105" operator="containsText" text="RH POSITIVO">
      <formula>NOT(ISERROR(SEARCH("RH POSITIVO",FZ207)))</formula>
    </cfRule>
  </conditionalFormatting>
  <conditionalFormatting sqref="GO207">
    <cfRule type="containsText" dxfId="2819" priority="3098" operator="containsText" text="RH NEGATIVO SIN COOMB">
      <formula>NOT(ISERROR(SEARCH("RH NEGATIVO SIN COOMB",GO207)))</formula>
    </cfRule>
    <cfRule type="containsText" dxfId="2818" priority="3099" operator="containsText" text="RH NEGATIVO CON COOMBS POSITIVO">
      <formula>NOT(ISERROR(SEARCH("RH NEGATIVO CON COOMBS POSITIVO",GO207)))</formula>
    </cfRule>
    <cfRule type="containsText" dxfId="2817" priority="3100" operator="containsText" text="RH NEGATIVO CON COOMBS NEGATIVO">
      <formula>NOT(ISERROR(SEARCH("RH NEGATIVO CON COOMBS NEGATIVO",GO207)))</formula>
    </cfRule>
    <cfRule type="containsText" dxfId="2816" priority="3101" operator="containsText" text="RH POSITIVO">
      <formula>NOT(ISERROR(SEARCH("RH POSITIVO",GO207)))</formula>
    </cfRule>
  </conditionalFormatting>
  <conditionalFormatting sqref="HX207 HT207 HV207">
    <cfRule type="containsText" dxfId="2815" priority="3094" operator="containsText" text="NO SE FORMULA">
      <formula>NOT(ISERROR(SEARCH("NO SE FORMULA",HT207)))</formula>
    </cfRule>
    <cfRule type="containsText" dxfId="2814" priority="3095" operator="containsText" text="OTRO">
      <formula>NOT(ISERROR(SEARCH("OTRO",HT207)))</formula>
    </cfRule>
    <cfRule type="containsText" dxfId="2813" priority="3096" operator="containsText" text="IRREGULAR">
      <formula>NOT(ISERROR(SEARCH("IRREGULAR",HT207)))</formula>
    </cfRule>
    <cfRule type="containsText" dxfId="2812" priority="3097" operator="containsText" text="ADECUADO">
      <formula>NOT(ISERROR(SEARCH("ADECUADO",HT207)))</formula>
    </cfRule>
  </conditionalFormatting>
  <conditionalFormatting sqref="AJ208 AG208:AH208">
    <cfRule type="cellIs" dxfId="2811" priority="3091" operator="equal">
      <formula>"SD"</formula>
    </cfRule>
    <cfRule type="cellIs" dxfId="2810" priority="3092" operator="equal">
      <formula>"NO"</formula>
    </cfRule>
    <cfRule type="cellIs" dxfId="2809" priority="3093" operator="equal">
      <formula>"SI"</formula>
    </cfRule>
  </conditionalFormatting>
  <conditionalFormatting sqref="AI208">
    <cfRule type="containsText" dxfId="2808" priority="3084" operator="containsText" text="HABITANTE DE CALLE">
      <formula>NOT(ISERROR(SEARCH("HABITANTE DE CALLE",AI208)))</formula>
    </cfRule>
    <cfRule type="containsText" dxfId="2807" priority="3087" operator="containsText" text="NINGUNO">
      <formula>NOT(ISERROR(SEARCH("NINGUNO",AI208)))</formula>
    </cfRule>
    <cfRule type="containsText" dxfId="2806" priority="3088" operator="containsText" text="MIGRATORIA">
      <formula>NOT(ISERROR(SEARCH("MIGRATORIA",AI208)))</formula>
    </cfRule>
    <cfRule type="containsText" dxfId="2805" priority="3089" operator="containsText" text="DISCAPACIDAD">
      <formula>NOT(ISERROR(SEARCH("DISCAPACIDAD",AI208)))</formula>
    </cfRule>
    <cfRule type="containsText" dxfId="2804" priority="3090" operator="containsText" text="DESPLAZADA">
      <formula>NOT(ISERROR(SEARCH("DESPLAZADA",AI208)))</formula>
    </cfRule>
  </conditionalFormatting>
  <conditionalFormatting sqref="AF208">
    <cfRule type="containsText" dxfId="2803" priority="3085" operator="containsText" text="NO">
      <formula>NOT(ISERROR(SEARCH("NO",AF208)))</formula>
    </cfRule>
    <cfRule type="containsText" dxfId="2802" priority="3086" operator="containsText" text="SI">
      <formula>NOT(ISERROR(SEARCH("SI",AF208)))</formula>
    </cfRule>
  </conditionalFormatting>
  <conditionalFormatting sqref="AX208">
    <cfRule type="cellIs" dxfId="2801" priority="3081" operator="equal">
      <formula>"SD"</formula>
    </cfRule>
    <cfRule type="cellIs" dxfId="2800" priority="3082" operator="equal">
      <formula>"NO"</formula>
    </cfRule>
    <cfRule type="cellIs" dxfId="2799" priority="3083" operator="equal">
      <formula>"SI"</formula>
    </cfRule>
  </conditionalFormatting>
  <conditionalFormatting sqref="BD208:BI208 AY208:BB208 BK208:BM208">
    <cfRule type="cellIs" dxfId="2798" priority="3078" operator="equal">
      <formula>"SD"</formula>
    </cfRule>
    <cfRule type="cellIs" dxfId="2797" priority="3079" operator="equal">
      <formula>"NO"</formula>
    </cfRule>
    <cfRule type="cellIs" dxfId="2796" priority="3080" operator="equal">
      <formula>"SI"</formula>
    </cfRule>
  </conditionalFormatting>
  <conditionalFormatting sqref="BC208">
    <cfRule type="containsText" dxfId="2795" priority="3073" operator="containsText" text="SD">
      <formula>NOT(ISERROR(SEARCH("SD",BC208)))</formula>
    </cfRule>
    <cfRule type="containsText" dxfId="2794" priority="3074" operator="containsText" text="SI, NO CONTROLADA">
      <formula>NOT(ISERROR(SEARCH("SI, NO CONTROLADA",BC208)))</formula>
    </cfRule>
    <cfRule type="containsText" dxfId="2793" priority="3075" operator="containsText" text="SI, SIN MANEJO">
      <formula>NOT(ISERROR(SEARCH("SI, SIN MANEJO",BC208)))</formula>
    </cfRule>
    <cfRule type="containsText" dxfId="2792" priority="3076" operator="containsText" text="SI, CONTROLADA">
      <formula>NOT(ISERROR(SEARCH("SI, CONTROLADA",BC208)))</formula>
    </cfRule>
    <cfRule type="containsText" dxfId="2791" priority="3077" operator="containsText" text="NO">
      <formula>NOT(ISERROR(SEARCH("NO",BC208)))</formula>
    </cfRule>
  </conditionalFormatting>
  <conditionalFormatting sqref="BK208:BM208">
    <cfRule type="cellIs" dxfId="2790" priority="3070" operator="equal">
      <formula>"SD"</formula>
    </cfRule>
    <cfRule type="cellIs" dxfId="2789" priority="3071" operator="equal">
      <formula>"NO"</formula>
    </cfRule>
    <cfRule type="cellIs" dxfId="2788" priority="3072" operator="equal">
      <formula>"SI"</formula>
    </cfRule>
  </conditionalFormatting>
  <conditionalFormatting sqref="AY208:BA208">
    <cfRule type="cellIs" dxfId="2787" priority="3067" operator="equal">
      <formula>"SD"</formula>
    </cfRule>
    <cfRule type="cellIs" dxfId="2786" priority="3068" operator="equal">
      <formula>"NO"</formula>
    </cfRule>
    <cfRule type="cellIs" dxfId="2785" priority="3069" operator="equal">
      <formula>"SI"</formula>
    </cfRule>
  </conditionalFormatting>
  <conditionalFormatting sqref="BD208:BI208 BB208">
    <cfRule type="cellIs" dxfId="2784" priority="3064" operator="equal">
      <formula>"SD"</formula>
    </cfRule>
    <cfRule type="cellIs" dxfId="2783" priority="3065" operator="equal">
      <formula>"NO"</formula>
    </cfRule>
    <cfRule type="cellIs" dxfId="2782" priority="3066" operator="equal">
      <formula>"SI"</formula>
    </cfRule>
  </conditionalFormatting>
  <conditionalFormatting sqref="BC208">
    <cfRule type="containsText" dxfId="2781" priority="3059" operator="containsText" text="SD">
      <formula>NOT(ISERROR(SEARCH("SD",BC208)))</formula>
    </cfRule>
    <cfRule type="containsText" dxfId="2780" priority="3060" operator="containsText" text="SI, NO CONTROLADA">
      <formula>NOT(ISERROR(SEARCH("SI, NO CONTROLADA",BC208)))</formula>
    </cfRule>
    <cfRule type="containsText" dxfId="2779" priority="3061" operator="containsText" text="SI, SIN MANEJO">
      <formula>NOT(ISERROR(SEARCH("SI, SIN MANEJO",BC208)))</formula>
    </cfRule>
    <cfRule type="containsText" dxfId="2778" priority="3062" operator="containsText" text="SI, CONTROLADA">
      <formula>NOT(ISERROR(SEARCH("SI, CONTROLADA",BC208)))</formula>
    </cfRule>
    <cfRule type="containsText" dxfId="2777" priority="3063" operator="containsText" text="NO">
      <formula>NOT(ISERROR(SEARCH("NO",BC208)))</formula>
    </cfRule>
  </conditionalFormatting>
  <conditionalFormatting sqref="BE208">
    <cfRule type="expression" dxfId="2776" priority="3058">
      <formula>IF(AND(FA208&gt;=126,FC208&lt;24),1,0)</formula>
    </cfRule>
  </conditionalFormatting>
  <conditionalFormatting sqref="FB208">
    <cfRule type="containsText" dxfId="2775" priority="3054" operator="containsText" text="RH NEGATIVO SIN COOMB">
      <formula>NOT(ISERROR(SEARCH("RH NEGATIVO SIN COOMB",FB208)))</formula>
    </cfRule>
    <cfRule type="containsText" dxfId="2774" priority="3055" operator="containsText" text="RH NEGATIVO CON COOMBS POSITIVO">
      <formula>NOT(ISERROR(SEARCH("RH NEGATIVO CON COOMBS POSITIVO",FB208)))</formula>
    </cfRule>
    <cfRule type="containsText" dxfId="2773" priority="3056" operator="containsText" text="RH NEGATIVO CON COOMBS NEGATIVO">
      <formula>NOT(ISERROR(SEARCH("RH NEGATIVO CON COOMBS NEGATIVO",FB208)))</formula>
    </cfRule>
    <cfRule type="containsText" dxfId="2772" priority="3057" operator="containsText" text="RH POSITIVO">
      <formula>NOT(ISERROR(SEARCH("RH POSITIVO",FB208)))</formula>
    </cfRule>
  </conditionalFormatting>
  <conditionalFormatting sqref="FK208">
    <cfRule type="containsText" dxfId="2771" priority="3050" operator="containsText" text="RH NEGATIVO SIN COOMB">
      <formula>NOT(ISERROR(SEARCH("RH NEGATIVO SIN COOMB",FK208)))</formula>
    </cfRule>
    <cfRule type="containsText" dxfId="2770" priority="3051" operator="containsText" text="RH NEGATIVO CON COOMBS POSITIVO">
      <formula>NOT(ISERROR(SEARCH("RH NEGATIVO CON COOMBS POSITIVO",FK208)))</formula>
    </cfRule>
    <cfRule type="containsText" dxfId="2769" priority="3052" operator="containsText" text="RH NEGATIVO CON COOMBS NEGATIVO">
      <formula>NOT(ISERROR(SEARCH("RH NEGATIVO CON COOMBS NEGATIVO",FK208)))</formula>
    </cfRule>
    <cfRule type="containsText" dxfId="2768" priority="3053" operator="containsText" text="RH POSITIVO">
      <formula>NOT(ISERROR(SEARCH("RH POSITIVO",FK208)))</formula>
    </cfRule>
  </conditionalFormatting>
  <conditionalFormatting sqref="GO208">
    <cfRule type="containsText" dxfId="2767" priority="3042" operator="containsText" text="RH NEGATIVO SIN COOMB">
      <formula>NOT(ISERROR(SEARCH("RH NEGATIVO SIN COOMB",GO208)))</formula>
    </cfRule>
    <cfRule type="containsText" dxfId="2766" priority="3043" operator="containsText" text="RH NEGATIVO CON COOMBS POSITIVO">
      <formula>NOT(ISERROR(SEARCH("RH NEGATIVO CON COOMBS POSITIVO",GO208)))</formula>
    </cfRule>
    <cfRule type="containsText" dxfId="2765" priority="3044" operator="containsText" text="RH NEGATIVO CON COOMBS NEGATIVO">
      <formula>NOT(ISERROR(SEARCH("RH NEGATIVO CON COOMBS NEGATIVO",GO208)))</formula>
    </cfRule>
    <cfRule type="containsText" dxfId="2764" priority="3045" operator="containsText" text="RH POSITIVO">
      <formula>NOT(ISERROR(SEARCH("RH POSITIVO",GO208)))</formula>
    </cfRule>
  </conditionalFormatting>
  <conditionalFormatting sqref="CU205">
    <cfRule type="expression" dxfId="2763" priority="3041">
      <formula>IF(CW205="NO APLICA REGISTRO TA-INGRESO TARDIO",1,"")</formula>
    </cfRule>
  </conditionalFormatting>
  <conditionalFormatting sqref="CV205">
    <cfRule type="expression" dxfId="2762" priority="3040">
      <formula>IF(CW205="NO APLICA REGISTRO TA-INGRESO TARDIO",1,"")</formula>
    </cfRule>
  </conditionalFormatting>
  <conditionalFormatting sqref="BJ90">
    <cfRule type="cellIs" dxfId="2761" priority="3034" operator="equal">
      <formula>"SD"</formula>
    </cfRule>
    <cfRule type="cellIs" dxfId="2760" priority="3035" operator="equal">
      <formula>"NO"</formula>
    </cfRule>
    <cfRule type="cellIs" dxfId="2759" priority="3036" operator="equal">
      <formula>"SI"</formula>
    </cfRule>
  </conditionalFormatting>
  <conditionalFormatting sqref="BK90">
    <cfRule type="cellIs" dxfId="2758" priority="3031" operator="equal">
      <formula>"SD"</formula>
    </cfRule>
    <cfRule type="cellIs" dxfId="2757" priority="3032" operator="equal">
      <formula>"NO"</formula>
    </cfRule>
    <cfRule type="cellIs" dxfId="2756" priority="3033" operator="equal">
      <formula>"SI"</formula>
    </cfRule>
  </conditionalFormatting>
  <conditionalFormatting sqref="GN138">
    <cfRule type="containsText" dxfId="2755" priority="3029" operator="containsText" text="POSITIVO">
      <formula>NOT(ISERROR(SEARCH("POSITIVO",GN138)))</formula>
    </cfRule>
    <cfRule type="containsText" dxfId="2754" priority="3030" operator="containsText" text="NEGATIVO">
      <formula>NOT(ISERROR(SEARCH("NEGATIVO",GN138)))</formula>
    </cfRule>
  </conditionalFormatting>
  <conditionalFormatting sqref="GQ138:GR138">
    <cfRule type="containsText" dxfId="2753" priority="3027" operator="containsText" text="POSITIVO">
      <formula>NOT(ISERROR(SEARCH("POSITIVO",GQ138)))</formula>
    </cfRule>
    <cfRule type="containsText" dxfId="2752" priority="3028" operator="containsText" text="NEGATIVO">
      <formula>NOT(ISERROR(SEARCH("NEGATIVO",GQ138)))</formula>
    </cfRule>
  </conditionalFormatting>
  <conditionalFormatting sqref="GS138">
    <cfRule type="containsText" dxfId="2751" priority="3024" operator="containsText" text="Igm">
      <formula>NOT(ISERROR(SEARCH("Igm",GS138)))</formula>
    </cfRule>
    <cfRule type="containsText" dxfId="2750" priority="3025" operator="containsText" text="REMITIR">
      <formula>NOT(ISERROR(SEARCH("REMITIR",GS138)))</formula>
    </cfRule>
    <cfRule type="containsText" dxfId="2749" priority="3026" operator="containsText" text="EXCLUYE">
      <formula>NOT(ISERROR(SEARCH("EXCLUYE",GS138)))</formula>
    </cfRule>
  </conditionalFormatting>
  <conditionalFormatting sqref="AC155">
    <cfRule type="containsText" dxfId="2748" priority="3020" operator="containsText" text="SABE">
      <formula>NOT(ISERROR(SEARCH("SABE",AC155)))</formula>
    </cfRule>
    <cfRule type="containsText" dxfId="2747" priority="3021" operator="containsText" text="SECUNDARIA">
      <formula>NOT(ISERROR(SEARCH("SECUNDARIA",AC155)))</formula>
    </cfRule>
    <cfRule type="containsText" dxfId="2746" priority="3022" operator="containsText" text="PRIMARIA INCOMPLETA">
      <formula>NOT(ISERROR(SEARCH("PRIMARIA INCOMPLETA",AC155)))</formula>
    </cfRule>
    <cfRule type="cellIs" dxfId="2745" priority="3023" operator="equal">
      <formula>"ANALFABETA"</formula>
    </cfRule>
  </conditionalFormatting>
  <conditionalFormatting sqref="AD155">
    <cfRule type="containsText" dxfId="2744" priority="3017" operator="containsText" text="No Consume">
      <formula>NOT(ISERROR(SEARCH("No Consume",AD155)))</formula>
    </cfRule>
    <cfRule type="containsText" dxfId="2743" priority="3018" operator="containsText" text="Hasta Antes de la Gestación">
      <formula>NOT(ISERROR(SEARCH("Hasta Antes de la Gestación",AD155)))</formula>
    </cfRule>
    <cfRule type="containsText" dxfId="2742" priority="3019" operator="containsText" text="Consumo Actual">
      <formula>NOT(ISERROR(SEARCH("Consumo Actual",AD155)))</formula>
    </cfRule>
  </conditionalFormatting>
  <conditionalFormatting sqref="L156">
    <cfRule type="containsText" dxfId="2741" priority="2999" operator="containsText" text="Empleo informal">
      <formula>NOT(ISERROR(SEARCH("Empleo informal",L156)))</formula>
    </cfRule>
    <cfRule type="containsText" dxfId="2740" priority="3000" operator="containsText" text="Empleada formalmente con riesgo a tóxicos">
      <formula>NOT(ISERROR(SEARCH("Empleada formalmente con riesgo a tóxicos",L156)))</formula>
    </cfRule>
    <cfRule type="containsText" dxfId="2739" priority="3001" operator="containsText" text="Empleada formalmente con riesgo de accidente laboral">
      <formula>NOT(ISERROR(SEARCH("Empleada formalmente con riesgo de accidente laboral",L156)))</formula>
    </cfRule>
    <cfRule type="containsText" dxfId="2738" priority="3002" operator="containsText" text="Empleada formalmente por jornada laboral extensa">
      <formula>NOT(ISERROR(SEARCH("Empleada formalmente por jornada laboral extensa",L156)))</formula>
    </cfRule>
    <cfRule type="containsText" dxfId="2737" priority="3003" operator="containsText" text="Empleada formalmente sin riesgo">
      <formula>NOT(ISERROR(SEARCH("Empleada formalmente sin riesgo",L156)))</formula>
    </cfRule>
    <cfRule type="containsText" dxfId="2736" priority="3004" operator="containsText" text="Actualmente desempleada">
      <formula>NOT(ISERROR(SEARCH("Actualmente desempleada",L156)))</formula>
    </cfRule>
    <cfRule type="containsText" dxfId="2735" priority="3005" operator="containsText" text="Hogar sin apoyo">
      <formula>NOT(ISERROR(SEARCH("Hogar sin apoyo",L156)))</formula>
    </cfRule>
    <cfRule type="containsText" dxfId="2734" priority="3006" operator="containsText" text="Empleada formalmente sin riesgo">
      <formula>NOT(ISERROR(SEARCH("Empleada formalmente sin riesgo",L156)))</formula>
    </cfRule>
    <cfRule type="containsText" dxfId="2733" priority="3007" operator="containsText" text="Hogar Con apoyo">
      <formula>NOT(ISERROR(SEARCH("Hogar Con apoyo",L156)))</formula>
    </cfRule>
  </conditionalFormatting>
  <conditionalFormatting sqref="CR156">
    <cfRule type="expression" dxfId="2732" priority="2998">
      <formula>IF(CT156="NO APLICA REGISTRO TA-INGRESO TARDIO",1,"")</formula>
    </cfRule>
  </conditionalFormatting>
  <conditionalFormatting sqref="CS156">
    <cfRule type="expression" dxfId="2731" priority="2997">
      <formula>IF(CT156="NO APLICA REGISTRO TA-INGRESO TARDIO",1,"")</formula>
    </cfRule>
  </conditionalFormatting>
  <conditionalFormatting sqref="FB203">
    <cfRule type="containsText" dxfId="2730" priority="2990" operator="containsText" text="RH NEGATIVO SIN COOMB">
      <formula>NOT(ISERROR(SEARCH("RH NEGATIVO SIN COOMB",FB203)))</formula>
    </cfRule>
    <cfRule type="containsText" dxfId="2729" priority="2991" operator="containsText" text="RH NEGATIVO CON COOMBS POSITIVO">
      <formula>NOT(ISERROR(SEARCH("RH NEGATIVO CON COOMBS POSITIVO",FB203)))</formula>
    </cfRule>
    <cfRule type="containsText" dxfId="2728" priority="2992" operator="containsText" text="RH NEGATIVO CON COOMBS NEGATIVO">
      <formula>NOT(ISERROR(SEARCH("RH NEGATIVO CON COOMBS NEGATIVO",FB203)))</formula>
    </cfRule>
    <cfRule type="containsText" dxfId="2727" priority="2993" operator="containsText" text="RH POSITIVO">
      <formula>NOT(ISERROR(SEARCH("RH POSITIVO",FB203)))</formula>
    </cfRule>
  </conditionalFormatting>
  <conditionalFormatting sqref="FB215">
    <cfRule type="containsText" dxfId="2726" priority="2986" operator="containsText" text="RH NEGATIVO SIN COOMB">
      <formula>NOT(ISERROR(SEARCH("RH NEGATIVO SIN COOMB",FB215)))</formula>
    </cfRule>
    <cfRule type="containsText" dxfId="2725" priority="2987" operator="containsText" text="RH NEGATIVO CON COOMBS POSITIVO">
      <formula>NOT(ISERROR(SEARCH("RH NEGATIVO CON COOMBS POSITIVO",FB215)))</formula>
    </cfRule>
    <cfRule type="containsText" dxfId="2724" priority="2988" operator="containsText" text="RH NEGATIVO CON COOMBS NEGATIVO">
      <formula>NOT(ISERROR(SEARCH("RH NEGATIVO CON COOMBS NEGATIVO",FB215)))</formula>
    </cfRule>
    <cfRule type="containsText" dxfId="2723" priority="2989" operator="containsText" text="RH POSITIVO">
      <formula>NOT(ISERROR(SEARCH("RH POSITIVO",FB215)))</formula>
    </cfRule>
  </conditionalFormatting>
  <conditionalFormatting sqref="AX216">
    <cfRule type="cellIs" dxfId="2722" priority="2983" operator="equal">
      <formula>"SD"</formula>
    </cfRule>
    <cfRule type="cellIs" dxfId="2721" priority="2984" operator="equal">
      <formula>"NO"</formula>
    </cfRule>
    <cfRule type="cellIs" dxfId="2720" priority="2985" operator="equal">
      <formula>"SI"</formula>
    </cfRule>
  </conditionalFormatting>
  <conditionalFormatting sqref="BK108">
    <cfRule type="cellIs" dxfId="2719" priority="2980" operator="equal">
      <formula>"SD"</formula>
    </cfRule>
    <cfRule type="cellIs" dxfId="2718" priority="2981" operator="equal">
      <formula>"NO"</formula>
    </cfRule>
    <cfRule type="cellIs" dxfId="2717" priority="2982" operator="equal">
      <formula>"SI"</formula>
    </cfRule>
  </conditionalFormatting>
  <conditionalFormatting sqref="BK165">
    <cfRule type="cellIs" dxfId="2716" priority="2974" operator="equal">
      <formula>"SD"</formula>
    </cfRule>
    <cfRule type="cellIs" dxfId="2715" priority="2975" operator="equal">
      <formula>"NO"</formula>
    </cfRule>
    <cfRule type="cellIs" dxfId="2714" priority="2976" operator="equal">
      <formula>"SI"</formula>
    </cfRule>
  </conditionalFormatting>
  <conditionalFormatting sqref="BK148">
    <cfRule type="cellIs" dxfId="2713" priority="2968" operator="equal">
      <formula>"SD"</formula>
    </cfRule>
    <cfRule type="cellIs" dxfId="2712" priority="2969" operator="equal">
      <formula>"NO"</formula>
    </cfRule>
    <cfRule type="cellIs" dxfId="2711" priority="2970" operator="equal">
      <formula>"SI"</formula>
    </cfRule>
  </conditionalFormatting>
  <conditionalFormatting sqref="BK145">
    <cfRule type="cellIs" dxfId="2710" priority="2962" operator="equal">
      <formula>"SD"</formula>
    </cfRule>
    <cfRule type="cellIs" dxfId="2709" priority="2963" operator="equal">
      <formula>"NO"</formula>
    </cfRule>
    <cfRule type="cellIs" dxfId="2708" priority="2964" operator="equal">
      <formula>"SI"</formula>
    </cfRule>
  </conditionalFormatting>
  <conditionalFormatting sqref="BK101">
    <cfRule type="cellIs" dxfId="2707" priority="2956" operator="equal">
      <formula>"SD"</formula>
    </cfRule>
    <cfRule type="cellIs" dxfId="2706" priority="2957" operator="equal">
      <formula>"NO"</formula>
    </cfRule>
    <cfRule type="cellIs" dxfId="2705" priority="2958" operator="equal">
      <formula>"SI"</formula>
    </cfRule>
  </conditionalFormatting>
  <conditionalFormatting sqref="BK171">
    <cfRule type="cellIs" dxfId="2704" priority="2950" operator="equal">
      <formula>"SD"</formula>
    </cfRule>
    <cfRule type="cellIs" dxfId="2703" priority="2951" operator="equal">
      <formula>"NO"</formula>
    </cfRule>
    <cfRule type="cellIs" dxfId="2702" priority="2952" operator="equal">
      <formula>"SI"</formula>
    </cfRule>
  </conditionalFormatting>
  <conditionalFormatting sqref="BK180">
    <cfRule type="cellIs" dxfId="2701" priority="2944" operator="equal">
      <formula>"SD"</formula>
    </cfRule>
    <cfRule type="cellIs" dxfId="2700" priority="2945" operator="equal">
      <formula>"NO"</formula>
    </cfRule>
    <cfRule type="cellIs" dxfId="2699" priority="2946" operator="equal">
      <formula>"SI"</formula>
    </cfRule>
  </conditionalFormatting>
  <conditionalFormatting sqref="BK133">
    <cfRule type="cellIs" dxfId="2698" priority="2938" operator="equal">
      <formula>"SD"</formula>
    </cfRule>
    <cfRule type="cellIs" dxfId="2697" priority="2939" operator="equal">
      <formula>"NO"</formula>
    </cfRule>
    <cfRule type="cellIs" dxfId="2696" priority="2940" operator="equal">
      <formula>"SI"</formula>
    </cfRule>
  </conditionalFormatting>
  <conditionalFormatting sqref="L126">
    <cfRule type="containsText" dxfId="2695" priority="2923" operator="containsText" text="Empleo informal">
      <formula>NOT(ISERROR(SEARCH("Empleo informal",L126)))</formula>
    </cfRule>
    <cfRule type="containsText" dxfId="2694" priority="2924" operator="containsText" text="Empleada formalmente con riesgo a tóxicos">
      <formula>NOT(ISERROR(SEARCH("Empleada formalmente con riesgo a tóxicos",L126)))</formula>
    </cfRule>
    <cfRule type="containsText" dxfId="2693" priority="2925" operator="containsText" text="Empleada formalmente con riesgo de accidente laboral">
      <formula>NOT(ISERROR(SEARCH("Empleada formalmente con riesgo de accidente laboral",L126)))</formula>
    </cfRule>
    <cfRule type="containsText" dxfId="2692" priority="2926" operator="containsText" text="Empleada formalmente por jornada laboral extensa">
      <formula>NOT(ISERROR(SEARCH("Empleada formalmente por jornada laboral extensa",L126)))</formula>
    </cfRule>
    <cfRule type="containsText" dxfId="2691" priority="2927" operator="containsText" text="Empleada formalmente sin riesgo">
      <formula>NOT(ISERROR(SEARCH("Empleada formalmente sin riesgo",L126)))</formula>
    </cfRule>
    <cfRule type="containsText" dxfId="2690" priority="2928" operator="containsText" text="Actualmente desempleada">
      <formula>NOT(ISERROR(SEARCH("Actualmente desempleada",L126)))</formula>
    </cfRule>
    <cfRule type="containsText" dxfId="2689" priority="2929" operator="containsText" text="Hogar sin apoyo">
      <formula>NOT(ISERROR(SEARCH("Hogar sin apoyo",L126)))</formula>
    </cfRule>
    <cfRule type="containsText" dxfId="2688" priority="2930" operator="containsText" text="Empleada formalmente sin riesgo">
      <formula>NOT(ISERROR(SEARCH("Empleada formalmente sin riesgo",L126)))</formula>
    </cfRule>
    <cfRule type="containsText" dxfId="2687" priority="2931" operator="containsText" text="Hogar Con apoyo">
      <formula>NOT(ISERROR(SEARCH("Hogar Con apoyo",L126)))</formula>
    </cfRule>
  </conditionalFormatting>
  <conditionalFormatting sqref="AC196">
    <cfRule type="containsText" dxfId="2686" priority="2919" operator="containsText" text="SABE">
      <formula>NOT(ISERROR(SEARCH("SABE",AC196)))</formula>
    </cfRule>
    <cfRule type="containsText" dxfId="2685" priority="2920" operator="containsText" text="SECUNDARIA">
      <formula>NOT(ISERROR(SEARCH("SECUNDARIA",AC196)))</formula>
    </cfRule>
    <cfRule type="containsText" dxfId="2684" priority="2921" operator="containsText" text="PRIMARIA INCOMPLETA">
      <formula>NOT(ISERROR(SEARCH("PRIMARIA INCOMPLETA",AC196)))</formula>
    </cfRule>
    <cfRule type="cellIs" dxfId="2683" priority="2922" operator="equal">
      <formula>"ANALFABETA"</formula>
    </cfRule>
  </conditionalFormatting>
  <conditionalFormatting sqref="L211">
    <cfRule type="containsText" dxfId="2682" priority="2907" operator="containsText" text="Empleo informal">
      <formula>NOT(ISERROR(SEARCH("Empleo informal",L211)))</formula>
    </cfRule>
    <cfRule type="containsText" dxfId="2681" priority="2908" operator="containsText" text="Empleada formalmente con riesgo a tóxicos">
      <formula>NOT(ISERROR(SEARCH("Empleada formalmente con riesgo a tóxicos",L211)))</formula>
    </cfRule>
    <cfRule type="containsText" dxfId="2680" priority="2909" operator="containsText" text="Empleada formalmente con riesgo de accidente laboral">
      <formula>NOT(ISERROR(SEARCH("Empleada formalmente con riesgo de accidente laboral",L211)))</formula>
    </cfRule>
    <cfRule type="containsText" dxfId="2679" priority="2910" operator="containsText" text="Empleada formalmente por jornada laboral extensa">
      <formula>NOT(ISERROR(SEARCH("Empleada formalmente por jornada laboral extensa",L211)))</formula>
    </cfRule>
    <cfRule type="containsText" dxfId="2678" priority="2911" operator="containsText" text="Empleada formalmente sin riesgo">
      <formula>NOT(ISERROR(SEARCH("Empleada formalmente sin riesgo",L211)))</formula>
    </cfRule>
    <cfRule type="containsText" dxfId="2677" priority="2912" operator="containsText" text="Actualmente desempleada">
      <formula>NOT(ISERROR(SEARCH("Actualmente desempleada",L211)))</formula>
    </cfRule>
    <cfRule type="containsText" dxfId="2676" priority="2913" operator="containsText" text="Hogar sin apoyo">
      <formula>NOT(ISERROR(SEARCH("Hogar sin apoyo",L211)))</formula>
    </cfRule>
    <cfRule type="containsText" dxfId="2675" priority="2914" operator="containsText" text="Empleada formalmente sin riesgo">
      <formula>NOT(ISERROR(SEARCH("Empleada formalmente sin riesgo",L211)))</formula>
    </cfRule>
    <cfRule type="containsText" dxfId="2674" priority="2915" operator="containsText" text="Hogar Con apoyo">
      <formula>NOT(ISERROR(SEARCH("Hogar Con apoyo",L211)))</formula>
    </cfRule>
  </conditionalFormatting>
  <conditionalFormatting sqref="BD211:BI211 AL211:BB211 AG211:AH211 AJ211 BK211:BM211">
    <cfRule type="cellIs" dxfId="2673" priority="2904" operator="equal">
      <formula>"SD"</formula>
    </cfRule>
    <cfRule type="cellIs" dxfId="2672" priority="2905" operator="equal">
      <formula>"NO"</formula>
    </cfRule>
    <cfRule type="cellIs" dxfId="2671" priority="2906" operator="equal">
      <formula>"SI"</formula>
    </cfRule>
  </conditionalFormatting>
  <conditionalFormatting sqref="AC211">
    <cfRule type="containsText" dxfId="2670" priority="2900" operator="containsText" text="SABE">
      <formula>NOT(ISERROR(SEARCH("SABE",AC211)))</formula>
    </cfRule>
    <cfRule type="containsText" dxfId="2669" priority="2901" operator="containsText" text="SECUNDARIA">
      <formula>NOT(ISERROR(SEARCH("SECUNDARIA",AC211)))</formula>
    </cfRule>
    <cfRule type="containsText" dxfId="2668" priority="2902" operator="containsText" text="PRIMARIA INCOMPLETA">
      <formula>NOT(ISERROR(SEARCH("PRIMARIA INCOMPLETA",AC211)))</formula>
    </cfRule>
    <cfRule type="cellIs" dxfId="2667" priority="2903" operator="equal">
      <formula>"ANALFABETA"</formula>
    </cfRule>
  </conditionalFormatting>
  <conditionalFormatting sqref="AW211">
    <cfRule type="cellIs" dxfId="2666" priority="2897" operator="equal">
      <formula>1</formula>
    </cfRule>
    <cfRule type="cellIs" dxfId="2665" priority="2898" operator="equal">
      <formula>"3 O MAS"</formula>
    </cfRule>
    <cfRule type="cellIs" dxfId="2664" priority="2899" operator="equal">
      <formula>2</formula>
    </cfRule>
  </conditionalFormatting>
  <conditionalFormatting sqref="AK211">
    <cfRule type="containsText" dxfId="2663" priority="2888" operator="containsText" text="COMPLETAR EVALUACIÓN">
      <formula>NOT(ISERROR(SEARCH("COMPLETAR EVALUACIÓN",AK211)))</formula>
    </cfRule>
    <cfRule type="containsText" dxfId="2662" priority="2895" operator="containsText" text="CON RIESGO">
      <formula>NOT(ISERROR(SEARCH("CON RIESGO",AK211)))</formula>
    </cfRule>
    <cfRule type="containsText" dxfId="2661" priority="2896" operator="containsText" text="SIN RIESGO">
      <formula>NOT(ISERROR(SEARCH("SIN RIESGO",AK211)))</formula>
    </cfRule>
  </conditionalFormatting>
  <conditionalFormatting sqref="AI211">
    <cfRule type="containsText" dxfId="2660" priority="2883" operator="containsText" text="HABITANTE DE CALLE">
      <formula>NOT(ISERROR(SEARCH("HABITANTE DE CALLE",AI211)))</formula>
    </cfRule>
    <cfRule type="containsText" dxfId="2659" priority="2891" operator="containsText" text="NINGUNO">
      <formula>NOT(ISERROR(SEARCH("NINGUNO",AI211)))</formula>
    </cfRule>
    <cfRule type="containsText" dxfId="2658" priority="2892" operator="containsText" text="MIGRATORIA">
      <formula>NOT(ISERROR(SEARCH("MIGRATORIA",AI211)))</formula>
    </cfRule>
    <cfRule type="containsText" dxfId="2657" priority="2893" operator="containsText" text="DISCAPACIDAD">
      <formula>NOT(ISERROR(SEARCH("DISCAPACIDAD",AI211)))</formula>
    </cfRule>
    <cfRule type="containsText" dxfId="2656" priority="2894" operator="containsText" text="DESPLAZADA">
      <formula>NOT(ISERROR(SEARCH("DESPLAZADA",AI211)))</formula>
    </cfRule>
  </conditionalFormatting>
  <conditionalFormatting sqref="AE211:AF211">
    <cfRule type="containsText" dxfId="2655" priority="2889" operator="containsText" text="NO">
      <formula>NOT(ISERROR(SEARCH("NO",AE211)))</formula>
    </cfRule>
    <cfRule type="containsText" dxfId="2654" priority="2890" operator="containsText" text="SI">
      <formula>NOT(ISERROR(SEARCH("SI",AE211)))</formula>
    </cfRule>
  </conditionalFormatting>
  <conditionalFormatting sqref="BE211">
    <cfRule type="expression" dxfId="2653" priority="2884">
      <formula>IF(AND(FA211&gt;=126,FC211&lt;24),1,0)</formula>
    </cfRule>
  </conditionalFormatting>
  <conditionalFormatting sqref="BC211">
    <cfRule type="cellIs" dxfId="2652" priority="2880" operator="equal">
      <formula>"SD"</formula>
    </cfRule>
    <cfRule type="cellIs" dxfId="2651" priority="2881" operator="equal">
      <formula>"NO"</formula>
    </cfRule>
    <cfRule type="cellIs" dxfId="2650" priority="2882" operator="equal">
      <formula>"SI"</formula>
    </cfRule>
  </conditionalFormatting>
  <conditionalFormatting sqref="L212">
    <cfRule type="containsText" dxfId="2649" priority="2868" operator="containsText" text="Empleo informal">
      <formula>NOT(ISERROR(SEARCH("Empleo informal",L212)))</formula>
    </cfRule>
    <cfRule type="containsText" dxfId="2648" priority="2869" operator="containsText" text="Empleada formalmente con riesgo a tóxicos">
      <formula>NOT(ISERROR(SEARCH("Empleada formalmente con riesgo a tóxicos",L212)))</formula>
    </cfRule>
    <cfRule type="containsText" dxfId="2647" priority="2870" operator="containsText" text="Empleada formalmente con riesgo de accidente laboral">
      <formula>NOT(ISERROR(SEARCH("Empleada formalmente con riesgo de accidente laboral",L212)))</formula>
    </cfRule>
    <cfRule type="containsText" dxfId="2646" priority="2871" operator="containsText" text="Empleada formalmente por jornada laboral extensa">
      <formula>NOT(ISERROR(SEARCH("Empleada formalmente por jornada laboral extensa",L212)))</formula>
    </cfRule>
    <cfRule type="containsText" dxfId="2645" priority="2872" operator="containsText" text="Empleada formalmente sin riesgo">
      <formula>NOT(ISERROR(SEARCH("Empleada formalmente sin riesgo",L212)))</formula>
    </cfRule>
    <cfRule type="containsText" dxfId="2644" priority="2873" operator="containsText" text="Actualmente desempleada">
      <formula>NOT(ISERROR(SEARCH("Actualmente desempleada",L212)))</formula>
    </cfRule>
    <cfRule type="containsText" dxfId="2643" priority="2874" operator="containsText" text="Hogar sin apoyo">
      <formula>NOT(ISERROR(SEARCH("Hogar sin apoyo",L212)))</formula>
    </cfRule>
    <cfRule type="containsText" dxfId="2642" priority="2875" operator="containsText" text="Empleada formalmente sin riesgo">
      <formula>NOT(ISERROR(SEARCH("Empleada formalmente sin riesgo",L212)))</formula>
    </cfRule>
    <cfRule type="containsText" dxfId="2641" priority="2876" operator="containsText" text="Hogar Con apoyo">
      <formula>NOT(ISERROR(SEARCH("Hogar Con apoyo",L212)))</formula>
    </cfRule>
  </conditionalFormatting>
  <conditionalFormatting sqref="BD212:BI212 AL212:BB212 AJ212 AG212:AH212 BK212:BM212">
    <cfRule type="cellIs" dxfId="2640" priority="2865" operator="equal">
      <formula>"SD"</formula>
    </cfRule>
    <cfRule type="cellIs" dxfId="2639" priority="2866" operator="equal">
      <formula>"NO"</formula>
    </cfRule>
    <cfRule type="cellIs" dxfId="2638" priority="2867" operator="equal">
      <formula>"SI"</formula>
    </cfRule>
  </conditionalFormatting>
  <conditionalFormatting sqref="P212">
    <cfRule type="containsText" dxfId="2637" priority="2861" operator="containsText" text="SI">
      <formula>NOT(ISERROR(SEARCH("SI",P212)))</formula>
    </cfRule>
    <cfRule type="containsText" dxfId="2636" priority="2862" operator="containsText" text="NO">
      <formula>NOT(ISERROR(SEARCH("NO",P212)))</formula>
    </cfRule>
    <cfRule type="containsText" dxfId="2635" priority="2863" operator="containsText" text="NA">
      <formula>NOT(ISERROR(SEARCH("NA",P212)))</formula>
    </cfRule>
  </conditionalFormatting>
  <conditionalFormatting sqref="Q212">
    <cfRule type="containsText" dxfId="2634" priority="2837" operator="containsText" text="SE TRASLADO DE EPS">
      <formula>NOT(ISERROR(SEARCH("SE TRASLADO DE EPS",Q212)))</formula>
    </cfRule>
    <cfRule type="containsText" dxfId="2633" priority="2856" operator="containsText" text="NOVEDAD">
      <formula>NOT(ISERROR(SEARCH("NOVEDAD",Q212)))</formula>
    </cfRule>
    <cfRule type="containsText" dxfId="2632" priority="2857" operator="containsText" text="IDENTIDAD">
      <formula>NOT(ISERROR(SEARCH("IDENTIDAD",Q212)))</formula>
    </cfRule>
    <cfRule type="containsText" dxfId="2631" priority="2858" operator="containsText" text="CPN">
      <formula>NOT(ISERROR(SEARCH("CPN",Q212)))</formula>
    </cfRule>
    <cfRule type="containsText" dxfId="2630" priority="2859" operator="containsText" text="VIENE">
      <formula>NOT(ISERROR(SEARCH("VIENE",Q212)))</formula>
    </cfRule>
    <cfRule type="cellIs" dxfId="2629" priority="2860" operator="equal">
      <formula>"TRAMITE DE PORTABILIDAD"</formula>
    </cfRule>
  </conditionalFormatting>
  <conditionalFormatting sqref="AC212">
    <cfRule type="containsText" dxfId="2628" priority="2852" operator="containsText" text="SABE">
      <formula>NOT(ISERROR(SEARCH("SABE",AC212)))</formula>
    </cfRule>
    <cfRule type="containsText" dxfId="2627" priority="2853" operator="containsText" text="SECUNDARIA">
      <formula>NOT(ISERROR(SEARCH("SECUNDARIA",AC212)))</formula>
    </cfRule>
    <cfRule type="containsText" dxfId="2626" priority="2854" operator="containsText" text="PRIMARIA INCOMPLETA">
      <formula>NOT(ISERROR(SEARCH("PRIMARIA INCOMPLETA",AC212)))</formula>
    </cfRule>
    <cfRule type="cellIs" dxfId="2625" priority="2855" operator="equal">
      <formula>"ANALFABETA"</formula>
    </cfRule>
  </conditionalFormatting>
  <conditionalFormatting sqref="AW212">
    <cfRule type="cellIs" dxfId="2624" priority="2849" operator="equal">
      <formula>1</formula>
    </cfRule>
    <cfRule type="cellIs" dxfId="2623" priority="2850" operator="equal">
      <formula>"3 O MAS"</formula>
    </cfRule>
    <cfRule type="cellIs" dxfId="2622" priority="2851" operator="equal">
      <formula>2</formula>
    </cfRule>
  </conditionalFormatting>
  <conditionalFormatting sqref="BP212">
    <cfRule type="cellIs" dxfId="2621" priority="2828" operator="equal">
      <formula>"NO"</formula>
    </cfRule>
    <cfRule type="cellIs" dxfId="2620" priority="2846" operator="equal">
      <formula>"SI"</formula>
    </cfRule>
    <cfRule type="cellIs" dxfId="2619" priority="2847" operator="equal">
      <formula>"CORREGIDA"</formula>
    </cfRule>
    <cfRule type="expression" dxfId="2618" priority="2848">
      <formula>IF(AND($BX212&gt;=1,$BX212&lt;21,RY212=1),1,0)</formula>
    </cfRule>
  </conditionalFormatting>
  <conditionalFormatting sqref="AK212">
    <cfRule type="containsText" dxfId="2617" priority="2834" operator="containsText" text="COMPLETAR EVALUACIÓN">
      <formula>NOT(ISERROR(SEARCH("COMPLETAR EVALUACIÓN",AK212)))</formula>
    </cfRule>
    <cfRule type="containsText" dxfId="2616" priority="2844" operator="containsText" text="CON RIESGO">
      <formula>NOT(ISERROR(SEARCH("CON RIESGO",AK212)))</formula>
    </cfRule>
    <cfRule type="containsText" dxfId="2615" priority="2845" operator="containsText" text="SIN RIESGO">
      <formula>NOT(ISERROR(SEARCH("SIN RIESGO",AK212)))</formula>
    </cfRule>
  </conditionalFormatting>
  <conditionalFormatting sqref="AI212">
    <cfRule type="containsText" dxfId="2614" priority="2829" operator="containsText" text="HABITANTE DE CALLE">
      <formula>NOT(ISERROR(SEARCH("HABITANTE DE CALLE",AI212)))</formula>
    </cfRule>
    <cfRule type="containsText" dxfId="2613" priority="2840" operator="containsText" text="NINGUNO">
      <formula>NOT(ISERROR(SEARCH("NINGUNO",AI212)))</formula>
    </cfRule>
    <cfRule type="containsText" dxfId="2612" priority="2841" operator="containsText" text="MIGRATORIA">
      <formula>NOT(ISERROR(SEARCH("MIGRATORIA",AI212)))</formula>
    </cfRule>
    <cfRule type="containsText" dxfId="2611" priority="2842" operator="containsText" text="DISCAPACIDAD">
      <formula>NOT(ISERROR(SEARCH("DISCAPACIDAD",AI212)))</formula>
    </cfRule>
    <cfRule type="containsText" dxfId="2610" priority="2843" operator="containsText" text="DESPLAZADA">
      <formula>NOT(ISERROR(SEARCH("DESPLAZADA",AI212)))</formula>
    </cfRule>
  </conditionalFormatting>
  <conditionalFormatting sqref="Q212">
    <cfRule type="containsText" dxfId="2609" priority="2838" operator="containsText" text="INMIGRANTE VENEZOLANA">
      <formula>NOT(ISERROR(SEARCH("INMIGRANTE VENEZOLANA",Q212)))</formula>
    </cfRule>
    <cfRule type="containsText" dxfId="2608" priority="2839" operator="containsText" text="SIN AFILIACIÓN A EPS">
      <formula>NOT(ISERROR(SEARCH("SIN AFILIACIÓN A EPS",Q212)))</formula>
    </cfRule>
  </conditionalFormatting>
  <conditionalFormatting sqref="AE212:AF212">
    <cfRule type="containsText" dxfId="2607" priority="2835" operator="containsText" text="NO">
      <formula>NOT(ISERROR(SEARCH("NO",AE212)))</formula>
    </cfRule>
    <cfRule type="containsText" dxfId="2606" priority="2836" operator="containsText" text="SI">
      <formula>NOT(ISERROR(SEARCH("SI",AE212)))</formula>
    </cfRule>
  </conditionalFormatting>
  <conditionalFormatting sqref="BE212">
    <cfRule type="expression" dxfId="2605" priority="2830">
      <formula>IF(AND(FA212&gt;=126,FC212&lt;24),1,0)</formula>
    </cfRule>
  </conditionalFormatting>
  <conditionalFormatting sqref="BC212">
    <cfRule type="cellIs" dxfId="2604" priority="2825" operator="equal">
      <formula>"SD"</formula>
    </cfRule>
    <cfRule type="cellIs" dxfId="2603" priority="2826" operator="equal">
      <formula>"NO"</formula>
    </cfRule>
    <cfRule type="cellIs" dxfId="2602" priority="2827" operator="equal">
      <formula>"SI"</formula>
    </cfRule>
  </conditionalFormatting>
  <conditionalFormatting sqref="AC153">
    <cfRule type="containsText" dxfId="2601" priority="2821" operator="containsText" text="SABE">
      <formula>NOT(ISERROR(SEARCH("SABE",AC153)))</formula>
    </cfRule>
    <cfRule type="containsText" dxfId="2600" priority="2822" operator="containsText" text="SECUNDARIA">
      <formula>NOT(ISERROR(SEARCH("SECUNDARIA",AC153)))</formula>
    </cfRule>
    <cfRule type="containsText" dxfId="2599" priority="2823" operator="containsText" text="PRIMARIA INCOMPLETA">
      <formula>NOT(ISERROR(SEARCH("PRIMARIA INCOMPLETA",AC153)))</formula>
    </cfRule>
    <cfRule type="cellIs" dxfId="2598" priority="2824" operator="equal">
      <formula>"ANALFABETA"</formula>
    </cfRule>
  </conditionalFormatting>
  <conditionalFormatting sqref="L176">
    <cfRule type="containsText" dxfId="2597" priority="2809" operator="containsText" text="Empleo informal">
      <formula>NOT(ISERROR(SEARCH("Empleo informal",L176)))</formula>
    </cfRule>
    <cfRule type="containsText" dxfId="2596" priority="2810" operator="containsText" text="Empleada formalmente con riesgo a tóxicos">
      <formula>NOT(ISERROR(SEARCH("Empleada formalmente con riesgo a tóxicos",L176)))</formula>
    </cfRule>
    <cfRule type="containsText" dxfId="2595" priority="2811" operator="containsText" text="Empleada formalmente con riesgo de accidente laboral">
      <formula>NOT(ISERROR(SEARCH("Empleada formalmente con riesgo de accidente laboral",L176)))</formula>
    </cfRule>
    <cfRule type="containsText" dxfId="2594" priority="2812" operator="containsText" text="Empleada formalmente por jornada laboral extensa">
      <formula>NOT(ISERROR(SEARCH("Empleada formalmente por jornada laboral extensa",L176)))</formula>
    </cfRule>
    <cfRule type="containsText" dxfId="2593" priority="2813" operator="containsText" text="Empleada formalmente sin riesgo">
      <formula>NOT(ISERROR(SEARCH("Empleada formalmente sin riesgo",L176)))</formula>
    </cfRule>
    <cfRule type="containsText" dxfId="2592" priority="2814" operator="containsText" text="Actualmente desempleada">
      <formula>NOT(ISERROR(SEARCH("Actualmente desempleada",L176)))</formula>
    </cfRule>
    <cfRule type="containsText" dxfId="2591" priority="2815" operator="containsText" text="Hogar sin apoyo">
      <formula>NOT(ISERROR(SEARCH("Hogar sin apoyo",L176)))</formula>
    </cfRule>
    <cfRule type="containsText" dxfId="2590" priority="2816" operator="containsText" text="Empleada formalmente sin riesgo">
      <formula>NOT(ISERROR(SEARCH("Empleada formalmente sin riesgo",L176)))</formula>
    </cfRule>
    <cfRule type="containsText" dxfId="2589" priority="2817" operator="containsText" text="Hogar Con apoyo">
      <formula>NOT(ISERROR(SEARCH("Hogar Con apoyo",L176)))</formula>
    </cfRule>
  </conditionalFormatting>
  <conditionalFormatting sqref="L236">
    <cfRule type="containsText" dxfId="2588" priority="2800" operator="containsText" text="Empleo informal">
      <formula>NOT(ISERROR(SEARCH("Empleo informal",L236)))</formula>
    </cfRule>
    <cfRule type="containsText" dxfId="2587" priority="2801" operator="containsText" text="Empleada formalmente con riesgo a tóxicos">
      <formula>NOT(ISERROR(SEARCH("Empleada formalmente con riesgo a tóxicos",L236)))</formula>
    </cfRule>
    <cfRule type="containsText" dxfId="2586" priority="2802" operator="containsText" text="Empleada formalmente con riesgo de accidente laboral">
      <formula>NOT(ISERROR(SEARCH("Empleada formalmente con riesgo de accidente laboral",L236)))</formula>
    </cfRule>
    <cfRule type="containsText" dxfId="2585" priority="2803" operator="containsText" text="Empleada formalmente por jornada laboral extensa">
      <formula>NOT(ISERROR(SEARCH("Empleada formalmente por jornada laboral extensa",L236)))</formula>
    </cfRule>
    <cfRule type="containsText" dxfId="2584" priority="2804" operator="containsText" text="Empleada formalmente sin riesgo">
      <formula>NOT(ISERROR(SEARCH("Empleada formalmente sin riesgo",L236)))</formula>
    </cfRule>
    <cfRule type="containsText" dxfId="2583" priority="2805" operator="containsText" text="Actualmente desempleada">
      <formula>NOT(ISERROR(SEARCH("Actualmente desempleada",L236)))</formula>
    </cfRule>
    <cfRule type="containsText" dxfId="2582" priority="2806" operator="containsText" text="Hogar sin apoyo">
      <formula>NOT(ISERROR(SEARCH("Hogar sin apoyo",L236)))</formula>
    </cfRule>
    <cfRule type="containsText" dxfId="2581" priority="2807" operator="containsText" text="Empleada formalmente sin riesgo">
      <formula>NOT(ISERROR(SEARCH("Empleada formalmente sin riesgo",L236)))</formula>
    </cfRule>
    <cfRule type="containsText" dxfId="2580" priority="2808" operator="containsText" text="Hogar Con apoyo">
      <formula>NOT(ISERROR(SEARCH("Hogar Con apoyo",L236)))</formula>
    </cfRule>
  </conditionalFormatting>
  <conditionalFormatting sqref="AC236">
    <cfRule type="containsText" dxfId="2579" priority="2796" operator="containsText" text="SABE">
      <formula>NOT(ISERROR(SEARCH("SABE",AC236)))</formula>
    </cfRule>
    <cfRule type="containsText" dxfId="2578" priority="2797" operator="containsText" text="SECUNDARIA">
      <formula>NOT(ISERROR(SEARCH("SECUNDARIA",AC236)))</formula>
    </cfRule>
    <cfRule type="containsText" dxfId="2577" priority="2798" operator="containsText" text="PRIMARIA INCOMPLETA">
      <formula>NOT(ISERROR(SEARCH("PRIMARIA INCOMPLETA",AC236)))</formula>
    </cfRule>
    <cfRule type="cellIs" dxfId="2576" priority="2799" operator="equal">
      <formula>"ANALFABETA"</formula>
    </cfRule>
  </conditionalFormatting>
  <conditionalFormatting sqref="AL236:AR236">
    <cfRule type="cellIs" dxfId="2575" priority="2793" operator="equal">
      <formula>"SD"</formula>
    </cfRule>
    <cfRule type="cellIs" dxfId="2574" priority="2794" operator="equal">
      <formula>"NO"</formula>
    </cfRule>
    <cfRule type="cellIs" dxfId="2573" priority="2795" operator="equal">
      <formula>"SI"</formula>
    </cfRule>
  </conditionalFormatting>
  <conditionalFormatting sqref="AK236">
    <cfRule type="containsText" dxfId="2572" priority="2790" operator="containsText" text="COMPLETAR EVALUACIÓN">
      <formula>NOT(ISERROR(SEARCH("COMPLETAR EVALUACIÓN",AK236)))</formula>
    </cfRule>
    <cfRule type="containsText" dxfId="2571" priority="2791" operator="containsText" text="CON RIESGO">
      <formula>NOT(ISERROR(SEARCH("CON RIESGO",AK236)))</formula>
    </cfRule>
    <cfRule type="containsText" dxfId="2570" priority="2792" operator="containsText" text="SIN RIESGO">
      <formula>NOT(ISERROR(SEARCH("SIN RIESGO",AK236)))</formula>
    </cfRule>
  </conditionalFormatting>
  <conditionalFormatting sqref="AE236">
    <cfRule type="containsText" dxfId="2569" priority="2788" operator="containsText" text="NO">
      <formula>NOT(ISERROR(SEARCH("NO",AE236)))</formula>
    </cfRule>
    <cfRule type="containsText" dxfId="2568" priority="2789" operator="containsText" text="SI">
      <formula>NOT(ISERROR(SEARCH("SI",AE236)))</formula>
    </cfRule>
  </conditionalFormatting>
  <conditionalFormatting sqref="AG236:AH236">
    <cfRule type="cellIs" dxfId="2567" priority="2782" operator="equal">
      <formula>"SD"</formula>
    </cfRule>
    <cfRule type="cellIs" dxfId="2566" priority="2783" operator="equal">
      <formula>"NO"</formula>
    </cfRule>
    <cfRule type="cellIs" dxfId="2565" priority="2784" operator="equal">
      <formula>"SI"</formula>
    </cfRule>
  </conditionalFormatting>
  <conditionalFormatting sqref="AI236">
    <cfRule type="containsText" dxfId="2564" priority="2775" operator="containsText" text="HABITANTE DE CALLE">
      <formula>NOT(ISERROR(SEARCH("HABITANTE DE CALLE",AI236)))</formula>
    </cfRule>
    <cfRule type="containsText" dxfId="2563" priority="2778" operator="containsText" text="NINGUNO">
      <formula>NOT(ISERROR(SEARCH("NINGUNO",AI236)))</formula>
    </cfRule>
    <cfRule type="containsText" dxfId="2562" priority="2779" operator="containsText" text="MIGRATORIA">
      <formula>NOT(ISERROR(SEARCH("MIGRATORIA",AI236)))</formula>
    </cfRule>
    <cfRule type="containsText" dxfId="2561" priority="2780" operator="containsText" text="DISCAPACIDAD">
      <formula>NOT(ISERROR(SEARCH("DISCAPACIDAD",AI236)))</formula>
    </cfRule>
    <cfRule type="containsText" dxfId="2560" priority="2781" operator="containsText" text="DESPLAZADA">
      <formula>NOT(ISERROR(SEARCH("DESPLAZADA",AI236)))</formula>
    </cfRule>
  </conditionalFormatting>
  <conditionalFormatting sqref="AF236">
    <cfRule type="containsText" dxfId="2559" priority="2776" operator="containsText" text="NO">
      <formula>NOT(ISERROR(SEARCH("NO",AF236)))</formula>
    </cfRule>
    <cfRule type="containsText" dxfId="2558" priority="2777" operator="containsText" text="SI">
      <formula>NOT(ISERROR(SEARCH("SI",AF236)))</formula>
    </cfRule>
  </conditionalFormatting>
  <conditionalFormatting sqref="AJ236">
    <cfRule type="cellIs" dxfId="2557" priority="2772" operator="equal">
      <formula>"SD"</formula>
    </cfRule>
    <cfRule type="cellIs" dxfId="2556" priority="2773" operator="equal">
      <formula>"NO"</formula>
    </cfRule>
    <cfRule type="cellIs" dxfId="2555" priority="2774" operator="equal">
      <formula>"SI"</formula>
    </cfRule>
  </conditionalFormatting>
  <conditionalFormatting sqref="AX236 BA236">
    <cfRule type="cellIs" dxfId="2554" priority="2769" operator="equal">
      <formula>"SD"</formula>
    </cfRule>
    <cfRule type="cellIs" dxfId="2553" priority="2770" operator="equal">
      <formula>"NO"</formula>
    </cfRule>
    <cfRule type="cellIs" dxfId="2552" priority="2771" operator="equal">
      <formula>"SI"</formula>
    </cfRule>
  </conditionalFormatting>
  <conditionalFormatting sqref="AY236">
    <cfRule type="containsText" dxfId="2551" priority="2764" operator="containsText" text="SD">
      <formula>NOT(ISERROR(SEARCH("SD",AY236)))</formula>
    </cfRule>
    <cfRule type="containsText" dxfId="2550" priority="2765" operator="containsText" text="SI, NO CONTROLADA">
      <formula>NOT(ISERROR(SEARCH("SI, NO CONTROLADA",AY236)))</formula>
    </cfRule>
    <cfRule type="containsText" dxfId="2549" priority="2766" operator="containsText" text="SI, SIN MANEJO">
      <formula>NOT(ISERROR(SEARCH("SI, SIN MANEJO",AY236)))</formula>
    </cfRule>
    <cfRule type="containsText" dxfId="2548" priority="2767" operator="containsText" text="SI, CONTROLADA">
      <formula>NOT(ISERROR(SEARCH("SI, CONTROLADA",AY236)))</formula>
    </cfRule>
    <cfRule type="containsText" dxfId="2547" priority="2768" operator="containsText" text="NO">
      <formula>NOT(ISERROR(SEARCH("NO",AY236)))</formula>
    </cfRule>
  </conditionalFormatting>
  <conditionalFormatting sqref="AZ236">
    <cfRule type="containsText" dxfId="2546" priority="2759" operator="containsText" text="SD">
      <formula>NOT(ISERROR(SEARCH("SD",AZ236)))</formula>
    </cfRule>
    <cfRule type="containsText" dxfId="2545" priority="2760" operator="containsText" text="SI, NO CONTROLADA">
      <formula>NOT(ISERROR(SEARCH("SI, NO CONTROLADA",AZ236)))</formula>
    </cfRule>
    <cfRule type="containsText" dxfId="2544" priority="2761" operator="containsText" text="SI, SIN MANEJO">
      <formula>NOT(ISERROR(SEARCH("SI, SIN MANEJO",AZ236)))</formula>
    </cfRule>
    <cfRule type="containsText" dxfId="2543" priority="2762" operator="containsText" text="SI, CONTROLADA">
      <formula>NOT(ISERROR(SEARCH("SI, CONTROLADA",AZ236)))</formula>
    </cfRule>
    <cfRule type="containsText" dxfId="2542" priority="2763" operator="containsText" text="NO">
      <formula>NOT(ISERROR(SEARCH("NO",AZ236)))</formula>
    </cfRule>
  </conditionalFormatting>
  <conditionalFormatting sqref="BB236">
    <cfRule type="cellIs" dxfId="2541" priority="2756" operator="equal">
      <formula>"SD"</formula>
    </cfRule>
    <cfRule type="cellIs" dxfId="2540" priority="2757" operator="equal">
      <formula>"NO"</formula>
    </cfRule>
    <cfRule type="cellIs" dxfId="2539" priority="2758" operator="equal">
      <formula>"SI"</formula>
    </cfRule>
  </conditionalFormatting>
  <conditionalFormatting sqref="BC236">
    <cfRule type="cellIs" dxfId="2538" priority="2753" operator="equal">
      <formula>"SD"</formula>
    </cfRule>
    <cfRule type="cellIs" dxfId="2537" priority="2754" operator="equal">
      <formula>"NO"</formula>
    </cfRule>
    <cfRule type="cellIs" dxfId="2536" priority="2755" operator="equal">
      <formula>"SI"</formula>
    </cfRule>
  </conditionalFormatting>
  <conditionalFormatting sqref="BF236">
    <cfRule type="cellIs" dxfId="2535" priority="2750" operator="equal">
      <formula>"SD"</formula>
    </cfRule>
    <cfRule type="cellIs" dxfId="2534" priority="2751" operator="equal">
      <formula>"NO"</formula>
    </cfRule>
    <cfRule type="cellIs" dxfId="2533" priority="2752" operator="equal">
      <formula>"SI"</formula>
    </cfRule>
  </conditionalFormatting>
  <conditionalFormatting sqref="BD236:BE236">
    <cfRule type="cellIs" dxfId="2532" priority="2747" operator="equal">
      <formula>"SD"</formula>
    </cfRule>
    <cfRule type="cellIs" dxfId="2531" priority="2748" operator="equal">
      <formula>"NO"</formula>
    </cfRule>
    <cfRule type="cellIs" dxfId="2530" priority="2749" operator="equal">
      <formula>"SI"</formula>
    </cfRule>
  </conditionalFormatting>
  <conditionalFormatting sqref="BE236">
    <cfRule type="expression" dxfId="2529" priority="2746">
      <formula>IF(AND(FA236&gt;=126,FC236&lt;24),1,0)</formula>
    </cfRule>
  </conditionalFormatting>
  <conditionalFormatting sqref="BG236">
    <cfRule type="cellIs" dxfId="2528" priority="2743" operator="equal">
      <formula>"SD"</formula>
    </cfRule>
    <cfRule type="cellIs" dxfId="2527" priority="2744" operator="equal">
      <formula>"NO"</formula>
    </cfRule>
    <cfRule type="cellIs" dxfId="2526" priority="2745" operator="equal">
      <formula>"SI"</formula>
    </cfRule>
  </conditionalFormatting>
  <conditionalFormatting sqref="BH236">
    <cfRule type="cellIs" dxfId="2525" priority="2740" operator="equal">
      <formula>"SD"</formula>
    </cfRule>
    <cfRule type="cellIs" dxfId="2524" priority="2741" operator="equal">
      <formula>"NO"</formula>
    </cfRule>
    <cfRule type="cellIs" dxfId="2523" priority="2742" operator="equal">
      <formula>"SI"</formula>
    </cfRule>
  </conditionalFormatting>
  <conditionalFormatting sqref="BI236">
    <cfRule type="cellIs" dxfId="2522" priority="2737" operator="equal">
      <formula>"SD"</formula>
    </cfRule>
    <cfRule type="cellIs" dxfId="2521" priority="2738" operator="equal">
      <formula>"NO"</formula>
    </cfRule>
    <cfRule type="cellIs" dxfId="2520" priority="2739" operator="equal">
      <formula>"SI"</formula>
    </cfRule>
  </conditionalFormatting>
  <conditionalFormatting sqref="BJ236">
    <cfRule type="cellIs" dxfId="2519" priority="2734" operator="equal">
      <formula>"SD"</formula>
    </cfRule>
    <cfRule type="cellIs" dxfId="2518" priority="2735" operator="equal">
      <formula>"NO"</formula>
    </cfRule>
    <cfRule type="cellIs" dxfId="2517" priority="2736" operator="equal">
      <formula>"SI"</formula>
    </cfRule>
  </conditionalFormatting>
  <conditionalFormatting sqref="BL236:BM236">
    <cfRule type="cellIs" dxfId="2516" priority="2731" operator="equal">
      <formula>"SD"</formula>
    </cfRule>
    <cfRule type="cellIs" dxfId="2515" priority="2732" operator="equal">
      <formula>"NO"</formula>
    </cfRule>
    <cfRule type="cellIs" dxfId="2514" priority="2733" operator="equal">
      <formula>"SI"</formula>
    </cfRule>
  </conditionalFormatting>
  <conditionalFormatting sqref="BK236">
    <cfRule type="cellIs" dxfId="2513" priority="2728" operator="equal">
      <formula>"SD"</formula>
    </cfRule>
    <cfRule type="cellIs" dxfId="2512" priority="2729" operator="equal">
      <formula>"NO"</formula>
    </cfRule>
    <cfRule type="cellIs" dxfId="2511" priority="2730" operator="equal">
      <formula>"SI"</formula>
    </cfRule>
  </conditionalFormatting>
  <conditionalFormatting sqref="FB236">
    <cfRule type="containsText" dxfId="2510" priority="2724" operator="containsText" text="RH NEGATIVO SIN COOMB">
      <formula>NOT(ISERROR(SEARCH("RH NEGATIVO SIN COOMB",FB236)))</formula>
    </cfRule>
    <cfRule type="containsText" dxfId="2509" priority="2725" operator="containsText" text="RH NEGATIVO CON COOMBS POSITIVO">
      <formula>NOT(ISERROR(SEARCH("RH NEGATIVO CON COOMBS POSITIVO",FB236)))</formula>
    </cfRule>
    <cfRule type="containsText" dxfId="2508" priority="2726" operator="containsText" text="RH NEGATIVO CON COOMBS NEGATIVO">
      <formula>NOT(ISERROR(SEARCH("RH NEGATIVO CON COOMBS NEGATIVO",FB236)))</formula>
    </cfRule>
    <cfRule type="containsText" dxfId="2507" priority="2727" operator="containsText" text="RH POSITIVO">
      <formula>NOT(ISERROR(SEARCH("RH POSITIVO",FB236)))</formula>
    </cfRule>
  </conditionalFormatting>
  <conditionalFormatting sqref="FB223">
    <cfRule type="containsText" dxfId="2506" priority="2720" operator="containsText" text="RH NEGATIVO SIN COOMB">
      <formula>NOT(ISERROR(SEARCH("RH NEGATIVO SIN COOMB",FB223)))</formula>
    </cfRule>
    <cfRule type="containsText" dxfId="2505" priority="2721" operator="containsText" text="RH NEGATIVO CON COOMBS POSITIVO">
      <formula>NOT(ISERROR(SEARCH("RH NEGATIVO CON COOMBS POSITIVO",FB223)))</formula>
    </cfRule>
    <cfRule type="containsText" dxfId="2504" priority="2722" operator="containsText" text="RH NEGATIVO CON COOMBS NEGATIVO">
      <formula>NOT(ISERROR(SEARCH("RH NEGATIVO CON COOMBS NEGATIVO",FB223)))</formula>
    </cfRule>
    <cfRule type="containsText" dxfId="2503" priority="2723" operator="containsText" text="RH POSITIVO">
      <formula>NOT(ISERROR(SEARCH("RH POSITIVO",FB223)))</formula>
    </cfRule>
  </conditionalFormatting>
  <conditionalFormatting sqref="BK147">
    <cfRule type="cellIs" dxfId="2502" priority="2709" operator="equal">
      <formula>"SD"</formula>
    </cfRule>
    <cfRule type="cellIs" dxfId="2501" priority="2710" operator="equal">
      <formula>"NO"</formula>
    </cfRule>
    <cfRule type="cellIs" dxfId="2500" priority="2711" operator="equal">
      <formula>"SI"</formula>
    </cfRule>
  </conditionalFormatting>
  <conditionalFormatting sqref="BK154">
    <cfRule type="cellIs" dxfId="2499" priority="2700" operator="equal">
      <formula>"SD"</formula>
    </cfRule>
    <cfRule type="cellIs" dxfId="2498" priority="2701" operator="equal">
      <formula>"NO"</formula>
    </cfRule>
    <cfRule type="cellIs" dxfId="2497" priority="2702" operator="equal">
      <formula>"SI"</formula>
    </cfRule>
  </conditionalFormatting>
  <conditionalFormatting sqref="L151">
    <cfRule type="containsText" dxfId="2496" priority="2691" operator="containsText" text="Empleo informal">
      <formula>NOT(ISERROR(SEARCH("Empleo informal",L151)))</formula>
    </cfRule>
    <cfRule type="containsText" dxfId="2495" priority="2692" operator="containsText" text="Empleada formalmente con riesgo a tóxicos">
      <formula>NOT(ISERROR(SEARCH("Empleada formalmente con riesgo a tóxicos",L151)))</formula>
    </cfRule>
    <cfRule type="containsText" dxfId="2494" priority="2693" operator="containsText" text="Empleada formalmente con riesgo de accidente laboral">
      <formula>NOT(ISERROR(SEARCH("Empleada formalmente con riesgo de accidente laboral",L151)))</formula>
    </cfRule>
    <cfRule type="containsText" dxfId="2493" priority="2694" operator="containsText" text="Empleada formalmente por jornada laboral extensa">
      <formula>NOT(ISERROR(SEARCH("Empleada formalmente por jornada laboral extensa",L151)))</formula>
    </cfRule>
    <cfRule type="containsText" dxfId="2492" priority="2695" operator="containsText" text="Empleada formalmente sin riesgo">
      <formula>NOT(ISERROR(SEARCH("Empleada formalmente sin riesgo",L151)))</formula>
    </cfRule>
    <cfRule type="containsText" dxfId="2491" priority="2696" operator="containsText" text="Actualmente desempleada">
      <formula>NOT(ISERROR(SEARCH("Actualmente desempleada",L151)))</formula>
    </cfRule>
    <cfRule type="containsText" dxfId="2490" priority="2697" operator="containsText" text="Hogar sin apoyo">
      <formula>NOT(ISERROR(SEARCH("Hogar sin apoyo",L151)))</formula>
    </cfRule>
    <cfRule type="containsText" dxfId="2489" priority="2698" operator="containsText" text="Empleada formalmente sin riesgo">
      <formula>NOT(ISERROR(SEARCH("Empleada formalmente sin riesgo",L151)))</formula>
    </cfRule>
    <cfRule type="containsText" dxfId="2488" priority="2699" operator="containsText" text="Hogar Con apoyo">
      <formula>NOT(ISERROR(SEARCH("Hogar Con apoyo",L151)))</formula>
    </cfRule>
  </conditionalFormatting>
  <conditionalFormatting sqref="BK151">
    <cfRule type="cellIs" dxfId="2487" priority="2685" operator="equal">
      <formula>"SD"</formula>
    </cfRule>
    <cfRule type="cellIs" dxfId="2486" priority="2686" operator="equal">
      <formula>"NO"</formula>
    </cfRule>
    <cfRule type="cellIs" dxfId="2485" priority="2687" operator="equal">
      <formula>"SI"</formula>
    </cfRule>
  </conditionalFormatting>
  <conditionalFormatting sqref="L163">
    <cfRule type="containsText" dxfId="2484" priority="2676" operator="containsText" text="Empleo informal">
      <formula>NOT(ISERROR(SEARCH("Empleo informal",L163)))</formula>
    </cfRule>
    <cfRule type="containsText" dxfId="2483" priority="2677" operator="containsText" text="Empleada formalmente con riesgo a tóxicos">
      <formula>NOT(ISERROR(SEARCH("Empleada formalmente con riesgo a tóxicos",L163)))</formula>
    </cfRule>
    <cfRule type="containsText" dxfId="2482" priority="2678" operator="containsText" text="Empleada formalmente con riesgo de accidente laboral">
      <formula>NOT(ISERROR(SEARCH("Empleada formalmente con riesgo de accidente laboral",L163)))</formula>
    </cfRule>
    <cfRule type="containsText" dxfId="2481" priority="2679" operator="containsText" text="Empleada formalmente por jornada laboral extensa">
      <formula>NOT(ISERROR(SEARCH("Empleada formalmente por jornada laboral extensa",L163)))</formula>
    </cfRule>
    <cfRule type="containsText" dxfId="2480" priority="2680" operator="containsText" text="Empleada formalmente sin riesgo">
      <formula>NOT(ISERROR(SEARCH("Empleada formalmente sin riesgo",L163)))</formula>
    </cfRule>
    <cfRule type="containsText" dxfId="2479" priority="2681" operator="containsText" text="Actualmente desempleada">
      <formula>NOT(ISERROR(SEARCH("Actualmente desempleada",L163)))</formula>
    </cfRule>
    <cfRule type="containsText" dxfId="2478" priority="2682" operator="containsText" text="Hogar sin apoyo">
      <formula>NOT(ISERROR(SEARCH("Hogar sin apoyo",L163)))</formula>
    </cfRule>
    <cfRule type="containsText" dxfId="2477" priority="2683" operator="containsText" text="Empleada formalmente sin riesgo">
      <formula>NOT(ISERROR(SEARCH("Empleada formalmente sin riesgo",L163)))</formula>
    </cfRule>
    <cfRule type="containsText" dxfId="2476" priority="2684" operator="containsText" text="Hogar Con apoyo">
      <formula>NOT(ISERROR(SEARCH("Hogar Con apoyo",L163)))</formula>
    </cfRule>
  </conditionalFormatting>
  <conditionalFormatting sqref="BK163">
    <cfRule type="cellIs" dxfId="2475" priority="2670" operator="equal">
      <formula>"SD"</formula>
    </cfRule>
    <cfRule type="cellIs" dxfId="2474" priority="2671" operator="equal">
      <formula>"NO"</formula>
    </cfRule>
    <cfRule type="cellIs" dxfId="2473" priority="2672" operator="equal">
      <formula>"SI"</formula>
    </cfRule>
  </conditionalFormatting>
  <conditionalFormatting sqref="AC160">
    <cfRule type="containsText" dxfId="2472" priority="2666" operator="containsText" text="SABE">
      <formula>NOT(ISERROR(SEARCH("SABE",AC160)))</formula>
    </cfRule>
    <cfRule type="containsText" dxfId="2471" priority="2667" operator="containsText" text="SECUNDARIA">
      <formula>NOT(ISERROR(SEARCH("SECUNDARIA",AC160)))</formula>
    </cfRule>
    <cfRule type="containsText" dxfId="2470" priority="2668" operator="containsText" text="PRIMARIA INCOMPLETA">
      <formula>NOT(ISERROR(SEARCH("PRIMARIA INCOMPLETA",AC160)))</formula>
    </cfRule>
    <cfRule type="cellIs" dxfId="2469" priority="2669" operator="equal">
      <formula>"ANALFABETA"</formula>
    </cfRule>
  </conditionalFormatting>
  <conditionalFormatting sqref="IR7">
    <cfRule type="containsText" dxfId="2468" priority="2659" operator="containsText" text="NO APLICA">
      <formula>NOT(ISERROR(SEARCH("NO APLICA",IR7)))</formula>
    </cfRule>
    <cfRule type="containsText" dxfId="2467" priority="2660" operator="containsText" text="ALTA">
      <formula>NOT(ISERROR(SEARCH("ALTA",IR7)))</formula>
    </cfRule>
    <cfRule type="containsText" dxfId="2466" priority="2661" operator="containsText" text="MEDIANA">
      <formula>NOT(ISERROR(SEARCH("MEDIANA",IR7)))</formula>
    </cfRule>
    <cfRule type="containsText" dxfId="2465" priority="2662" operator="containsText" text="BAJA">
      <formula>NOT(ISERROR(SEARCH("BAJA",IR7)))</formula>
    </cfRule>
  </conditionalFormatting>
  <conditionalFormatting sqref="IS7:IT7">
    <cfRule type="containsText" dxfId="2464" priority="2652" operator="containsText" text="NO APLICA">
      <formula>NOT(ISERROR(SEARCH("NO APLICA",IS7)))</formula>
    </cfRule>
    <cfRule type="containsText" dxfId="2463" priority="2653" operator="containsText" text="SIN">
      <formula>NOT(ISERROR(SEARCH("SIN",IS7)))</formula>
    </cfRule>
    <cfRule type="containsText" dxfId="2462" priority="2654" operator="containsText" text="EQUIPO">
      <formula>NOT(ISERROR(SEARCH("EQUIPO",IS7)))</formula>
    </cfRule>
    <cfRule type="containsText" dxfId="2461" priority="2655" operator="containsText" text="MEDICO TRADICIONAL">
      <formula>NOT(ISERROR(SEARCH("MEDICO TRADICIONAL",IS7)))</formula>
    </cfRule>
    <cfRule type="containsText" dxfId="2460" priority="2656" operator="containsText" text="PARTERA">
      <formula>NOT(ISERROR(SEARCH("PARTERA",IS7)))</formula>
    </cfRule>
    <cfRule type="containsText" dxfId="2459" priority="2657" operator="containsText" text="TÉCNICO">
      <formula>NOT(ISERROR(SEARCH("TÉCNICO",IS7)))</formula>
    </cfRule>
    <cfRule type="containsText" dxfId="2458" priority="2658" operator="containsText" text="PROFESIONAL">
      <formula>NOT(ISERROR(SEARCH("PROFESIONAL",IS7)))</formula>
    </cfRule>
  </conditionalFormatting>
  <conditionalFormatting sqref="IT7">
    <cfRule type="containsText" dxfId="2457" priority="2649" operator="containsText" text="LE HACEN CESÁREA SIN INICIO TRABAJO DE PARTO">
      <formula>NOT(ISERROR(SEARCH("LE HACEN CESÁREA SIN INICIO TRABAJO DE PARTO",IT7)))</formula>
    </cfRule>
    <cfRule type="containsText" dxfId="2456" priority="2650" operator="containsText" text="LE HACEN INDUCCIÓN">
      <formula>NOT(ISERROR(SEARCH("LE HACEN INDUCCIÓN",IT7)))</formula>
    </cfRule>
    <cfRule type="containsText" dxfId="2455" priority="2651" operator="containsText" text="ESPONTÁNEO">
      <formula>NOT(ISERROR(SEARCH("ESPONTÁNEO",IT7)))</formula>
    </cfRule>
  </conditionalFormatting>
  <conditionalFormatting sqref="IR8">
    <cfRule type="containsText" dxfId="2454" priority="2645" operator="containsText" text="NO APLICA">
      <formula>NOT(ISERROR(SEARCH("NO APLICA",IR8)))</formula>
    </cfRule>
    <cfRule type="containsText" dxfId="2453" priority="2646" operator="containsText" text="ALTA">
      <formula>NOT(ISERROR(SEARCH("ALTA",IR8)))</formula>
    </cfRule>
    <cfRule type="containsText" dxfId="2452" priority="2647" operator="containsText" text="MEDIANA">
      <formula>NOT(ISERROR(SEARCH("MEDIANA",IR8)))</formula>
    </cfRule>
    <cfRule type="containsText" dxfId="2451" priority="2648" operator="containsText" text="BAJA">
      <formula>NOT(ISERROR(SEARCH("BAJA",IR8)))</formula>
    </cfRule>
  </conditionalFormatting>
  <conditionalFormatting sqref="IS8:IT8">
    <cfRule type="containsText" dxfId="2450" priority="2638" operator="containsText" text="NO APLICA">
      <formula>NOT(ISERROR(SEARCH("NO APLICA",IS8)))</formula>
    </cfRule>
    <cfRule type="containsText" dxfId="2449" priority="2639" operator="containsText" text="SIN">
      <formula>NOT(ISERROR(SEARCH("SIN",IS8)))</formula>
    </cfRule>
    <cfRule type="containsText" dxfId="2448" priority="2640" operator="containsText" text="EQUIPO">
      <formula>NOT(ISERROR(SEARCH("EQUIPO",IS8)))</formula>
    </cfRule>
    <cfRule type="containsText" dxfId="2447" priority="2641" operator="containsText" text="MEDICO TRADICIONAL">
      <formula>NOT(ISERROR(SEARCH("MEDICO TRADICIONAL",IS8)))</formula>
    </cfRule>
    <cfRule type="containsText" dxfId="2446" priority="2642" operator="containsText" text="PARTERA">
      <formula>NOT(ISERROR(SEARCH("PARTERA",IS8)))</formula>
    </cfRule>
    <cfRule type="containsText" dxfId="2445" priority="2643" operator="containsText" text="TÉCNICO">
      <formula>NOT(ISERROR(SEARCH("TÉCNICO",IS8)))</formula>
    </cfRule>
    <cfRule type="containsText" dxfId="2444" priority="2644" operator="containsText" text="PROFESIONAL">
      <formula>NOT(ISERROR(SEARCH("PROFESIONAL",IS8)))</formula>
    </cfRule>
  </conditionalFormatting>
  <conditionalFormatting sqref="IT8">
    <cfRule type="containsText" dxfId="2443" priority="2635" operator="containsText" text="LE HACEN CESÁREA SIN INICIO TRABAJO DE PARTO">
      <formula>NOT(ISERROR(SEARCH("LE HACEN CESÁREA SIN INICIO TRABAJO DE PARTO",IT8)))</formula>
    </cfRule>
    <cfRule type="containsText" dxfId="2442" priority="2636" operator="containsText" text="LE HACEN INDUCCIÓN">
      <formula>NOT(ISERROR(SEARCH("LE HACEN INDUCCIÓN",IT8)))</formula>
    </cfRule>
    <cfRule type="containsText" dxfId="2441" priority="2637" operator="containsText" text="ESPONTÁNEO">
      <formula>NOT(ISERROR(SEARCH("ESPONTÁNEO",IT8)))</formula>
    </cfRule>
  </conditionalFormatting>
  <conditionalFormatting sqref="IT9">
    <cfRule type="containsText" dxfId="2440" priority="2628" operator="containsText" text="NO APLICA">
      <formula>NOT(ISERROR(SEARCH("NO APLICA",IT9)))</formula>
    </cfRule>
    <cfRule type="containsText" dxfId="2439" priority="2629" operator="containsText" text="SIN">
      <formula>NOT(ISERROR(SEARCH("SIN",IT9)))</formula>
    </cfRule>
    <cfRule type="containsText" dxfId="2438" priority="2630" operator="containsText" text="EQUIPO">
      <formula>NOT(ISERROR(SEARCH("EQUIPO",IT9)))</formula>
    </cfRule>
    <cfRule type="containsText" dxfId="2437" priority="2631" operator="containsText" text="MEDICO TRADICIONAL">
      <formula>NOT(ISERROR(SEARCH("MEDICO TRADICIONAL",IT9)))</formula>
    </cfRule>
    <cfRule type="containsText" dxfId="2436" priority="2632" operator="containsText" text="PARTERA">
      <formula>NOT(ISERROR(SEARCH("PARTERA",IT9)))</formula>
    </cfRule>
    <cfRule type="containsText" dxfId="2435" priority="2633" operator="containsText" text="TÉCNICO">
      <formula>NOT(ISERROR(SEARCH("TÉCNICO",IT9)))</formula>
    </cfRule>
    <cfRule type="containsText" dxfId="2434" priority="2634" operator="containsText" text="PROFESIONAL">
      <formula>NOT(ISERROR(SEARCH("PROFESIONAL",IT9)))</formula>
    </cfRule>
  </conditionalFormatting>
  <conditionalFormatting sqref="IT9">
    <cfRule type="containsText" dxfId="2433" priority="2625" operator="containsText" text="LE HACEN CESÁREA SIN INICIO TRABAJO DE PARTO">
      <formula>NOT(ISERROR(SEARCH("LE HACEN CESÁREA SIN INICIO TRABAJO DE PARTO",IT9)))</formula>
    </cfRule>
    <cfRule type="containsText" dxfId="2432" priority="2626" operator="containsText" text="LE HACEN INDUCCIÓN">
      <formula>NOT(ISERROR(SEARCH("LE HACEN INDUCCIÓN",IT9)))</formula>
    </cfRule>
    <cfRule type="containsText" dxfId="2431" priority="2627" operator="containsText" text="ESPONTÁNEO">
      <formula>NOT(ISERROR(SEARCH("ESPONTÁNEO",IT9)))</formula>
    </cfRule>
  </conditionalFormatting>
  <conditionalFormatting sqref="IR10">
    <cfRule type="containsText" dxfId="2430" priority="2621" operator="containsText" text="NO APLICA">
      <formula>NOT(ISERROR(SEARCH("NO APLICA",IR10)))</formula>
    </cfRule>
    <cfRule type="containsText" dxfId="2429" priority="2622" operator="containsText" text="ALTA">
      <formula>NOT(ISERROR(SEARCH("ALTA",IR10)))</formula>
    </cfRule>
    <cfRule type="containsText" dxfId="2428" priority="2623" operator="containsText" text="MEDIANA">
      <formula>NOT(ISERROR(SEARCH("MEDIANA",IR10)))</formula>
    </cfRule>
    <cfRule type="containsText" dxfId="2427" priority="2624" operator="containsText" text="BAJA">
      <formula>NOT(ISERROR(SEARCH("BAJA",IR10)))</formula>
    </cfRule>
  </conditionalFormatting>
  <conditionalFormatting sqref="IS10:IT10">
    <cfRule type="containsText" dxfId="2426" priority="2614" operator="containsText" text="NO APLICA">
      <formula>NOT(ISERROR(SEARCH("NO APLICA",IS10)))</formula>
    </cfRule>
    <cfRule type="containsText" dxfId="2425" priority="2615" operator="containsText" text="SIN">
      <formula>NOT(ISERROR(SEARCH("SIN",IS10)))</formula>
    </cfRule>
    <cfRule type="containsText" dxfId="2424" priority="2616" operator="containsText" text="EQUIPO">
      <formula>NOT(ISERROR(SEARCH("EQUIPO",IS10)))</formula>
    </cfRule>
    <cfRule type="containsText" dxfId="2423" priority="2617" operator="containsText" text="MEDICO TRADICIONAL">
      <formula>NOT(ISERROR(SEARCH("MEDICO TRADICIONAL",IS10)))</formula>
    </cfRule>
    <cfRule type="containsText" dxfId="2422" priority="2618" operator="containsText" text="PARTERA">
      <formula>NOT(ISERROR(SEARCH("PARTERA",IS10)))</formula>
    </cfRule>
    <cfRule type="containsText" dxfId="2421" priority="2619" operator="containsText" text="TÉCNICO">
      <formula>NOT(ISERROR(SEARCH("TÉCNICO",IS10)))</formula>
    </cfRule>
    <cfRule type="containsText" dxfId="2420" priority="2620" operator="containsText" text="PROFESIONAL">
      <formula>NOT(ISERROR(SEARCH("PROFESIONAL",IS10)))</formula>
    </cfRule>
  </conditionalFormatting>
  <conditionalFormatting sqref="IT10">
    <cfRule type="containsText" dxfId="2419" priority="2611" operator="containsText" text="LE HACEN CESÁREA SIN INICIO TRABAJO DE PARTO">
      <formula>NOT(ISERROR(SEARCH("LE HACEN CESÁREA SIN INICIO TRABAJO DE PARTO",IT10)))</formula>
    </cfRule>
    <cfRule type="containsText" dxfId="2418" priority="2612" operator="containsText" text="LE HACEN INDUCCIÓN">
      <formula>NOT(ISERROR(SEARCH("LE HACEN INDUCCIÓN",IT10)))</formula>
    </cfRule>
    <cfRule type="containsText" dxfId="2417" priority="2613" operator="containsText" text="ESPONTÁNEO">
      <formula>NOT(ISERROR(SEARCH("ESPONTÁNEO",IT10)))</formula>
    </cfRule>
  </conditionalFormatting>
  <conditionalFormatting sqref="JI10">
    <cfRule type="containsText" dxfId="2416" priority="2607" operator="containsText" text="NO APLICA">
      <formula>NOT(ISERROR(SEARCH("NO APLICA",JI10)))</formula>
    </cfRule>
    <cfRule type="containsText" dxfId="2415" priority="2608" operator="containsText" text="SIN DATO">
      <formula>NOT(ISERROR(SEARCH("SIN DATO",JI10)))</formula>
    </cfRule>
    <cfRule type="containsText" dxfId="2414" priority="2609" operator="containsText" text="NO">
      <formula>NOT(ISERROR(SEARCH("NO",JI10)))</formula>
    </cfRule>
    <cfRule type="containsText" dxfId="2413" priority="2610" operator="containsText" text="SI">
      <formula>NOT(ISERROR(SEARCH("SI",JI10)))</formula>
    </cfRule>
  </conditionalFormatting>
  <conditionalFormatting sqref="IR11">
    <cfRule type="containsText" dxfId="2412" priority="2603" operator="containsText" text="NO APLICA">
      <formula>NOT(ISERROR(SEARCH("NO APLICA",IR11)))</formula>
    </cfRule>
    <cfRule type="containsText" dxfId="2411" priority="2604" operator="containsText" text="ALTA">
      <formula>NOT(ISERROR(SEARCH("ALTA",IR11)))</formula>
    </cfRule>
    <cfRule type="containsText" dxfId="2410" priority="2605" operator="containsText" text="MEDIANA">
      <formula>NOT(ISERROR(SEARCH("MEDIANA",IR11)))</formula>
    </cfRule>
    <cfRule type="containsText" dxfId="2409" priority="2606" operator="containsText" text="BAJA">
      <formula>NOT(ISERROR(SEARCH("BAJA",IR11)))</formula>
    </cfRule>
  </conditionalFormatting>
  <conditionalFormatting sqref="IS11:IT11">
    <cfRule type="containsText" dxfId="2408" priority="2596" operator="containsText" text="NO APLICA">
      <formula>NOT(ISERROR(SEARCH("NO APLICA",IS11)))</formula>
    </cfRule>
    <cfRule type="containsText" dxfId="2407" priority="2597" operator="containsText" text="SIN">
      <formula>NOT(ISERROR(SEARCH("SIN",IS11)))</formula>
    </cfRule>
    <cfRule type="containsText" dxfId="2406" priority="2598" operator="containsText" text="EQUIPO">
      <formula>NOT(ISERROR(SEARCH("EQUIPO",IS11)))</formula>
    </cfRule>
    <cfRule type="containsText" dxfId="2405" priority="2599" operator="containsText" text="MEDICO TRADICIONAL">
      <formula>NOT(ISERROR(SEARCH("MEDICO TRADICIONAL",IS11)))</formula>
    </cfRule>
    <cfRule type="containsText" dxfId="2404" priority="2600" operator="containsText" text="PARTERA">
      <formula>NOT(ISERROR(SEARCH("PARTERA",IS11)))</formula>
    </cfRule>
    <cfRule type="containsText" dxfId="2403" priority="2601" operator="containsText" text="TÉCNICO">
      <formula>NOT(ISERROR(SEARCH("TÉCNICO",IS11)))</formula>
    </cfRule>
    <cfRule type="containsText" dxfId="2402" priority="2602" operator="containsText" text="PROFESIONAL">
      <formula>NOT(ISERROR(SEARCH("PROFESIONAL",IS11)))</formula>
    </cfRule>
  </conditionalFormatting>
  <conditionalFormatting sqref="IT11">
    <cfRule type="containsText" dxfId="2401" priority="2593" operator="containsText" text="LE HACEN CESÁREA SIN INICIO TRABAJO DE PARTO">
      <formula>NOT(ISERROR(SEARCH("LE HACEN CESÁREA SIN INICIO TRABAJO DE PARTO",IT11)))</formula>
    </cfRule>
    <cfRule type="containsText" dxfId="2400" priority="2594" operator="containsText" text="LE HACEN INDUCCIÓN">
      <formula>NOT(ISERROR(SEARCH("LE HACEN INDUCCIÓN",IT11)))</formula>
    </cfRule>
    <cfRule type="containsText" dxfId="2399" priority="2595" operator="containsText" text="ESPONTÁNEO">
      <formula>NOT(ISERROR(SEARCH("ESPONTÁNEO",IT11)))</formula>
    </cfRule>
  </conditionalFormatting>
  <conditionalFormatting sqref="JI11">
    <cfRule type="containsText" dxfId="2398" priority="2589" operator="containsText" text="NO APLICA">
      <formula>NOT(ISERROR(SEARCH("NO APLICA",JI11)))</formula>
    </cfRule>
    <cfRule type="containsText" dxfId="2397" priority="2590" operator="containsText" text="SIN DATO">
      <formula>NOT(ISERROR(SEARCH("SIN DATO",JI11)))</formula>
    </cfRule>
    <cfRule type="containsText" dxfId="2396" priority="2591" operator="containsText" text="NO">
      <formula>NOT(ISERROR(SEARCH("NO",JI11)))</formula>
    </cfRule>
    <cfRule type="containsText" dxfId="2395" priority="2592" operator="containsText" text="SI">
      <formula>NOT(ISERROR(SEARCH("SI",JI11)))</formula>
    </cfRule>
  </conditionalFormatting>
  <conditionalFormatting sqref="IR12">
    <cfRule type="containsText" dxfId="2394" priority="2585" operator="containsText" text="NO APLICA">
      <formula>NOT(ISERROR(SEARCH("NO APLICA",IR12)))</formula>
    </cfRule>
    <cfRule type="containsText" dxfId="2393" priority="2586" operator="containsText" text="ALTA">
      <formula>NOT(ISERROR(SEARCH("ALTA",IR12)))</formula>
    </cfRule>
    <cfRule type="containsText" dxfId="2392" priority="2587" operator="containsText" text="MEDIANA">
      <formula>NOT(ISERROR(SEARCH("MEDIANA",IR12)))</formula>
    </cfRule>
    <cfRule type="containsText" dxfId="2391" priority="2588" operator="containsText" text="BAJA">
      <formula>NOT(ISERROR(SEARCH("BAJA",IR12)))</formula>
    </cfRule>
  </conditionalFormatting>
  <conditionalFormatting sqref="IS12:IT12">
    <cfRule type="containsText" dxfId="2390" priority="2578" operator="containsText" text="NO APLICA">
      <formula>NOT(ISERROR(SEARCH("NO APLICA",IS12)))</formula>
    </cfRule>
    <cfRule type="containsText" dxfId="2389" priority="2579" operator="containsText" text="SIN">
      <formula>NOT(ISERROR(SEARCH("SIN",IS12)))</formula>
    </cfRule>
    <cfRule type="containsText" dxfId="2388" priority="2580" operator="containsText" text="EQUIPO">
      <formula>NOT(ISERROR(SEARCH("EQUIPO",IS12)))</formula>
    </cfRule>
    <cfRule type="containsText" dxfId="2387" priority="2581" operator="containsText" text="MEDICO TRADICIONAL">
      <formula>NOT(ISERROR(SEARCH("MEDICO TRADICIONAL",IS12)))</formula>
    </cfRule>
    <cfRule type="containsText" dxfId="2386" priority="2582" operator="containsText" text="PARTERA">
      <formula>NOT(ISERROR(SEARCH("PARTERA",IS12)))</formula>
    </cfRule>
    <cfRule type="containsText" dxfId="2385" priority="2583" operator="containsText" text="TÉCNICO">
      <formula>NOT(ISERROR(SEARCH("TÉCNICO",IS12)))</formula>
    </cfRule>
    <cfRule type="containsText" dxfId="2384" priority="2584" operator="containsText" text="PROFESIONAL">
      <formula>NOT(ISERROR(SEARCH("PROFESIONAL",IS12)))</formula>
    </cfRule>
  </conditionalFormatting>
  <conditionalFormatting sqref="IT12">
    <cfRule type="containsText" dxfId="2383" priority="2575" operator="containsText" text="LE HACEN CESÁREA SIN INICIO TRABAJO DE PARTO">
      <formula>NOT(ISERROR(SEARCH("LE HACEN CESÁREA SIN INICIO TRABAJO DE PARTO",IT12)))</formula>
    </cfRule>
    <cfRule type="containsText" dxfId="2382" priority="2576" operator="containsText" text="LE HACEN INDUCCIÓN">
      <formula>NOT(ISERROR(SEARCH("LE HACEN INDUCCIÓN",IT12)))</formula>
    </cfRule>
    <cfRule type="containsText" dxfId="2381" priority="2577" operator="containsText" text="ESPONTÁNEO">
      <formula>NOT(ISERROR(SEARCH("ESPONTÁNEO",IT12)))</formula>
    </cfRule>
  </conditionalFormatting>
  <conditionalFormatting sqref="IR13">
    <cfRule type="containsText" dxfId="2380" priority="2571" operator="containsText" text="NO APLICA">
      <formula>NOT(ISERROR(SEARCH("NO APLICA",IR13)))</formula>
    </cfRule>
    <cfRule type="containsText" dxfId="2379" priority="2572" operator="containsText" text="ALTA">
      <formula>NOT(ISERROR(SEARCH("ALTA",IR13)))</formula>
    </cfRule>
    <cfRule type="containsText" dxfId="2378" priority="2573" operator="containsText" text="MEDIANA">
      <formula>NOT(ISERROR(SEARCH("MEDIANA",IR13)))</formula>
    </cfRule>
    <cfRule type="containsText" dxfId="2377" priority="2574" operator="containsText" text="BAJA">
      <formula>NOT(ISERROR(SEARCH("BAJA",IR13)))</formula>
    </cfRule>
  </conditionalFormatting>
  <conditionalFormatting sqref="IS13:IT13">
    <cfRule type="containsText" dxfId="2376" priority="2564" operator="containsText" text="NO APLICA">
      <formula>NOT(ISERROR(SEARCH("NO APLICA",IS13)))</formula>
    </cfRule>
    <cfRule type="containsText" dxfId="2375" priority="2565" operator="containsText" text="SIN">
      <formula>NOT(ISERROR(SEARCH("SIN",IS13)))</formula>
    </cfRule>
    <cfRule type="containsText" dxfId="2374" priority="2566" operator="containsText" text="EQUIPO">
      <formula>NOT(ISERROR(SEARCH("EQUIPO",IS13)))</formula>
    </cfRule>
    <cfRule type="containsText" dxfId="2373" priority="2567" operator="containsText" text="MEDICO TRADICIONAL">
      <formula>NOT(ISERROR(SEARCH("MEDICO TRADICIONAL",IS13)))</formula>
    </cfRule>
    <cfRule type="containsText" dxfId="2372" priority="2568" operator="containsText" text="PARTERA">
      <formula>NOT(ISERROR(SEARCH("PARTERA",IS13)))</formula>
    </cfRule>
    <cfRule type="containsText" dxfId="2371" priority="2569" operator="containsText" text="TÉCNICO">
      <formula>NOT(ISERROR(SEARCH("TÉCNICO",IS13)))</formula>
    </cfRule>
    <cfRule type="containsText" dxfId="2370" priority="2570" operator="containsText" text="PROFESIONAL">
      <formula>NOT(ISERROR(SEARCH("PROFESIONAL",IS13)))</formula>
    </cfRule>
  </conditionalFormatting>
  <conditionalFormatting sqref="IT13">
    <cfRule type="containsText" dxfId="2369" priority="2561" operator="containsText" text="LE HACEN CESÁREA SIN INICIO TRABAJO DE PARTO">
      <formula>NOT(ISERROR(SEARCH("LE HACEN CESÁREA SIN INICIO TRABAJO DE PARTO",IT13)))</formula>
    </cfRule>
    <cfRule type="containsText" dxfId="2368" priority="2562" operator="containsText" text="LE HACEN INDUCCIÓN">
      <formula>NOT(ISERROR(SEARCH("LE HACEN INDUCCIÓN",IT13)))</formula>
    </cfRule>
    <cfRule type="containsText" dxfId="2367" priority="2563" operator="containsText" text="ESPONTÁNEO">
      <formula>NOT(ISERROR(SEARCH("ESPONTÁNEO",IT13)))</formula>
    </cfRule>
  </conditionalFormatting>
  <conditionalFormatting sqref="IR15">
    <cfRule type="containsText" dxfId="2366" priority="2557" operator="containsText" text="NO APLICA">
      <formula>NOT(ISERROR(SEARCH("NO APLICA",IR15)))</formula>
    </cfRule>
    <cfRule type="containsText" dxfId="2365" priority="2558" operator="containsText" text="ALTA">
      <formula>NOT(ISERROR(SEARCH("ALTA",IR15)))</formula>
    </cfRule>
    <cfRule type="containsText" dxfId="2364" priority="2559" operator="containsText" text="MEDIANA">
      <formula>NOT(ISERROR(SEARCH("MEDIANA",IR15)))</formula>
    </cfRule>
    <cfRule type="containsText" dxfId="2363" priority="2560" operator="containsText" text="BAJA">
      <formula>NOT(ISERROR(SEARCH("BAJA",IR15)))</formula>
    </cfRule>
  </conditionalFormatting>
  <conditionalFormatting sqref="IS15:IT15">
    <cfRule type="containsText" dxfId="2362" priority="2550" operator="containsText" text="NO APLICA">
      <formula>NOT(ISERROR(SEARCH("NO APLICA",IS15)))</formula>
    </cfRule>
    <cfRule type="containsText" dxfId="2361" priority="2551" operator="containsText" text="SIN">
      <formula>NOT(ISERROR(SEARCH("SIN",IS15)))</formula>
    </cfRule>
    <cfRule type="containsText" dxfId="2360" priority="2552" operator="containsText" text="EQUIPO">
      <formula>NOT(ISERROR(SEARCH("EQUIPO",IS15)))</formula>
    </cfRule>
    <cfRule type="containsText" dxfId="2359" priority="2553" operator="containsText" text="MEDICO TRADICIONAL">
      <formula>NOT(ISERROR(SEARCH("MEDICO TRADICIONAL",IS15)))</formula>
    </cfRule>
    <cfRule type="containsText" dxfId="2358" priority="2554" operator="containsText" text="PARTERA">
      <formula>NOT(ISERROR(SEARCH("PARTERA",IS15)))</formula>
    </cfRule>
    <cfRule type="containsText" dxfId="2357" priority="2555" operator="containsText" text="TÉCNICO">
      <formula>NOT(ISERROR(SEARCH("TÉCNICO",IS15)))</formula>
    </cfRule>
    <cfRule type="containsText" dxfId="2356" priority="2556" operator="containsText" text="PROFESIONAL">
      <formula>NOT(ISERROR(SEARCH("PROFESIONAL",IS15)))</formula>
    </cfRule>
  </conditionalFormatting>
  <conditionalFormatting sqref="IT15">
    <cfRule type="containsText" dxfId="2355" priority="2547" operator="containsText" text="LE HACEN CESÁREA SIN INICIO TRABAJO DE PARTO">
      <formula>NOT(ISERROR(SEARCH("LE HACEN CESÁREA SIN INICIO TRABAJO DE PARTO",IT15)))</formula>
    </cfRule>
    <cfRule type="containsText" dxfId="2354" priority="2548" operator="containsText" text="LE HACEN INDUCCIÓN">
      <formula>NOT(ISERROR(SEARCH("LE HACEN INDUCCIÓN",IT15)))</formula>
    </cfRule>
    <cfRule type="containsText" dxfId="2353" priority="2549" operator="containsText" text="ESPONTÁNEO">
      <formula>NOT(ISERROR(SEARCH("ESPONTÁNEO",IT15)))</formula>
    </cfRule>
  </conditionalFormatting>
  <conditionalFormatting sqref="IR19">
    <cfRule type="containsText" dxfId="2352" priority="2543" operator="containsText" text="NO APLICA">
      <formula>NOT(ISERROR(SEARCH("NO APLICA",IR19)))</formula>
    </cfRule>
    <cfRule type="containsText" dxfId="2351" priority="2544" operator="containsText" text="ALTA">
      <formula>NOT(ISERROR(SEARCH("ALTA",IR19)))</formula>
    </cfRule>
    <cfRule type="containsText" dxfId="2350" priority="2545" operator="containsText" text="MEDIANA">
      <formula>NOT(ISERROR(SEARCH("MEDIANA",IR19)))</formula>
    </cfRule>
    <cfRule type="containsText" dxfId="2349" priority="2546" operator="containsText" text="BAJA">
      <formula>NOT(ISERROR(SEARCH("BAJA",IR19)))</formula>
    </cfRule>
  </conditionalFormatting>
  <conditionalFormatting sqref="IS19:IT19">
    <cfRule type="containsText" dxfId="2348" priority="2536" operator="containsText" text="NO APLICA">
      <formula>NOT(ISERROR(SEARCH("NO APLICA",IS19)))</formula>
    </cfRule>
    <cfRule type="containsText" dxfId="2347" priority="2537" operator="containsText" text="SIN">
      <formula>NOT(ISERROR(SEARCH("SIN",IS19)))</formula>
    </cfRule>
    <cfRule type="containsText" dxfId="2346" priority="2538" operator="containsText" text="EQUIPO">
      <formula>NOT(ISERROR(SEARCH("EQUIPO",IS19)))</formula>
    </cfRule>
    <cfRule type="containsText" dxfId="2345" priority="2539" operator="containsText" text="MEDICO TRADICIONAL">
      <formula>NOT(ISERROR(SEARCH("MEDICO TRADICIONAL",IS19)))</formula>
    </cfRule>
    <cfRule type="containsText" dxfId="2344" priority="2540" operator="containsText" text="PARTERA">
      <formula>NOT(ISERROR(SEARCH("PARTERA",IS19)))</formula>
    </cfRule>
    <cfRule type="containsText" dxfId="2343" priority="2541" operator="containsText" text="TÉCNICO">
      <formula>NOT(ISERROR(SEARCH("TÉCNICO",IS19)))</formula>
    </cfRule>
    <cfRule type="containsText" dxfId="2342" priority="2542" operator="containsText" text="PROFESIONAL">
      <formula>NOT(ISERROR(SEARCH("PROFESIONAL",IS19)))</formula>
    </cfRule>
  </conditionalFormatting>
  <conditionalFormatting sqref="IT19">
    <cfRule type="containsText" dxfId="2341" priority="2533" operator="containsText" text="LE HACEN CESÁREA SIN INICIO TRABAJO DE PARTO">
      <formula>NOT(ISERROR(SEARCH("LE HACEN CESÁREA SIN INICIO TRABAJO DE PARTO",IT19)))</formula>
    </cfRule>
    <cfRule type="containsText" dxfId="2340" priority="2534" operator="containsText" text="LE HACEN INDUCCIÓN">
      <formula>NOT(ISERROR(SEARCH("LE HACEN INDUCCIÓN",IT19)))</formula>
    </cfRule>
    <cfRule type="containsText" dxfId="2339" priority="2535" operator="containsText" text="ESPONTÁNEO">
      <formula>NOT(ISERROR(SEARCH("ESPONTÁNEO",IT19)))</formula>
    </cfRule>
  </conditionalFormatting>
  <conditionalFormatting sqref="IR20">
    <cfRule type="containsText" dxfId="2338" priority="2529" operator="containsText" text="NO APLICA">
      <formula>NOT(ISERROR(SEARCH("NO APLICA",IR20)))</formula>
    </cfRule>
    <cfRule type="containsText" dxfId="2337" priority="2530" operator="containsText" text="ALTA">
      <formula>NOT(ISERROR(SEARCH("ALTA",IR20)))</formula>
    </cfRule>
    <cfRule type="containsText" dxfId="2336" priority="2531" operator="containsText" text="MEDIANA">
      <formula>NOT(ISERROR(SEARCH("MEDIANA",IR20)))</formula>
    </cfRule>
    <cfRule type="containsText" dxfId="2335" priority="2532" operator="containsText" text="BAJA">
      <formula>NOT(ISERROR(SEARCH("BAJA",IR20)))</formula>
    </cfRule>
  </conditionalFormatting>
  <conditionalFormatting sqref="IS20:IT20">
    <cfRule type="containsText" dxfId="2334" priority="2522" operator="containsText" text="NO APLICA">
      <formula>NOT(ISERROR(SEARCH("NO APLICA",IS20)))</formula>
    </cfRule>
    <cfRule type="containsText" dxfId="2333" priority="2523" operator="containsText" text="SIN">
      <formula>NOT(ISERROR(SEARCH("SIN",IS20)))</formula>
    </cfRule>
    <cfRule type="containsText" dxfId="2332" priority="2524" operator="containsText" text="EQUIPO">
      <formula>NOT(ISERROR(SEARCH("EQUIPO",IS20)))</formula>
    </cfRule>
    <cfRule type="containsText" dxfId="2331" priority="2525" operator="containsText" text="MEDICO TRADICIONAL">
      <formula>NOT(ISERROR(SEARCH("MEDICO TRADICIONAL",IS20)))</formula>
    </cfRule>
    <cfRule type="containsText" dxfId="2330" priority="2526" operator="containsText" text="PARTERA">
      <formula>NOT(ISERROR(SEARCH("PARTERA",IS20)))</formula>
    </cfRule>
    <cfRule type="containsText" dxfId="2329" priority="2527" operator="containsText" text="TÉCNICO">
      <formula>NOT(ISERROR(SEARCH("TÉCNICO",IS20)))</formula>
    </cfRule>
    <cfRule type="containsText" dxfId="2328" priority="2528" operator="containsText" text="PROFESIONAL">
      <formula>NOT(ISERROR(SEARCH("PROFESIONAL",IS20)))</formula>
    </cfRule>
  </conditionalFormatting>
  <conditionalFormatting sqref="IT20">
    <cfRule type="containsText" dxfId="2327" priority="2519" operator="containsText" text="LE HACEN CESÁREA SIN INICIO TRABAJO DE PARTO">
      <formula>NOT(ISERROR(SEARCH("LE HACEN CESÁREA SIN INICIO TRABAJO DE PARTO",IT20)))</formula>
    </cfRule>
    <cfRule type="containsText" dxfId="2326" priority="2520" operator="containsText" text="LE HACEN INDUCCIÓN">
      <formula>NOT(ISERROR(SEARCH("LE HACEN INDUCCIÓN",IT20)))</formula>
    </cfRule>
    <cfRule type="containsText" dxfId="2325" priority="2521" operator="containsText" text="ESPONTÁNEO">
      <formula>NOT(ISERROR(SEARCH("ESPONTÁNEO",IT20)))</formula>
    </cfRule>
  </conditionalFormatting>
  <conditionalFormatting sqref="JI20">
    <cfRule type="containsText" dxfId="2324" priority="2515" operator="containsText" text="NO APLICA">
      <formula>NOT(ISERROR(SEARCH("NO APLICA",JI20)))</formula>
    </cfRule>
    <cfRule type="containsText" dxfId="2323" priority="2516" operator="containsText" text="SIN DATO">
      <formula>NOT(ISERROR(SEARCH("SIN DATO",JI20)))</formula>
    </cfRule>
    <cfRule type="containsText" dxfId="2322" priority="2517" operator="containsText" text="NO">
      <formula>NOT(ISERROR(SEARCH("NO",JI20)))</formula>
    </cfRule>
    <cfRule type="containsText" dxfId="2321" priority="2518" operator="containsText" text="SI">
      <formula>NOT(ISERROR(SEARCH("SI",JI20)))</formula>
    </cfRule>
  </conditionalFormatting>
  <conditionalFormatting sqref="IR22">
    <cfRule type="containsText" dxfId="2320" priority="2511" operator="containsText" text="NO APLICA">
      <formula>NOT(ISERROR(SEARCH("NO APLICA",IR22)))</formula>
    </cfRule>
    <cfRule type="containsText" dxfId="2319" priority="2512" operator="containsText" text="ALTA">
      <formula>NOT(ISERROR(SEARCH("ALTA",IR22)))</formula>
    </cfRule>
    <cfRule type="containsText" dxfId="2318" priority="2513" operator="containsText" text="MEDIANA">
      <formula>NOT(ISERROR(SEARCH("MEDIANA",IR22)))</formula>
    </cfRule>
    <cfRule type="containsText" dxfId="2317" priority="2514" operator="containsText" text="BAJA">
      <formula>NOT(ISERROR(SEARCH("BAJA",IR22)))</formula>
    </cfRule>
  </conditionalFormatting>
  <conditionalFormatting sqref="IS22:IT22">
    <cfRule type="containsText" dxfId="2316" priority="2504" operator="containsText" text="NO APLICA">
      <formula>NOT(ISERROR(SEARCH("NO APLICA",IS22)))</formula>
    </cfRule>
    <cfRule type="containsText" dxfId="2315" priority="2505" operator="containsText" text="SIN">
      <formula>NOT(ISERROR(SEARCH("SIN",IS22)))</formula>
    </cfRule>
    <cfRule type="containsText" dxfId="2314" priority="2506" operator="containsText" text="EQUIPO">
      <formula>NOT(ISERROR(SEARCH("EQUIPO",IS22)))</formula>
    </cfRule>
    <cfRule type="containsText" dxfId="2313" priority="2507" operator="containsText" text="MEDICO TRADICIONAL">
      <formula>NOT(ISERROR(SEARCH("MEDICO TRADICIONAL",IS22)))</formula>
    </cfRule>
    <cfRule type="containsText" dxfId="2312" priority="2508" operator="containsText" text="PARTERA">
      <formula>NOT(ISERROR(SEARCH("PARTERA",IS22)))</formula>
    </cfRule>
    <cfRule type="containsText" dxfId="2311" priority="2509" operator="containsText" text="TÉCNICO">
      <formula>NOT(ISERROR(SEARCH("TÉCNICO",IS22)))</formula>
    </cfRule>
    <cfRule type="containsText" dxfId="2310" priority="2510" operator="containsText" text="PROFESIONAL">
      <formula>NOT(ISERROR(SEARCH("PROFESIONAL",IS22)))</formula>
    </cfRule>
  </conditionalFormatting>
  <conditionalFormatting sqref="IT22">
    <cfRule type="containsText" dxfId="2309" priority="2501" operator="containsText" text="LE HACEN CESÁREA SIN INICIO TRABAJO DE PARTO">
      <formula>NOT(ISERROR(SEARCH("LE HACEN CESÁREA SIN INICIO TRABAJO DE PARTO",IT22)))</formula>
    </cfRule>
    <cfRule type="containsText" dxfId="2308" priority="2502" operator="containsText" text="LE HACEN INDUCCIÓN">
      <formula>NOT(ISERROR(SEARCH("LE HACEN INDUCCIÓN",IT22)))</formula>
    </cfRule>
    <cfRule type="containsText" dxfId="2307" priority="2503" operator="containsText" text="ESPONTÁNEO">
      <formula>NOT(ISERROR(SEARCH("ESPONTÁNEO",IT22)))</formula>
    </cfRule>
  </conditionalFormatting>
  <conditionalFormatting sqref="IS23:IT23">
    <cfRule type="containsText" dxfId="2306" priority="2494" operator="containsText" text="NO APLICA">
      <formula>NOT(ISERROR(SEARCH("NO APLICA",IS23)))</formula>
    </cfRule>
    <cfRule type="containsText" dxfId="2305" priority="2495" operator="containsText" text="SIN">
      <formula>NOT(ISERROR(SEARCH("SIN",IS23)))</formula>
    </cfRule>
    <cfRule type="containsText" dxfId="2304" priority="2496" operator="containsText" text="EQUIPO">
      <formula>NOT(ISERROR(SEARCH("EQUIPO",IS23)))</formula>
    </cfRule>
    <cfRule type="containsText" dxfId="2303" priority="2497" operator="containsText" text="MEDICO TRADICIONAL">
      <formula>NOT(ISERROR(SEARCH("MEDICO TRADICIONAL",IS23)))</formula>
    </cfRule>
    <cfRule type="containsText" dxfId="2302" priority="2498" operator="containsText" text="PARTERA">
      <formula>NOT(ISERROR(SEARCH("PARTERA",IS23)))</formula>
    </cfRule>
    <cfRule type="containsText" dxfId="2301" priority="2499" operator="containsText" text="TÉCNICO">
      <formula>NOT(ISERROR(SEARCH("TÉCNICO",IS23)))</formula>
    </cfRule>
    <cfRule type="containsText" dxfId="2300" priority="2500" operator="containsText" text="PROFESIONAL">
      <formula>NOT(ISERROR(SEARCH("PROFESIONAL",IS23)))</formula>
    </cfRule>
  </conditionalFormatting>
  <conditionalFormatting sqref="IT23">
    <cfRule type="containsText" dxfId="2299" priority="2491" operator="containsText" text="LE HACEN CESÁREA SIN INICIO TRABAJO DE PARTO">
      <formula>NOT(ISERROR(SEARCH("LE HACEN CESÁREA SIN INICIO TRABAJO DE PARTO",IT23)))</formula>
    </cfRule>
    <cfRule type="containsText" dxfId="2298" priority="2492" operator="containsText" text="LE HACEN INDUCCIÓN">
      <formula>NOT(ISERROR(SEARCH("LE HACEN INDUCCIÓN",IT23)))</formula>
    </cfRule>
    <cfRule type="containsText" dxfId="2297" priority="2493" operator="containsText" text="ESPONTÁNEO">
      <formula>NOT(ISERROR(SEARCH("ESPONTÁNEO",IT23)))</formula>
    </cfRule>
  </conditionalFormatting>
  <conditionalFormatting sqref="IS24:IT24">
    <cfRule type="containsText" dxfId="2296" priority="2484" operator="containsText" text="NO APLICA">
      <formula>NOT(ISERROR(SEARCH("NO APLICA",IS24)))</formula>
    </cfRule>
    <cfRule type="containsText" dxfId="2295" priority="2485" operator="containsText" text="SIN">
      <formula>NOT(ISERROR(SEARCH("SIN",IS24)))</formula>
    </cfRule>
    <cfRule type="containsText" dxfId="2294" priority="2486" operator="containsText" text="EQUIPO">
      <formula>NOT(ISERROR(SEARCH("EQUIPO",IS24)))</formula>
    </cfRule>
    <cfRule type="containsText" dxfId="2293" priority="2487" operator="containsText" text="MEDICO TRADICIONAL">
      <formula>NOT(ISERROR(SEARCH("MEDICO TRADICIONAL",IS24)))</formula>
    </cfRule>
    <cfRule type="containsText" dxfId="2292" priority="2488" operator="containsText" text="PARTERA">
      <formula>NOT(ISERROR(SEARCH("PARTERA",IS24)))</formula>
    </cfRule>
    <cfRule type="containsText" dxfId="2291" priority="2489" operator="containsText" text="TÉCNICO">
      <formula>NOT(ISERROR(SEARCH("TÉCNICO",IS24)))</formula>
    </cfRule>
    <cfRule type="containsText" dxfId="2290" priority="2490" operator="containsText" text="PROFESIONAL">
      <formula>NOT(ISERROR(SEARCH("PROFESIONAL",IS24)))</formula>
    </cfRule>
  </conditionalFormatting>
  <conditionalFormatting sqref="IT24">
    <cfRule type="containsText" dxfId="2289" priority="2481" operator="containsText" text="LE HACEN CESÁREA SIN INICIO TRABAJO DE PARTO">
      <formula>NOT(ISERROR(SEARCH("LE HACEN CESÁREA SIN INICIO TRABAJO DE PARTO",IT24)))</formula>
    </cfRule>
    <cfRule type="containsText" dxfId="2288" priority="2482" operator="containsText" text="LE HACEN INDUCCIÓN">
      <formula>NOT(ISERROR(SEARCH("LE HACEN INDUCCIÓN",IT24)))</formula>
    </cfRule>
    <cfRule type="containsText" dxfId="2287" priority="2483" operator="containsText" text="ESPONTÁNEO">
      <formula>NOT(ISERROR(SEARCH("ESPONTÁNEO",IT24)))</formula>
    </cfRule>
  </conditionalFormatting>
  <conditionalFormatting sqref="JI24">
    <cfRule type="containsText" dxfId="2286" priority="2477" operator="containsText" text="NO APLICA">
      <formula>NOT(ISERROR(SEARCH("NO APLICA",JI24)))</formula>
    </cfRule>
    <cfRule type="containsText" dxfId="2285" priority="2478" operator="containsText" text="SIN DATO">
      <formula>NOT(ISERROR(SEARCH("SIN DATO",JI24)))</formula>
    </cfRule>
    <cfRule type="containsText" dxfId="2284" priority="2479" operator="containsText" text="NO">
      <formula>NOT(ISERROR(SEARCH("NO",JI24)))</formula>
    </cfRule>
    <cfRule type="containsText" dxfId="2283" priority="2480" operator="containsText" text="SI">
      <formula>NOT(ISERROR(SEARCH("SI",JI24)))</formula>
    </cfRule>
  </conditionalFormatting>
  <conditionalFormatting sqref="IR25">
    <cfRule type="containsText" dxfId="2282" priority="2473" operator="containsText" text="NO APLICA">
      <formula>NOT(ISERROR(SEARCH("NO APLICA",IR25)))</formula>
    </cfRule>
    <cfRule type="containsText" dxfId="2281" priority="2474" operator="containsText" text="ALTA">
      <formula>NOT(ISERROR(SEARCH("ALTA",IR25)))</formula>
    </cfRule>
    <cfRule type="containsText" dxfId="2280" priority="2475" operator="containsText" text="MEDIANA">
      <formula>NOT(ISERROR(SEARCH("MEDIANA",IR25)))</formula>
    </cfRule>
    <cfRule type="containsText" dxfId="2279" priority="2476" operator="containsText" text="BAJA">
      <formula>NOT(ISERROR(SEARCH("BAJA",IR25)))</formula>
    </cfRule>
  </conditionalFormatting>
  <conditionalFormatting sqref="IS25:IT25">
    <cfRule type="containsText" dxfId="2278" priority="2466" operator="containsText" text="NO APLICA">
      <formula>NOT(ISERROR(SEARCH("NO APLICA",IS25)))</formula>
    </cfRule>
    <cfRule type="containsText" dxfId="2277" priority="2467" operator="containsText" text="SIN">
      <formula>NOT(ISERROR(SEARCH("SIN",IS25)))</formula>
    </cfRule>
    <cfRule type="containsText" dxfId="2276" priority="2468" operator="containsText" text="EQUIPO">
      <formula>NOT(ISERROR(SEARCH("EQUIPO",IS25)))</formula>
    </cfRule>
    <cfRule type="containsText" dxfId="2275" priority="2469" operator="containsText" text="MEDICO TRADICIONAL">
      <formula>NOT(ISERROR(SEARCH("MEDICO TRADICIONAL",IS25)))</formula>
    </cfRule>
    <cfRule type="containsText" dxfId="2274" priority="2470" operator="containsText" text="PARTERA">
      <formula>NOT(ISERROR(SEARCH("PARTERA",IS25)))</formula>
    </cfRule>
    <cfRule type="containsText" dxfId="2273" priority="2471" operator="containsText" text="TÉCNICO">
      <formula>NOT(ISERROR(SEARCH("TÉCNICO",IS25)))</formula>
    </cfRule>
    <cfRule type="containsText" dxfId="2272" priority="2472" operator="containsText" text="PROFESIONAL">
      <formula>NOT(ISERROR(SEARCH("PROFESIONAL",IS25)))</formula>
    </cfRule>
  </conditionalFormatting>
  <conditionalFormatting sqref="IT25">
    <cfRule type="containsText" dxfId="2271" priority="2463" operator="containsText" text="LE HACEN CESÁREA SIN INICIO TRABAJO DE PARTO">
      <formula>NOT(ISERROR(SEARCH("LE HACEN CESÁREA SIN INICIO TRABAJO DE PARTO",IT25)))</formula>
    </cfRule>
    <cfRule type="containsText" dxfId="2270" priority="2464" operator="containsText" text="LE HACEN INDUCCIÓN">
      <formula>NOT(ISERROR(SEARCH("LE HACEN INDUCCIÓN",IT25)))</formula>
    </cfRule>
    <cfRule type="containsText" dxfId="2269" priority="2465" operator="containsText" text="ESPONTÁNEO">
      <formula>NOT(ISERROR(SEARCH("ESPONTÁNEO",IT25)))</formula>
    </cfRule>
  </conditionalFormatting>
  <conditionalFormatting sqref="IR26">
    <cfRule type="containsText" dxfId="2268" priority="2459" operator="containsText" text="NO APLICA">
      <formula>NOT(ISERROR(SEARCH("NO APLICA",IR26)))</formula>
    </cfRule>
    <cfRule type="containsText" dxfId="2267" priority="2460" operator="containsText" text="ALTA">
      <formula>NOT(ISERROR(SEARCH("ALTA",IR26)))</formula>
    </cfRule>
    <cfRule type="containsText" dxfId="2266" priority="2461" operator="containsText" text="MEDIANA">
      <formula>NOT(ISERROR(SEARCH("MEDIANA",IR26)))</formula>
    </cfRule>
    <cfRule type="containsText" dxfId="2265" priority="2462" operator="containsText" text="BAJA">
      <formula>NOT(ISERROR(SEARCH("BAJA",IR26)))</formula>
    </cfRule>
  </conditionalFormatting>
  <conditionalFormatting sqref="IS26:IT26">
    <cfRule type="containsText" dxfId="2264" priority="2452" operator="containsText" text="NO APLICA">
      <formula>NOT(ISERROR(SEARCH("NO APLICA",IS26)))</formula>
    </cfRule>
    <cfRule type="containsText" dxfId="2263" priority="2453" operator="containsText" text="SIN">
      <formula>NOT(ISERROR(SEARCH("SIN",IS26)))</formula>
    </cfRule>
    <cfRule type="containsText" dxfId="2262" priority="2454" operator="containsText" text="EQUIPO">
      <formula>NOT(ISERROR(SEARCH("EQUIPO",IS26)))</formula>
    </cfRule>
    <cfRule type="containsText" dxfId="2261" priority="2455" operator="containsText" text="MEDICO TRADICIONAL">
      <formula>NOT(ISERROR(SEARCH("MEDICO TRADICIONAL",IS26)))</formula>
    </cfRule>
    <cfRule type="containsText" dxfId="2260" priority="2456" operator="containsText" text="PARTERA">
      <formula>NOT(ISERROR(SEARCH("PARTERA",IS26)))</formula>
    </cfRule>
    <cfRule type="containsText" dxfId="2259" priority="2457" operator="containsText" text="TÉCNICO">
      <formula>NOT(ISERROR(SEARCH("TÉCNICO",IS26)))</formula>
    </cfRule>
    <cfRule type="containsText" dxfId="2258" priority="2458" operator="containsText" text="PROFESIONAL">
      <formula>NOT(ISERROR(SEARCH("PROFESIONAL",IS26)))</formula>
    </cfRule>
  </conditionalFormatting>
  <conditionalFormatting sqref="IT26">
    <cfRule type="containsText" dxfId="2257" priority="2449" operator="containsText" text="LE HACEN CESÁREA SIN INICIO TRABAJO DE PARTO">
      <formula>NOT(ISERROR(SEARCH("LE HACEN CESÁREA SIN INICIO TRABAJO DE PARTO",IT26)))</formula>
    </cfRule>
    <cfRule type="containsText" dxfId="2256" priority="2450" operator="containsText" text="LE HACEN INDUCCIÓN">
      <formula>NOT(ISERROR(SEARCH("LE HACEN INDUCCIÓN",IT26)))</formula>
    </cfRule>
    <cfRule type="containsText" dxfId="2255" priority="2451" operator="containsText" text="ESPONTÁNEO">
      <formula>NOT(ISERROR(SEARCH("ESPONTÁNEO",IT26)))</formula>
    </cfRule>
  </conditionalFormatting>
  <conditionalFormatting sqref="IR27">
    <cfRule type="containsText" dxfId="2254" priority="2445" operator="containsText" text="NO APLICA">
      <formula>NOT(ISERROR(SEARCH("NO APLICA",IR27)))</formula>
    </cfRule>
    <cfRule type="containsText" dxfId="2253" priority="2446" operator="containsText" text="ALTA">
      <formula>NOT(ISERROR(SEARCH("ALTA",IR27)))</formula>
    </cfRule>
    <cfRule type="containsText" dxfId="2252" priority="2447" operator="containsText" text="MEDIANA">
      <formula>NOT(ISERROR(SEARCH("MEDIANA",IR27)))</formula>
    </cfRule>
    <cfRule type="containsText" dxfId="2251" priority="2448" operator="containsText" text="BAJA">
      <formula>NOT(ISERROR(SEARCH("BAJA",IR27)))</formula>
    </cfRule>
  </conditionalFormatting>
  <conditionalFormatting sqref="IS27:IT27">
    <cfRule type="containsText" dxfId="2250" priority="2438" operator="containsText" text="NO APLICA">
      <formula>NOT(ISERROR(SEARCH("NO APLICA",IS27)))</formula>
    </cfRule>
    <cfRule type="containsText" dxfId="2249" priority="2439" operator="containsText" text="SIN">
      <formula>NOT(ISERROR(SEARCH("SIN",IS27)))</formula>
    </cfRule>
    <cfRule type="containsText" dxfId="2248" priority="2440" operator="containsText" text="EQUIPO">
      <formula>NOT(ISERROR(SEARCH("EQUIPO",IS27)))</formula>
    </cfRule>
    <cfRule type="containsText" dxfId="2247" priority="2441" operator="containsText" text="MEDICO TRADICIONAL">
      <formula>NOT(ISERROR(SEARCH("MEDICO TRADICIONAL",IS27)))</formula>
    </cfRule>
    <cfRule type="containsText" dxfId="2246" priority="2442" operator="containsText" text="PARTERA">
      <formula>NOT(ISERROR(SEARCH("PARTERA",IS27)))</formula>
    </cfRule>
    <cfRule type="containsText" dxfId="2245" priority="2443" operator="containsText" text="TÉCNICO">
      <formula>NOT(ISERROR(SEARCH("TÉCNICO",IS27)))</formula>
    </cfRule>
    <cfRule type="containsText" dxfId="2244" priority="2444" operator="containsText" text="PROFESIONAL">
      <formula>NOT(ISERROR(SEARCH("PROFESIONAL",IS27)))</formula>
    </cfRule>
  </conditionalFormatting>
  <conditionalFormatting sqref="IT27">
    <cfRule type="containsText" dxfId="2243" priority="2435" operator="containsText" text="LE HACEN CESÁREA SIN INICIO TRABAJO DE PARTO">
      <formula>NOT(ISERROR(SEARCH("LE HACEN CESÁREA SIN INICIO TRABAJO DE PARTO",IT27)))</formula>
    </cfRule>
    <cfRule type="containsText" dxfId="2242" priority="2436" operator="containsText" text="LE HACEN INDUCCIÓN">
      <formula>NOT(ISERROR(SEARCH("LE HACEN INDUCCIÓN",IT27)))</formula>
    </cfRule>
    <cfRule type="containsText" dxfId="2241" priority="2437" operator="containsText" text="ESPONTÁNEO">
      <formula>NOT(ISERROR(SEARCH("ESPONTÁNEO",IT27)))</formula>
    </cfRule>
  </conditionalFormatting>
  <conditionalFormatting sqref="IR29">
    <cfRule type="containsText" dxfId="2240" priority="2431" operator="containsText" text="NO APLICA">
      <formula>NOT(ISERROR(SEARCH("NO APLICA",IR29)))</formula>
    </cfRule>
    <cfRule type="containsText" dxfId="2239" priority="2432" operator="containsText" text="ALTA">
      <formula>NOT(ISERROR(SEARCH("ALTA",IR29)))</formula>
    </cfRule>
    <cfRule type="containsText" dxfId="2238" priority="2433" operator="containsText" text="MEDIANA">
      <formula>NOT(ISERROR(SEARCH("MEDIANA",IR29)))</formula>
    </cfRule>
    <cfRule type="containsText" dxfId="2237" priority="2434" operator="containsText" text="BAJA">
      <formula>NOT(ISERROR(SEARCH("BAJA",IR29)))</formula>
    </cfRule>
  </conditionalFormatting>
  <conditionalFormatting sqref="IS29:IT29">
    <cfRule type="containsText" dxfId="2236" priority="2424" operator="containsText" text="NO APLICA">
      <formula>NOT(ISERROR(SEARCH("NO APLICA",IS29)))</formula>
    </cfRule>
    <cfRule type="containsText" dxfId="2235" priority="2425" operator="containsText" text="SIN">
      <formula>NOT(ISERROR(SEARCH("SIN",IS29)))</formula>
    </cfRule>
    <cfRule type="containsText" dxfId="2234" priority="2426" operator="containsText" text="EQUIPO">
      <formula>NOT(ISERROR(SEARCH("EQUIPO",IS29)))</formula>
    </cfRule>
    <cfRule type="containsText" dxfId="2233" priority="2427" operator="containsText" text="MEDICO TRADICIONAL">
      <formula>NOT(ISERROR(SEARCH("MEDICO TRADICIONAL",IS29)))</formula>
    </cfRule>
    <cfRule type="containsText" dxfId="2232" priority="2428" operator="containsText" text="PARTERA">
      <formula>NOT(ISERROR(SEARCH("PARTERA",IS29)))</formula>
    </cfRule>
    <cfRule type="containsText" dxfId="2231" priority="2429" operator="containsText" text="TÉCNICO">
      <formula>NOT(ISERROR(SEARCH("TÉCNICO",IS29)))</formula>
    </cfRule>
    <cfRule type="containsText" dxfId="2230" priority="2430" operator="containsText" text="PROFESIONAL">
      <formula>NOT(ISERROR(SEARCH("PROFESIONAL",IS29)))</formula>
    </cfRule>
  </conditionalFormatting>
  <conditionalFormatting sqref="IT29">
    <cfRule type="containsText" dxfId="2229" priority="2421" operator="containsText" text="LE HACEN CESÁREA SIN INICIO TRABAJO DE PARTO">
      <formula>NOT(ISERROR(SEARCH("LE HACEN CESÁREA SIN INICIO TRABAJO DE PARTO",IT29)))</formula>
    </cfRule>
    <cfRule type="containsText" dxfId="2228" priority="2422" operator="containsText" text="LE HACEN INDUCCIÓN">
      <formula>NOT(ISERROR(SEARCH("LE HACEN INDUCCIÓN",IT29)))</formula>
    </cfRule>
    <cfRule type="containsText" dxfId="2227" priority="2423" operator="containsText" text="ESPONTÁNEO">
      <formula>NOT(ISERROR(SEARCH("ESPONTÁNEO",IT29)))</formula>
    </cfRule>
  </conditionalFormatting>
  <conditionalFormatting sqref="IR30">
    <cfRule type="containsText" dxfId="2226" priority="2417" operator="containsText" text="NO APLICA">
      <formula>NOT(ISERROR(SEARCH("NO APLICA",IR30)))</formula>
    </cfRule>
    <cfRule type="containsText" dxfId="2225" priority="2418" operator="containsText" text="ALTA">
      <formula>NOT(ISERROR(SEARCH("ALTA",IR30)))</formula>
    </cfRule>
    <cfRule type="containsText" dxfId="2224" priority="2419" operator="containsText" text="MEDIANA">
      <formula>NOT(ISERROR(SEARCH("MEDIANA",IR30)))</formula>
    </cfRule>
    <cfRule type="containsText" dxfId="2223" priority="2420" operator="containsText" text="BAJA">
      <formula>NOT(ISERROR(SEARCH("BAJA",IR30)))</formula>
    </cfRule>
  </conditionalFormatting>
  <conditionalFormatting sqref="IS30:IT30">
    <cfRule type="containsText" dxfId="2222" priority="2410" operator="containsText" text="NO APLICA">
      <formula>NOT(ISERROR(SEARCH("NO APLICA",IS30)))</formula>
    </cfRule>
    <cfRule type="containsText" dxfId="2221" priority="2411" operator="containsText" text="SIN">
      <formula>NOT(ISERROR(SEARCH("SIN",IS30)))</formula>
    </cfRule>
    <cfRule type="containsText" dxfId="2220" priority="2412" operator="containsText" text="EQUIPO">
      <formula>NOT(ISERROR(SEARCH("EQUIPO",IS30)))</formula>
    </cfRule>
    <cfRule type="containsText" dxfId="2219" priority="2413" operator="containsText" text="MEDICO TRADICIONAL">
      <formula>NOT(ISERROR(SEARCH("MEDICO TRADICIONAL",IS30)))</formula>
    </cfRule>
    <cfRule type="containsText" dxfId="2218" priority="2414" operator="containsText" text="PARTERA">
      <formula>NOT(ISERROR(SEARCH("PARTERA",IS30)))</formula>
    </cfRule>
    <cfRule type="containsText" dxfId="2217" priority="2415" operator="containsText" text="TÉCNICO">
      <formula>NOT(ISERROR(SEARCH("TÉCNICO",IS30)))</formula>
    </cfRule>
    <cfRule type="containsText" dxfId="2216" priority="2416" operator="containsText" text="PROFESIONAL">
      <formula>NOT(ISERROR(SEARCH("PROFESIONAL",IS30)))</formula>
    </cfRule>
  </conditionalFormatting>
  <conditionalFormatting sqref="IT30">
    <cfRule type="containsText" dxfId="2215" priority="2407" operator="containsText" text="LE HACEN CESÁREA SIN INICIO TRABAJO DE PARTO">
      <formula>NOT(ISERROR(SEARCH("LE HACEN CESÁREA SIN INICIO TRABAJO DE PARTO",IT30)))</formula>
    </cfRule>
    <cfRule type="containsText" dxfId="2214" priority="2408" operator="containsText" text="LE HACEN INDUCCIÓN">
      <formula>NOT(ISERROR(SEARCH("LE HACEN INDUCCIÓN",IT30)))</formula>
    </cfRule>
    <cfRule type="containsText" dxfId="2213" priority="2409" operator="containsText" text="ESPONTÁNEO">
      <formula>NOT(ISERROR(SEARCH("ESPONTÁNEO",IT30)))</formula>
    </cfRule>
  </conditionalFormatting>
  <conditionalFormatting sqref="IR31">
    <cfRule type="containsText" dxfId="2212" priority="2403" operator="containsText" text="NO APLICA">
      <formula>NOT(ISERROR(SEARCH("NO APLICA",IR31)))</formula>
    </cfRule>
    <cfRule type="containsText" dxfId="2211" priority="2404" operator="containsText" text="ALTA">
      <formula>NOT(ISERROR(SEARCH("ALTA",IR31)))</formula>
    </cfRule>
    <cfRule type="containsText" dxfId="2210" priority="2405" operator="containsText" text="MEDIANA">
      <formula>NOT(ISERROR(SEARCH("MEDIANA",IR31)))</formula>
    </cfRule>
    <cfRule type="containsText" dxfId="2209" priority="2406" operator="containsText" text="BAJA">
      <formula>NOT(ISERROR(SEARCH("BAJA",IR31)))</formula>
    </cfRule>
  </conditionalFormatting>
  <conditionalFormatting sqref="IS31:IT31">
    <cfRule type="containsText" dxfId="2208" priority="2396" operator="containsText" text="NO APLICA">
      <formula>NOT(ISERROR(SEARCH("NO APLICA",IS31)))</formula>
    </cfRule>
    <cfRule type="containsText" dxfId="2207" priority="2397" operator="containsText" text="SIN">
      <formula>NOT(ISERROR(SEARCH("SIN",IS31)))</formula>
    </cfRule>
    <cfRule type="containsText" dxfId="2206" priority="2398" operator="containsText" text="EQUIPO">
      <formula>NOT(ISERROR(SEARCH("EQUIPO",IS31)))</formula>
    </cfRule>
    <cfRule type="containsText" dxfId="2205" priority="2399" operator="containsText" text="MEDICO TRADICIONAL">
      <formula>NOT(ISERROR(SEARCH("MEDICO TRADICIONAL",IS31)))</formula>
    </cfRule>
    <cfRule type="containsText" dxfId="2204" priority="2400" operator="containsText" text="PARTERA">
      <formula>NOT(ISERROR(SEARCH("PARTERA",IS31)))</formula>
    </cfRule>
    <cfRule type="containsText" dxfId="2203" priority="2401" operator="containsText" text="TÉCNICO">
      <formula>NOT(ISERROR(SEARCH("TÉCNICO",IS31)))</formula>
    </cfRule>
    <cfRule type="containsText" dxfId="2202" priority="2402" operator="containsText" text="PROFESIONAL">
      <formula>NOT(ISERROR(SEARCH("PROFESIONAL",IS31)))</formula>
    </cfRule>
  </conditionalFormatting>
  <conditionalFormatting sqref="IT31">
    <cfRule type="containsText" dxfId="2201" priority="2393" operator="containsText" text="LE HACEN CESÁREA SIN INICIO TRABAJO DE PARTO">
      <formula>NOT(ISERROR(SEARCH("LE HACEN CESÁREA SIN INICIO TRABAJO DE PARTO",IT31)))</formula>
    </cfRule>
    <cfRule type="containsText" dxfId="2200" priority="2394" operator="containsText" text="LE HACEN INDUCCIÓN">
      <formula>NOT(ISERROR(SEARCH("LE HACEN INDUCCIÓN",IT31)))</formula>
    </cfRule>
    <cfRule type="containsText" dxfId="2199" priority="2395" operator="containsText" text="ESPONTÁNEO">
      <formula>NOT(ISERROR(SEARCH("ESPONTÁNEO",IT31)))</formula>
    </cfRule>
  </conditionalFormatting>
  <conditionalFormatting sqref="JI31">
    <cfRule type="containsText" dxfId="2198" priority="2389" operator="containsText" text="NO APLICA">
      <formula>NOT(ISERROR(SEARCH("NO APLICA",JI31)))</formula>
    </cfRule>
    <cfRule type="containsText" dxfId="2197" priority="2390" operator="containsText" text="SIN DATO">
      <formula>NOT(ISERROR(SEARCH("SIN DATO",JI31)))</formula>
    </cfRule>
    <cfRule type="containsText" dxfId="2196" priority="2391" operator="containsText" text="NO">
      <formula>NOT(ISERROR(SEARCH("NO",JI31)))</formula>
    </cfRule>
    <cfRule type="containsText" dxfId="2195" priority="2392" operator="containsText" text="SI">
      <formula>NOT(ISERROR(SEARCH("SI",JI31)))</formula>
    </cfRule>
  </conditionalFormatting>
  <conditionalFormatting sqref="IR32">
    <cfRule type="containsText" dxfId="2194" priority="2385" operator="containsText" text="NO APLICA">
      <formula>NOT(ISERROR(SEARCH("NO APLICA",IR32)))</formula>
    </cfRule>
    <cfRule type="containsText" dxfId="2193" priority="2386" operator="containsText" text="ALTA">
      <formula>NOT(ISERROR(SEARCH("ALTA",IR32)))</formula>
    </cfRule>
    <cfRule type="containsText" dxfId="2192" priority="2387" operator="containsText" text="MEDIANA">
      <formula>NOT(ISERROR(SEARCH("MEDIANA",IR32)))</formula>
    </cfRule>
    <cfRule type="containsText" dxfId="2191" priority="2388" operator="containsText" text="BAJA">
      <formula>NOT(ISERROR(SEARCH("BAJA",IR32)))</formula>
    </cfRule>
  </conditionalFormatting>
  <conditionalFormatting sqref="IS32:IT32">
    <cfRule type="containsText" dxfId="2190" priority="2378" operator="containsText" text="NO APLICA">
      <formula>NOT(ISERROR(SEARCH("NO APLICA",IS32)))</formula>
    </cfRule>
    <cfRule type="containsText" dxfId="2189" priority="2379" operator="containsText" text="SIN">
      <formula>NOT(ISERROR(SEARCH("SIN",IS32)))</formula>
    </cfRule>
    <cfRule type="containsText" dxfId="2188" priority="2380" operator="containsText" text="EQUIPO">
      <formula>NOT(ISERROR(SEARCH("EQUIPO",IS32)))</formula>
    </cfRule>
    <cfRule type="containsText" dxfId="2187" priority="2381" operator="containsText" text="MEDICO TRADICIONAL">
      <formula>NOT(ISERROR(SEARCH("MEDICO TRADICIONAL",IS32)))</formula>
    </cfRule>
    <cfRule type="containsText" dxfId="2186" priority="2382" operator="containsText" text="PARTERA">
      <formula>NOT(ISERROR(SEARCH("PARTERA",IS32)))</formula>
    </cfRule>
    <cfRule type="containsText" dxfId="2185" priority="2383" operator="containsText" text="TÉCNICO">
      <formula>NOT(ISERROR(SEARCH("TÉCNICO",IS32)))</formula>
    </cfRule>
    <cfRule type="containsText" dxfId="2184" priority="2384" operator="containsText" text="PROFESIONAL">
      <formula>NOT(ISERROR(SEARCH("PROFESIONAL",IS32)))</formula>
    </cfRule>
  </conditionalFormatting>
  <conditionalFormatting sqref="IT32">
    <cfRule type="containsText" dxfId="2183" priority="2375" operator="containsText" text="LE HACEN CESÁREA SIN INICIO TRABAJO DE PARTO">
      <formula>NOT(ISERROR(SEARCH("LE HACEN CESÁREA SIN INICIO TRABAJO DE PARTO",IT32)))</formula>
    </cfRule>
    <cfRule type="containsText" dxfId="2182" priority="2376" operator="containsText" text="LE HACEN INDUCCIÓN">
      <formula>NOT(ISERROR(SEARCH("LE HACEN INDUCCIÓN",IT32)))</formula>
    </cfRule>
    <cfRule type="containsText" dxfId="2181" priority="2377" operator="containsText" text="ESPONTÁNEO">
      <formula>NOT(ISERROR(SEARCH("ESPONTÁNEO",IT32)))</formula>
    </cfRule>
  </conditionalFormatting>
  <conditionalFormatting sqref="IR33">
    <cfRule type="containsText" dxfId="2180" priority="2371" operator="containsText" text="NO APLICA">
      <formula>NOT(ISERROR(SEARCH("NO APLICA",IR33)))</formula>
    </cfRule>
    <cfRule type="containsText" dxfId="2179" priority="2372" operator="containsText" text="ALTA">
      <formula>NOT(ISERROR(SEARCH("ALTA",IR33)))</formula>
    </cfRule>
    <cfRule type="containsText" dxfId="2178" priority="2373" operator="containsText" text="MEDIANA">
      <formula>NOT(ISERROR(SEARCH("MEDIANA",IR33)))</formula>
    </cfRule>
    <cfRule type="containsText" dxfId="2177" priority="2374" operator="containsText" text="BAJA">
      <formula>NOT(ISERROR(SEARCH("BAJA",IR33)))</formula>
    </cfRule>
  </conditionalFormatting>
  <conditionalFormatting sqref="IS33:IT33">
    <cfRule type="containsText" dxfId="2176" priority="2364" operator="containsText" text="NO APLICA">
      <formula>NOT(ISERROR(SEARCH("NO APLICA",IS33)))</formula>
    </cfRule>
    <cfRule type="containsText" dxfId="2175" priority="2365" operator="containsText" text="SIN">
      <formula>NOT(ISERROR(SEARCH("SIN",IS33)))</formula>
    </cfRule>
    <cfRule type="containsText" dxfId="2174" priority="2366" operator="containsText" text="EQUIPO">
      <formula>NOT(ISERROR(SEARCH("EQUIPO",IS33)))</formula>
    </cfRule>
    <cfRule type="containsText" dxfId="2173" priority="2367" operator="containsText" text="MEDICO TRADICIONAL">
      <formula>NOT(ISERROR(SEARCH("MEDICO TRADICIONAL",IS33)))</formula>
    </cfRule>
    <cfRule type="containsText" dxfId="2172" priority="2368" operator="containsText" text="PARTERA">
      <formula>NOT(ISERROR(SEARCH("PARTERA",IS33)))</formula>
    </cfRule>
    <cfRule type="containsText" dxfId="2171" priority="2369" operator="containsText" text="TÉCNICO">
      <formula>NOT(ISERROR(SEARCH("TÉCNICO",IS33)))</formula>
    </cfRule>
    <cfRule type="containsText" dxfId="2170" priority="2370" operator="containsText" text="PROFESIONAL">
      <formula>NOT(ISERROR(SEARCH("PROFESIONAL",IS33)))</formula>
    </cfRule>
  </conditionalFormatting>
  <conditionalFormatting sqref="IT33">
    <cfRule type="containsText" dxfId="2169" priority="2361" operator="containsText" text="LE HACEN CESÁREA SIN INICIO TRABAJO DE PARTO">
      <formula>NOT(ISERROR(SEARCH("LE HACEN CESÁREA SIN INICIO TRABAJO DE PARTO",IT33)))</formula>
    </cfRule>
    <cfRule type="containsText" dxfId="2168" priority="2362" operator="containsText" text="LE HACEN INDUCCIÓN">
      <formula>NOT(ISERROR(SEARCH("LE HACEN INDUCCIÓN",IT33)))</formula>
    </cfRule>
    <cfRule type="containsText" dxfId="2167" priority="2363" operator="containsText" text="ESPONTÁNEO">
      <formula>NOT(ISERROR(SEARCH("ESPONTÁNEO",IT33)))</formula>
    </cfRule>
  </conditionalFormatting>
  <conditionalFormatting sqref="JI33">
    <cfRule type="containsText" dxfId="2166" priority="2357" operator="containsText" text="NO APLICA">
      <formula>NOT(ISERROR(SEARCH("NO APLICA",JI33)))</formula>
    </cfRule>
    <cfRule type="containsText" dxfId="2165" priority="2358" operator="containsText" text="SIN DATO">
      <formula>NOT(ISERROR(SEARCH("SIN DATO",JI33)))</formula>
    </cfRule>
    <cfRule type="containsText" dxfId="2164" priority="2359" operator="containsText" text="NO">
      <formula>NOT(ISERROR(SEARCH("NO",JI33)))</formula>
    </cfRule>
    <cfRule type="containsText" dxfId="2163" priority="2360" operator="containsText" text="SI">
      <formula>NOT(ISERROR(SEARCH("SI",JI33)))</formula>
    </cfRule>
  </conditionalFormatting>
  <conditionalFormatting sqref="IR34">
    <cfRule type="containsText" dxfId="2162" priority="2353" operator="containsText" text="NO APLICA">
      <formula>NOT(ISERROR(SEARCH("NO APLICA",IR34)))</formula>
    </cfRule>
    <cfRule type="containsText" dxfId="2161" priority="2354" operator="containsText" text="ALTA">
      <formula>NOT(ISERROR(SEARCH("ALTA",IR34)))</formula>
    </cfRule>
    <cfRule type="containsText" dxfId="2160" priority="2355" operator="containsText" text="MEDIANA">
      <formula>NOT(ISERROR(SEARCH("MEDIANA",IR34)))</formula>
    </cfRule>
    <cfRule type="containsText" dxfId="2159" priority="2356" operator="containsText" text="BAJA">
      <formula>NOT(ISERROR(SEARCH("BAJA",IR34)))</formula>
    </cfRule>
  </conditionalFormatting>
  <conditionalFormatting sqref="IS34:IT34">
    <cfRule type="containsText" dxfId="2158" priority="2346" operator="containsText" text="NO APLICA">
      <formula>NOT(ISERROR(SEARCH("NO APLICA",IS34)))</formula>
    </cfRule>
    <cfRule type="containsText" dxfId="2157" priority="2347" operator="containsText" text="SIN">
      <formula>NOT(ISERROR(SEARCH("SIN",IS34)))</formula>
    </cfRule>
    <cfRule type="containsText" dxfId="2156" priority="2348" operator="containsText" text="EQUIPO">
      <formula>NOT(ISERROR(SEARCH("EQUIPO",IS34)))</formula>
    </cfRule>
    <cfRule type="containsText" dxfId="2155" priority="2349" operator="containsText" text="MEDICO TRADICIONAL">
      <formula>NOT(ISERROR(SEARCH("MEDICO TRADICIONAL",IS34)))</formula>
    </cfRule>
    <cfRule type="containsText" dxfId="2154" priority="2350" operator="containsText" text="PARTERA">
      <formula>NOT(ISERROR(SEARCH("PARTERA",IS34)))</formula>
    </cfRule>
    <cfRule type="containsText" dxfId="2153" priority="2351" operator="containsText" text="TÉCNICO">
      <formula>NOT(ISERROR(SEARCH("TÉCNICO",IS34)))</formula>
    </cfRule>
    <cfRule type="containsText" dxfId="2152" priority="2352" operator="containsText" text="PROFESIONAL">
      <formula>NOT(ISERROR(SEARCH("PROFESIONAL",IS34)))</formula>
    </cfRule>
  </conditionalFormatting>
  <conditionalFormatting sqref="IT34">
    <cfRule type="containsText" dxfId="2151" priority="2343" operator="containsText" text="LE HACEN CESÁREA SIN INICIO TRABAJO DE PARTO">
      <formula>NOT(ISERROR(SEARCH("LE HACEN CESÁREA SIN INICIO TRABAJO DE PARTO",IT34)))</formula>
    </cfRule>
    <cfRule type="containsText" dxfId="2150" priority="2344" operator="containsText" text="LE HACEN INDUCCIÓN">
      <formula>NOT(ISERROR(SEARCH("LE HACEN INDUCCIÓN",IT34)))</formula>
    </cfRule>
    <cfRule type="containsText" dxfId="2149" priority="2345" operator="containsText" text="ESPONTÁNEO">
      <formula>NOT(ISERROR(SEARCH("ESPONTÁNEO",IT34)))</formula>
    </cfRule>
  </conditionalFormatting>
  <conditionalFormatting sqref="JI34">
    <cfRule type="containsText" dxfId="2148" priority="2339" operator="containsText" text="NO APLICA">
      <formula>NOT(ISERROR(SEARCH("NO APLICA",JI34)))</formula>
    </cfRule>
    <cfRule type="containsText" dxfId="2147" priority="2340" operator="containsText" text="SIN DATO">
      <formula>NOT(ISERROR(SEARCH("SIN DATO",JI34)))</formula>
    </cfRule>
    <cfRule type="containsText" dxfId="2146" priority="2341" operator="containsText" text="NO">
      <formula>NOT(ISERROR(SEARCH("NO",JI34)))</formula>
    </cfRule>
    <cfRule type="containsText" dxfId="2145" priority="2342" operator="containsText" text="SI">
      <formula>NOT(ISERROR(SEARCH("SI",JI34)))</formula>
    </cfRule>
  </conditionalFormatting>
  <conditionalFormatting sqref="IR35">
    <cfRule type="containsText" dxfId="2144" priority="2335" operator="containsText" text="NO APLICA">
      <formula>NOT(ISERROR(SEARCH("NO APLICA",IR35)))</formula>
    </cfRule>
    <cfRule type="containsText" dxfId="2143" priority="2336" operator="containsText" text="ALTA">
      <formula>NOT(ISERROR(SEARCH("ALTA",IR35)))</formula>
    </cfRule>
    <cfRule type="containsText" dxfId="2142" priority="2337" operator="containsText" text="MEDIANA">
      <formula>NOT(ISERROR(SEARCH("MEDIANA",IR35)))</formula>
    </cfRule>
    <cfRule type="containsText" dxfId="2141" priority="2338" operator="containsText" text="BAJA">
      <formula>NOT(ISERROR(SEARCH("BAJA",IR35)))</formula>
    </cfRule>
  </conditionalFormatting>
  <conditionalFormatting sqref="IS35:IT35">
    <cfRule type="containsText" dxfId="2140" priority="2328" operator="containsText" text="NO APLICA">
      <formula>NOT(ISERROR(SEARCH("NO APLICA",IS35)))</formula>
    </cfRule>
    <cfRule type="containsText" dxfId="2139" priority="2329" operator="containsText" text="SIN">
      <formula>NOT(ISERROR(SEARCH("SIN",IS35)))</formula>
    </cfRule>
    <cfRule type="containsText" dxfId="2138" priority="2330" operator="containsText" text="EQUIPO">
      <formula>NOT(ISERROR(SEARCH("EQUIPO",IS35)))</formula>
    </cfRule>
    <cfRule type="containsText" dxfId="2137" priority="2331" operator="containsText" text="MEDICO TRADICIONAL">
      <formula>NOT(ISERROR(SEARCH("MEDICO TRADICIONAL",IS35)))</formula>
    </cfRule>
    <cfRule type="containsText" dxfId="2136" priority="2332" operator="containsText" text="PARTERA">
      <formula>NOT(ISERROR(SEARCH("PARTERA",IS35)))</formula>
    </cfRule>
    <cfRule type="containsText" dxfId="2135" priority="2333" operator="containsText" text="TÉCNICO">
      <formula>NOT(ISERROR(SEARCH("TÉCNICO",IS35)))</formula>
    </cfRule>
    <cfRule type="containsText" dxfId="2134" priority="2334" operator="containsText" text="PROFESIONAL">
      <formula>NOT(ISERROR(SEARCH("PROFESIONAL",IS35)))</formula>
    </cfRule>
  </conditionalFormatting>
  <conditionalFormatting sqref="IT35">
    <cfRule type="containsText" dxfId="2133" priority="2325" operator="containsText" text="LE HACEN CESÁREA SIN INICIO TRABAJO DE PARTO">
      <formula>NOT(ISERROR(SEARCH("LE HACEN CESÁREA SIN INICIO TRABAJO DE PARTO",IT35)))</formula>
    </cfRule>
    <cfRule type="containsText" dxfId="2132" priority="2326" operator="containsText" text="LE HACEN INDUCCIÓN">
      <formula>NOT(ISERROR(SEARCH("LE HACEN INDUCCIÓN",IT35)))</formula>
    </cfRule>
    <cfRule type="containsText" dxfId="2131" priority="2327" operator="containsText" text="ESPONTÁNEO">
      <formula>NOT(ISERROR(SEARCH("ESPONTÁNEO",IT35)))</formula>
    </cfRule>
  </conditionalFormatting>
  <conditionalFormatting sqref="JI35">
    <cfRule type="containsText" dxfId="2130" priority="2321" operator="containsText" text="NO APLICA">
      <formula>NOT(ISERROR(SEARCH("NO APLICA",JI35)))</formula>
    </cfRule>
    <cfRule type="containsText" dxfId="2129" priority="2322" operator="containsText" text="SIN DATO">
      <formula>NOT(ISERROR(SEARCH("SIN DATO",JI35)))</formula>
    </cfRule>
    <cfRule type="containsText" dxfId="2128" priority="2323" operator="containsText" text="NO">
      <formula>NOT(ISERROR(SEARCH("NO",JI35)))</formula>
    </cfRule>
    <cfRule type="containsText" dxfId="2127" priority="2324" operator="containsText" text="SI">
      <formula>NOT(ISERROR(SEARCH("SI",JI35)))</formula>
    </cfRule>
  </conditionalFormatting>
  <conditionalFormatting sqref="IR36">
    <cfRule type="containsText" dxfId="2126" priority="2317" operator="containsText" text="NO APLICA">
      <formula>NOT(ISERROR(SEARCH("NO APLICA",IR36)))</formula>
    </cfRule>
    <cfRule type="containsText" dxfId="2125" priority="2318" operator="containsText" text="ALTA">
      <formula>NOT(ISERROR(SEARCH("ALTA",IR36)))</formula>
    </cfRule>
    <cfRule type="containsText" dxfId="2124" priority="2319" operator="containsText" text="MEDIANA">
      <formula>NOT(ISERROR(SEARCH("MEDIANA",IR36)))</formula>
    </cfRule>
    <cfRule type="containsText" dxfId="2123" priority="2320" operator="containsText" text="BAJA">
      <formula>NOT(ISERROR(SEARCH("BAJA",IR36)))</formula>
    </cfRule>
  </conditionalFormatting>
  <conditionalFormatting sqref="IS36:IT36">
    <cfRule type="containsText" dxfId="2122" priority="2310" operator="containsText" text="NO APLICA">
      <formula>NOT(ISERROR(SEARCH("NO APLICA",IS36)))</formula>
    </cfRule>
    <cfRule type="containsText" dxfId="2121" priority="2311" operator="containsText" text="SIN">
      <formula>NOT(ISERROR(SEARCH("SIN",IS36)))</formula>
    </cfRule>
    <cfRule type="containsText" dxfId="2120" priority="2312" operator="containsText" text="EQUIPO">
      <formula>NOT(ISERROR(SEARCH("EQUIPO",IS36)))</formula>
    </cfRule>
    <cfRule type="containsText" dxfId="2119" priority="2313" operator="containsText" text="MEDICO TRADICIONAL">
      <formula>NOT(ISERROR(SEARCH("MEDICO TRADICIONAL",IS36)))</formula>
    </cfRule>
    <cfRule type="containsText" dxfId="2118" priority="2314" operator="containsText" text="PARTERA">
      <formula>NOT(ISERROR(SEARCH("PARTERA",IS36)))</formula>
    </cfRule>
    <cfRule type="containsText" dxfId="2117" priority="2315" operator="containsText" text="TÉCNICO">
      <formula>NOT(ISERROR(SEARCH("TÉCNICO",IS36)))</formula>
    </cfRule>
    <cfRule type="containsText" dxfId="2116" priority="2316" operator="containsText" text="PROFESIONAL">
      <formula>NOT(ISERROR(SEARCH("PROFESIONAL",IS36)))</formula>
    </cfRule>
  </conditionalFormatting>
  <conditionalFormatting sqref="IT36">
    <cfRule type="containsText" dxfId="2115" priority="2307" operator="containsText" text="LE HACEN CESÁREA SIN INICIO TRABAJO DE PARTO">
      <formula>NOT(ISERROR(SEARCH("LE HACEN CESÁREA SIN INICIO TRABAJO DE PARTO",IT36)))</formula>
    </cfRule>
    <cfRule type="containsText" dxfId="2114" priority="2308" operator="containsText" text="LE HACEN INDUCCIÓN">
      <formula>NOT(ISERROR(SEARCH("LE HACEN INDUCCIÓN",IT36)))</formula>
    </cfRule>
    <cfRule type="containsText" dxfId="2113" priority="2309" operator="containsText" text="ESPONTÁNEO">
      <formula>NOT(ISERROR(SEARCH("ESPONTÁNEO",IT36)))</formula>
    </cfRule>
  </conditionalFormatting>
  <conditionalFormatting sqref="IR37">
    <cfRule type="containsText" dxfId="2112" priority="2303" operator="containsText" text="NO APLICA">
      <formula>NOT(ISERROR(SEARCH("NO APLICA",IR37)))</formula>
    </cfRule>
    <cfRule type="containsText" dxfId="2111" priority="2304" operator="containsText" text="ALTA">
      <formula>NOT(ISERROR(SEARCH("ALTA",IR37)))</formula>
    </cfRule>
    <cfRule type="containsText" dxfId="2110" priority="2305" operator="containsText" text="MEDIANA">
      <formula>NOT(ISERROR(SEARCH("MEDIANA",IR37)))</formula>
    </cfRule>
    <cfRule type="containsText" dxfId="2109" priority="2306" operator="containsText" text="BAJA">
      <formula>NOT(ISERROR(SEARCH("BAJA",IR37)))</formula>
    </cfRule>
  </conditionalFormatting>
  <conditionalFormatting sqref="IS37:IT37">
    <cfRule type="containsText" dxfId="2108" priority="2296" operator="containsText" text="NO APLICA">
      <formula>NOT(ISERROR(SEARCH("NO APLICA",IS37)))</formula>
    </cfRule>
    <cfRule type="containsText" dxfId="2107" priority="2297" operator="containsText" text="SIN">
      <formula>NOT(ISERROR(SEARCH("SIN",IS37)))</formula>
    </cfRule>
    <cfRule type="containsText" dxfId="2106" priority="2298" operator="containsText" text="EQUIPO">
      <formula>NOT(ISERROR(SEARCH("EQUIPO",IS37)))</formula>
    </cfRule>
    <cfRule type="containsText" dxfId="2105" priority="2299" operator="containsText" text="MEDICO TRADICIONAL">
      <formula>NOT(ISERROR(SEARCH("MEDICO TRADICIONAL",IS37)))</formula>
    </cfRule>
    <cfRule type="containsText" dxfId="2104" priority="2300" operator="containsText" text="PARTERA">
      <formula>NOT(ISERROR(SEARCH("PARTERA",IS37)))</formula>
    </cfRule>
    <cfRule type="containsText" dxfId="2103" priority="2301" operator="containsText" text="TÉCNICO">
      <formula>NOT(ISERROR(SEARCH("TÉCNICO",IS37)))</formula>
    </cfRule>
    <cfRule type="containsText" dxfId="2102" priority="2302" operator="containsText" text="PROFESIONAL">
      <formula>NOT(ISERROR(SEARCH("PROFESIONAL",IS37)))</formula>
    </cfRule>
  </conditionalFormatting>
  <conditionalFormatting sqref="IT37">
    <cfRule type="containsText" dxfId="2101" priority="2293" operator="containsText" text="LE HACEN CESÁREA SIN INICIO TRABAJO DE PARTO">
      <formula>NOT(ISERROR(SEARCH("LE HACEN CESÁREA SIN INICIO TRABAJO DE PARTO",IT37)))</formula>
    </cfRule>
    <cfRule type="containsText" dxfId="2100" priority="2294" operator="containsText" text="LE HACEN INDUCCIÓN">
      <formula>NOT(ISERROR(SEARCH("LE HACEN INDUCCIÓN",IT37)))</formula>
    </cfRule>
    <cfRule type="containsText" dxfId="2099" priority="2295" operator="containsText" text="ESPONTÁNEO">
      <formula>NOT(ISERROR(SEARCH("ESPONTÁNEO",IT37)))</formula>
    </cfRule>
  </conditionalFormatting>
  <conditionalFormatting sqref="JI37">
    <cfRule type="containsText" dxfId="2098" priority="2289" operator="containsText" text="NO APLICA">
      <formula>NOT(ISERROR(SEARCH("NO APLICA",JI37)))</formula>
    </cfRule>
    <cfRule type="containsText" dxfId="2097" priority="2290" operator="containsText" text="SIN DATO">
      <formula>NOT(ISERROR(SEARCH("SIN DATO",JI37)))</formula>
    </cfRule>
    <cfRule type="containsText" dxfId="2096" priority="2291" operator="containsText" text="NO">
      <formula>NOT(ISERROR(SEARCH("NO",JI37)))</formula>
    </cfRule>
    <cfRule type="containsText" dxfId="2095" priority="2292" operator="containsText" text="SI">
      <formula>NOT(ISERROR(SEARCH("SI",JI37)))</formula>
    </cfRule>
  </conditionalFormatting>
  <conditionalFormatting sqref="IS38:IT38">
    <cfRule type="containsText" dxfId="2094" priority="2282" operator="containsText" text="NO APLICA">
      <formula>NOT(ISERROR(SEARCH("NO APLICA",IS38)))</formula>
    </cfRule>
    <cfRule type="containsText" dxfId="2093" priority="2283" operator="containsText" text="SIN">
      <formula>NOT(ISERROR(SEARCH("SIN",IS38)))</formula>
    </cfRule>
    <cfRule type="containsText" dxfId="2092" priority="2284" operator="containsText" text="EQUIPO">
      <formula>NOT(ISERROR(SEARCH("EQUIPO",IS38)))</formula>
    </cfRule>
    <cfRule type="containsText" dxfId="2091" priority="2285" operator="containsText" text="MEDICO TRADICIONAL">
      <formula>NOT(ISERROR(SEARCH("MEDICO TRADICIONAL",IS38)))</formula>
    </cfRule>
    <cfRule type="containsText" dxfId="2090" priority="2286" operator="containsText" text="PARTERA">
      <formula>NOT(ISERROR(SEARCH("PARTERA",IS38)))</formula>
    </cfRule>
    <cfRule type="containsText" dxfId="2089" priority="2287" operator="containsText" text="TÉCNICO">
      <formula>NOT(ISERROR(SEARCH("TÉCNICO",IS38)))</formula>
    </cfRule>
    <cfRule type="containsText" dxfId="2088" priority="2288" operator="containsText" text="PROFESIONAL">
      <formula>NOT(ISERROR(SEARCH("PROFESIONAL",IS38)))</formula>
    </cfRule>
  </conditionalFormatting>
  <conditionalFormatting sqref="IT38">
    <cfRule type="containsText" dxfId="2087" priority="2279" operator="containsText" text="LE HACEN CESÁREA SIN INICIO TRABAJO DE PARTO">
      <formula>NOT(ISERROR(SEARCH("LE HACEN CESÁREA SIN INICIO TRABAJO DE PARTO",IT38)))</formula>
    </cfRule>
    <cfRule type="containsText" dxfId="2086" priority="2280" operator="containsText" text="LE HACEN INDUCCIÓN">
      <formula>NOT(ISERROR(SEARCH("LE HACEN INDUCCIÓN",IT38)))</formula>
    </cfRule>
    <cfRule type="containsText" dxfId="2085" priority="2281" operator="containsText" text="ESPONTÁNEO">
      <formula>NOT(ISERROR(SEARCH("ESPONTÁNEO",IT38)))</formula>
    </cfRule>
  </conditionalFormatting>
  <conditionalFormatting sqref="JI38">
    <cfRule type="containsText" dxfId="2084" priority="2275" operator="containsText" text="NO APLICA">
      <formula>NOT(ISERROR(SEARCH("NO APLICA",JI38)))</formula>
    </cfRule>
    <cfRule type="containsText" dxfId="2083" priority="2276" operator="containsText" text="SIN DATO">
      <formula>NOT(ISERROR(SEARCH("SIN DATO",JI38)))</formula>
    </cfRule>
    <cfRule type="containsText" dxfId="2082" priority="2277" operator="containsText" text="NO">
      <formula>NOT(ISERROR(SEARCH("NO",JI38)))</formula>
    </cfRule>
    <cfRule type="containsText" dxfId="2081" priority="2278" operator="containsText" text="SI">
      <formula>NOT(ISERROR(SEARCH("SI",JI38)))</formula>
    </cfRule>
  </conditionalFormatting>
  <conditionalFormatting sqref="IR39">
    <cfRule type="containsText" dxfId="2080" priority="2271" operator="containsText" text="NO APLICA">
      <formula>NOT(ISERROR(SEARCH("NO APLICA",IR39)))</formula>
    </cfRule>
    <cfRule type="containsText" dxfId="2079" priority="2272" operator="containsText" text="ALTA">
      <formula>NOT(ISERROR(SEARCH("ALTA",IR39)))</formula>
    </cfRule>
    <cfRule type="containsText" dxfId="2078" priority="2273" operator="containsText" text="MEDIANA">
      <formula>NOT(ISERROR(SEARCH("MEDIANA",IR39)))</formula>
    </cfRule>
    <cfRule type="containsText" dxfId="2077" priority="2274" operator="containsText" text="BAJA">
      <formula>NOT(ISERROR(SEARCH("BAJA",IR39)))</formula>
    </cfRule>
  </conditionalFormatting>
  <conditionalFormatting sqref="IS39:IT39">
    <cfRule type="containsText" dxfId="2076" priority="2264" operator="containsText" text="NO APLICA">
      <formula>NOT(ISERROR(SEARCH("NO APLICA",IS39)))</formula>
    </cfRule>
    <cfRule type="containsText" dxfId="2075" priority="2265" operator="containsText" text="SIN">
      <formula>NOT(ISERROR(SEARCH("SIN",IS39)))</formula>
    </cfRule>
    <cfRule type="containsText" dxfId="2074" priority="2266" operator="containsText" text="EQUIPO">
      <formula>NOT(ISERROR(SEARCH("EQUIPO",IS39)))</formula>
    </cfRule>
    <cfRule type="containsText" dxfId="2073" priority="2267" operator="containsText" text="MEDICO TRADICIONAL">
      <formula>NOT(ISERROR(SEARCH("MEDICO TRADICIONAL",IS39)))</formula>
    </cfRule>
    <cfRule type="containsText" dxfId="2072" priority="2268" operator="containsText" text="PARTERA">
      <formula>NOT(ISERROR(SEARCH("PARTERA",IS39)))</formula>
    </cfRule>
    <cfRule type="containsText" dxfId="2071" priority="2269" operator="containsText" text="TÉCNICO">
      <formula>NOT(ISERROR(SEARCH("TÉCNICO",IS39)))</formula>
    </cfRule>
    <cfRule type="containsText" dxfId="2070" priority="2270" operator="containsText" text="PROFESIONAL">
      <formula>NOT(ISERROR(SEARCH("PROFESIONAL",IS39)))</formula>
    </cfRule>
  </conditionalFormatting>
  <conditionalFormatting sqref="IT39">
    <cfRule type="containsText" dxfId="2069" priority="2261" operator="containsText" text="LE HACEN CESÁREA SIN INICIO TRABAJO DE PARTO">
      <formula>NOT(ISERROR(SEARCH("LE HACEN CESÁREA SIN INICIO TRABAJO DE PARTO",IT39)))</formula>
    </cfRule>
    <cfRule type="containsText" dxfId="2068" priority="2262" operator="containsText" text="LE HACEN INDUCCIÓN">
      <formula>NOT(ISERROR(SEARCH("LE HACEN INDUCCIÓN",IT39)))</formula>
    </cfRule>
    <cfRule type="containsText" dxfId="2067" priority="2263" operator="containsText" text="ESPONTÁNEO">
      <formula>NOT(ISERROR(SEARCH("ESPONTÁNEO",IT39)))</formula>
    </cfRule>
  </conditionalFormatting>
  <conditionalFormatting sqref="JI39">
    <cfRule type="containsText" dxfId="2066" priority="2257" operator="containsText" text="NO APLICA">
      <formula>NOT(ISERROR(SEARCH("NO APLICA",JI39)))</formula>
    </cfRule>
    <cfRule type="containsText" dxfId="2065" priority="2258" operator="containsText" text="SIN DATO">
      <formula>NOT(ISERROR(SEARCH("SIN DATO",JI39)))</formula>
    </cfRule>
    <cfRule type="containsText" dxfId="2064" priority="2259" operator="containsText" text="NO">
      <formula>NOT(ISERROR(SEARCH("NO",JI39)))</formula>
    </cfRule>
    <cfRule type="containsText" dxfId="2063" priority="2260" operator="containsText" text="SI">
      <formula>NOT(ISERROR(SEARCH("SI",JI39)))</formula>
    </cfRule>
  </conditionalFormatting>
  <conditionalFormatting sqref="IR40">
    <cfRule type="containsText" dxfId="2062" priority="2253" operator="containsText" text="NO APLICA">
      <formula>NOT(ISERROR(SEARCH("NO APLICA",IR40)))</formula>
    </cfRule>
    <cfRule type="containsText" dxfId="2061" priority="2254" operator="containsText" text="ALTA">
      <formula>NOT(ISERROR(SEARCH("ALTA",IR40)))</formula>
    </cfRule>
    <cfRule type="containsText" dxfId="2060" priority="2255" operator="containsText" text="MEDIANA">
      <formula>NOT(ISERROR(SEARCH("MEDIANA",IR40)))</formula>
    </cfRule>
    <cfRule type="containsText" dxfId="2059" priority="2256" operator="containsText" text="BAJA">
      <formula>NOT(ISERROR(SEARCH("BAJA",IR40)))</formula>
    </cfRule>
  </conditionalFormatting>
  <conditionalFormatting sqref="IS40:IT40">
    <cfRule type="containsText" dxfId="2058" priority="2246" operator="containsText" text="NO APLICA">
      <formula>NOT(ISERROR(SEARCH("NO APLICA",IS40)))</formula>
    </cfRule>
    <cfRule type="containsText" dxfId="2057" priority="2247" operator="containsText" text="SIN">
      <formula>NOT(ISERROR(SEARCH("SIN",IS40)))</formula>
    </cfRule>
    <cfRule type="containsText" dxfId="2056" priority="2248" operator="containsText" text="EQUIPO">
      <formula>NOT(ISERROR(SEARCH("EQUIPO",IS40)))</formula>
    </cfRule>
    <cfRule type="containsText" dxfId="2055" priority="2249" operator="containsText" text="MEDICO TRADICIONAL">
      <formula>NOT(ISERROR(SEARCH("MEDICO TRADICIONAL",IS40)))</formula>
    </cfRule>
    <cfRule type="containsText" dxfId="2054" priority="2250" operator="containsText" text="PARTERA">
      <formula>NOT(ISERROR(SEARCH("PARTERA",IS40)))</formula>
    </cfRule>
    <cfRule type="containsText" dxfId="2053" priority="2251" operator="containsText" text="TÉCNICO">
      <formula>NOT(ISERROR(SEARCH("TÉCNICO",IS40)))</formula>
    </cfRule>
    <cfRule type="containsText" dxfId="2052" priority="2252" operator="containsText" text="PROFESIONAL">
      <formula>NOT(ISERROR(SEARCH("PROFESIONAL",IS40)))</formula>
    </cfRule>
  </conditionalFormatting>
  <conditionalFormatting sqref="IT40">
    <cfRule type="containsText" dxfId="2051" priority="2243" operator="containsText" text="LE HACEN CESÁREA SIN INICIO TRABAJO DE PARTO">
      <formula>NOT(ISERROR(SEARCH("LE HACEN CESÁREA SIN INICIO TRABAJO DE PARTO",IT40)))</formula>
    </cfRule>
    <cfRule type="containsText" dxfId="2050" priority="2244" operator="containsText" text="LE HACEN INDUCCIÓN">
      <formula>NOT(ISERROR(SEARCH("LE HACEN INDUCCIÓN",IT40)))</formula>
    </cfRule>
    <cfRule type="containsText" dxfId="2049" priority="2245" operator="containsText" text="ESPONTÁNEO">
      <formula>NOT(ISERROR(SEARCH("ESPONTÁNEO",IT40)))</formula>
    </cfRule>
  </conditionalFormatting>
  <conditionalFormatting sqref="JI40">
    <cfRule type="containsText" dxfId="2048" priority="2239" operator="containsText" text="NO APLICA">
      <formula>NOT(ISERROR(SEARCH("NO APLICA",JI40)))</formula>
    </cfRule>
    <cfRule type="containsText" dxfId="2047" priority="2240" operator="containsText" text="SIN DATO">
      <formula>NOT(ISERROR(SEARCH("SIN DATO",JI40)))</formula>
    </cfRule>
    <cfRule type="containsText" dxfId="2046" priority="2241" operator="containsText" text="NO">
      <formula>NOT(ISERROR(SEARCH("NO",JI40)))</formula>
    </cfRule>
    <cfRule type="containsText" dxfId="2045" priority="2242" operator="containsText" text="SI">
      <formula>NOT(ISERROR(SEARCH("SI",JI40)))</formula>
    </cfRule>
  </conditionalFormatting>
  <conditionalFormatting sqref="IR42">
    <cfRule type="containsText" dxfId="2044" priority="2235" operator="containsText" text="NO APLICA">
      <formula>NOT(ISERROR(SEARCH("NO APLICA",IR42)))</formula>
    </cfRule>
    <cfRule type="containsText" dxfId="2043" priority="2236" operator="containsText" text="ALTA">
      <formula>NOT(ISERROR(SEARCH("ALTA",IR42)))</formula>
    </cfRule>
    <cfRule type="containsText" dxfId="2042" priority="2237" operator="containsText" text="MEDIANA">
      <formula>NOT(ISERROR(SEARCH("MEDIANA",IR42)))</formula>
    </cfRule>
    <cfRule type="containsText" dxfId="2041" priority="2238" operator="containsText" text="BAJA">
      <formula>NOT(ISERROR(SEARCH("BAJA",IR42)))</formula>
    </cfRule>
  </conditionalFormatting>
  <conditionalFormatting sqref="IS42:IT42">
    <cfRule type="containsText" dxfId="2040" priority="2228" operator="containsText" text="NO APLICA">
      <formula>NOT(ISERROR(SEARCH("NO APLICA",IS42)))</formula>
    </cfRule>
    <cfRule type="containsText" dxfId="2039" priority="2229" operator="containsText" text="SIN">
      <formula>NOT(ISERROR(SEARCH("SIN",IS42)))</formula>
    </cfRule>
    <cfRule type="containsText" dxfId="2038" priority="2230" operator="containsText" text="EQUIPO">
      <formula>NOT(ISERROR(SEARCH("EQUIPO",IS42)))</formula>
    </cfRule>
    <cfRule type="containsText" dxfId="2037" priority="2231" operator="containsText" text="MEDICO TRADICIONAL">
      <formula>NOT(ISERROR(SEARCH("MEDICO TRADICIONAL",IS42)))</formula>
    </cfRule>
    <cfRule type="containsText" dxfId="2036" priority="2232" operator="containsText" text="PARTERA">
      <formula>NOT(ISERROR(SEARCH("PARTERA",IS42)))</formula>
    </cfRule>
    <cfRule type="containsText" dxfId="2035" priority="2233" operator="containsText" text="TÉCNICO">
      <formula>NOT(ISERROR(SEARCH("TÉCNICO",IS42)))</formula>
    </cfRule>
    <cfRule type="containsText" dxfId="2034" priority="2234" operator="containsText" text="PROFESIONAL">
      <formula>NOT(ISERROR(SEARCH("PROFESIONAL",IS42)))</formula>
    </cfRule>
  </conditionalFormatting>
  <conditionalFormatting sqref="IT42">
    <cfRule type="containsText" dxfId="2033" priority="2225" operator="containsText" text="LE HACEN CESÁREA SIN INICIO TRABAJO DE PARTO">
      <formula>NOT(ISERROR(SEARCH("LE HACEN CESÁREA SIN INICIO TRABAJO DE PARTO",IT42)))</formula>
    </cfRule>
    <cfRule type="containsText" dxfId="2032" priority="2226" operator="containsText" text="LE HACEN INDUCCIÓN">
      <formula>NOT(ISERROR(SEARCH("LE HACEN INDUCCIÓN",IT42)))</formula>
    </cfRule>
    <cfRule type="containsText" dxfId="2031" priority="2227" operator="containsText" text="ESPONTÁNEO">
      <formula>NOT(ISERROR(SEARCH("ESPONTÁNEO",IT42)))</formula>
    </cfRule>
  </conditionalFormatting>
  <conditionalFormatting sqref="JI42">
    <cfRule type="containsText" dxfId="2030" priority="2221" operator="containsText" text="NO APLICA">
      <formula>NOT(ISERROR(SEARCH("NO APLICA",JI42)))</formula>
    </cfRule>
    <cfRule type="containsText" dxfId="2029" priority="2222" operator="containsText" text="SIN DATO">
      <formula>NOT(ISERROR(SEARCH("SIN DATO",JI42)))</formula>
    </cfRule>
    <cfRule type="containsText" dxfId="2028" priority="2223" operator="containsText" text="NO">
      <formula>NOT(ISERROR(SEARCH("NO",JI42)))</formula>
    </cfRule>
    <cfRule type="containsText" dxfId="2027" priority="2224" operator="containsText" text="SI">
      <formula>NOT(ISERROR(SEARCH("SI",JI42)))</formula>
    </cfRule>
  </conditionalFormatting>
  <conditionalFormatting sqref="IR43">
    <cfRule type="containsText" dxfId="2026" priority="2217" operator="containsText" text="NO APLICA">
      <formula>NOT(ISERROR(SEARCH("NO APLICA",IR43)))</formula>
    </cfRule>
    <cfRule type="containsText" dxfId="2025" priority="2218" operator="containsText" text="ALTA">
      <formula>NOT(ISERROR(SEARCH("ALTA",IR43)))</formula>
    </cfRule>
    <cfRule type="containsText" dxfId="2024" priority="2219" operator="containsText" text="MEDIANA">
      <formula>NOT(ISERROR(SEARCH("MEDIANA",IR43)))</formula>
    </cfRule>
    <cfRule type="containsText" dxfId="2023" priority="2220" operator="containsText" text="BAJA">
      <formula>NOT(ISERROR(SEARCH("BAJA",IR43)))</formula>
    </cfRule>
  </conditionalFormatting>
  <conditionalFormatting sqref="IS43:IT43">
    <cfRule type="containsText" dxfId="2022" priority="2210" operator="containsText" text="NO APLICA">
      <formula>NOT(ISERROR(SEARCH("NO APLICA",IS43)))</formula>
    </cfRule>
    <cfRule type="containsText" dxfId="2021" priority="2211" operator="containsText" text="SIN">
      <formula>NOT(ISERROR(SEARCH("SIN",IS43)))</formula>
    </cfRule>
    <cfRule type="containsText" dxfId="2020" priority="2212" operator="containsText" text="EQUIPO">
      <formula>NOT(ISERROR(SEARCH("EQUIPO",IS43)))</formula>
    </cfRule>
    <cfRule type="containsText" dxfId="2019" priority="2213" operator="containsText" text="MEDICO TRADICIONAL">
      <formula>NOT(ISERROR(SEARCH("MEDICO TRADICIONAL",IS43)))</formula>
    </cfRule>
    <cfRule type="containsText" dxfId="2018" priority="2214" operator="containsText" text="PARTERA">
      <formula>NOT(ISERROR(SEARCH("PARTERA",IS43)))</formula>
    </cfRule>
    <cfRule type="containsText" dxfId="2017" priority="2215" operator="containsText" text="TÉCNICO">
      <formula>NOT(ISERROR(SEARCH("TÉCNICO",IS43)))</formula>
    </cfRule>
    <cfRule type="containsText" dxfId="2016" priority="2216" operator="containsText" text="PROFESIONAL">
      <formula>NOT(ISERROR(SEARCH("PROFESIONAL",IS43)))</formula>
    </cfRule>
  </conditionalFormatting>
  <conditionalFormatting sqref="IT43">
    <cfRule type="containsText" dxfId="2015" priority="2207" operator="containsText" text="LE HACEN CESÁREA SIN INICIO TRABAJO DE PARTO">
      <formula>NOT(ISERROR(SEARCH("LE HACEN CESÁREA SIN INICIO TRABAJO DE PARTO",IT43)))</formula>
    </cfRule>
    <cfRule type="containsText" dxfId="2014" priority="2208" operator="containsText" text="LE HACEN INDUCCIÓN">
      <formula>NOT(ISERROR(SEARCH("LE HACEN INDUCCIÓN",IT43)))</formula>
    </cfRule>
    <cfRule type="containsText" dxfId="2013" priority="2209" operator="containsText" text="ESPONTÁNEO">
      <formula>NOT(ISERROR(SEARCH("ESPONTÁNEO",IT43)))</formula>
    </cfRule>
  </conditionalFormatting>
  <conditionalFormatting sqref="IR44">
    <cfRule type="containsText" dxfId="2012" priority="2203" operator="containsText" text="NO APLICA">
      <formula>NOT(ISERROR(SEARCH("NO APLICA",IR44)))</formula>
    </cfRule>
    <cfRule type="containsText" dxfId="2011" priority="2204" operator="containsText" text="ALTA">
      <formula>NOT(ISERROR(SEARCH("ALTA",IR44)))</formula>
    </cfRule>
    <cfRule type="containsText" dxfId="2010" priority="2205" operator="containsText" text="MEDIANA">
      <formula>NOT(ISERROR(SEARCH("MEDIANA",IR44)))</formula>
    </cfRule>
    <cfRule type="containsText" dxfId="2009" priority="2206" operator="containsText" text="BAJA">
      <formula>NOT(ISERROR(SEARCH("BAJA",IR44)))</formula>
    </cfRule>
  </conditionalFormatting>
  <conditionalFormatting sqref="IS44:IT44">
    <cfRule type="containsText" dxfId="2008" priority="2196" operator="containsText" text="NO APLICA">
      <formula>NOT(ISERROR(SEARCH("NO APLICA",IS44)))</formula>
    </cfRule>
    <cfRule type="containsText" dxfId="2007" priority="2197" operator="containsText" text="SIN">
      <formula>NOT(ISERROR(SEARCH("SIN",IS44)))</formula>
    </cfRule>
    <cfRule type="containsText" dxfId="2006" priority="2198" operator="containsText" text="EQUIPO">
      <formula>NOT(ISERROR(SEARCH("EQUIPO",IS44)))</formula>
    </cfRule>
    <cfRule type="containsText" dxfId="2005" priority="2199" operator="containsText" text="MEDICO TRADICIONAL">
      <formula>NOT(ISERROR(SEARCH("MEDICO TRADICIONAL",IS44)))</formula>
    </cfRule>
    <cfRule type="containsText" dxfId="2004" priority="2200" operator="containsText" text="PARTERA">
      <formula>NOT(ISERROR(SEARCH("PARTERA",IS44)))</formula>
    </cfRule>
    <cfRule type="containsText" dxfId="2003" priority="2201" operator="containsText" text="TÉCNICO">
      <formula>NOT(ISERROR(SEARCH("TÉCNICO",IS44)))</formula>
    </cfRule>
    <cfRule type="containsText" dxfId="2002" priority="2202" operator="containsText" text="PROFESIONAL">
      <formula>NOT(ISERROR(SEARCH("PROFESIONAL",IS44)))</formula>
    </cfRule>
  </conditionalFormatting>
  <conditionalFormatting sqref="IT44">
    <cfRule type="containsText" dxfId="2001" priority="2193" operator="containsText" text="LE HACEN CESÁREA SIN INICIO TRABAJO DE PARTO">
      <formula>NOT(ISERROR(SEARCH("LE HACEN CESÁREA SIN INICIO TRABAJO DE PARTO",IT44)))</formula>
    </cfRule>
    <cfRule type="containsText" dxfId="2000" priority="2194" operator="containsText" text="LE HACEN INDUCCIÓN">
      <formula>NOT(ISERROR(SEARCH("LE HACEN INDUCCIÓN",IT44)))</formula>
    </cfRule>
    <cfRule type="containsText" dxfId="1999" priority="2195" operator="containsText" text="ESPONTÁNEO">
      <formula>NOT(ISERROR(SEARCH("ESPONTÁNEO",IT44)))</formula>
    </cfRule>
  </conditionalFormatting>
  <conditionalFormatting sqref="JI44">
    <cfRule type="containsText" dxfId="1998" priority="2189" operator="containsText" text="NO APLICA">
      <formula>NOT(ISERROR(SEARCH("NO APLICA",JI44)))</formula>
    </cfRule>
    <cfRule type="containsText" dxfId="1997" priority="2190" operator="containsText" text="SIN DATO">
      <formula>NOT(ISERROR(SEARCH("SIN DATO",JI44)))</formula>
    </cfRule>
    <cfRule type="containsText" dxfId="1996" priority="2191" operator="containsText" text="NO">
      <formula>NOT(ISERROR(SEARCH("NO",JI44)))</formula>
    </cfRule>
    <cfRule type="containsText" dxfId="1995" priority="2192" operator="containsText" text="SI">
      <formula>NOT(ISERROR(SEARCH("SI",JI44)))</formula>
    </cfRule>
  </conditionalFormatting>
  <conditionalFormatting sqref="IR45">
    <cfRule type="containsText" dxfId="1994" priority="2185" operator="containsText" text="NO APLICA">
      <formula>NOT(ISERROR(SEARCH("NO APLICA",IR45)))</formula>
    </cfRule>
    <cfRule type="containsText" dxfId="1993" priority="2186" operator="containsText" text="ALTA">
      <formula>NOT(ISERROR(SEARCH("ALTA",IR45)))</formula>
    </cfRule>
    <cfRule type="containsText" dxfId="1992" priority="2187" operator="containsText" text="MEDIANA">
      <formula>NOT(ISERROR(SEARCH("MEDIANA",IR45)))</formula>
    </cfRule>
    <cfRule type="containsText" dxfId="1991" priority="2188" operator="containsText" text="BAJA">
      <formula>NOT(ISERROR(SEARCH("BAJA",IR45)))</formula>
    </cfRule>
  </conditionalFormatting>
  <conditionalFormatting sqref="IS45:IT45">
    <cfRule type="containsText" dxfId="1990" priority="2178" operator="containsText" text="NO APLICA">
      <formula>NOT(ISERROR(SEARCH("NO APLICA",IS45)))</formula>
    </cfRule>
    <cfRule type="containsText" dxfId="1989" priority="2179" operator="containsText" text="SIN">
      <formula>NOT(ISERROR(SEARCH("SIN",IS45)))</formula>
    </cfRule>
    <cfRule type="containsText" dxfId="1988" priority="2180" operator="containsText" text="EQUIPO">
      <formula>NOT(ISERROR(SEARCH("EQUIPO",IS45)))</formula>
    </cfRule>
    <cfRule type="containsText" dxfId="1987" priority="2181" operator="containsText" text="MEDICO TRADICIONAL">
      <formula>NOT(ISERROR(SEARCH("MEDICO TRADICIONAL",IS45)))</formula>
    </cfRule>
    <cfRule type="containsText" dxfId="1986" priority="2182" operator="containsText" text="PARTERA">
      <formula>NOT(ISERROR(SEARCH("PARTERA",IS45)))</formula>
    </cfRule>
    <cfRule type="containsText" dxfId="1985" priority="2183" operator="containsText" text="TÉCNICO">
      <formula>NOT(ISERROR(SEARCH("TÉCNICO",IS45)))</formula>
    </cfRule>
    <cfRule type="containsText" dxfId="1984" priority="2184" operator="containsText" text="PROFESIONAL">
      <formula>NOT(ISERROR(SEARCH("PROFESIONAL",IS45)))</formula>
    </cfRule>
  </conditionalFormatting>
  <conditionalFormatting sqref="IT45">
    <cfRule type="containsText" dxfId="1983" priority="2175" operator="containsText" text="LE HACEN CESÁREA SIN INICIO TRABAJO DE PARTO">
      <formula>NOT(ISERROR(SEARCH("LE HACEN CESÁREA SIN INICIO TRABAJO DE PARTO",IT45)))</formula>
    </cfRule>
    <cfRule type="containsText" dxfId="1982" priority="2176" operator="containsText" text="LE HACEN INDUCCIÓN">
      <formula>NOT(ISERROR(SEARCH("LE HACEN INDUCCIÓN",IT45)))</formula>
    </cfRule>
    <cfRule type="containsText" dxfId="1981" priority="2177" operator="containsText" text="ESPONTÁNEO">
      <formula>NOT(ISERROR(SEARCH("ESPONTÁNEO",IT45)))</formula>
    </cfRule>
  </conditionalFormatting>
  <conditionalFormatting sqref="JI45">
    <cfRule type="containsText" dxfId="1980" priority="2171" operator="containsText" text="NO APLICA">
      <formula>NOT(ISERROR(SEARCH("NO APLICA",JI45)))</formula>
    </cfRule>
    <cfRule type="containsText" dxfId="1979" priority="2172" operator="containsText" text="SIN DATO">
      <formula>NOT(ISERROR(SEARCH("SIN DATO",JI45)))</formula>
    </cfRule>
    <cfRule type="containsText" dxfId="1978" priority="2173" operator="containsText" text="NO">
      <formula>NOT(ISERROR(SEARCH("NO",JI45)))</formula>
    </cfRule>
    <cfRule type="containsText" dxfId="1977" priority="2174" operator="containsText" text="SI">
      <formula>NOT(ISERROR(SEARCH("SI",JI45)))</formula>
    </cfRule>
  </conditionalFormatting>
  <conditionalFormatting sqref="IR48">
    <cfRule type="containsText" dxfId="1976" priority="2167" operator="containsText" text="NO APLICA">
      <formula>NOT(ISERROR(SEARCH("NO APLICA",IR48)))</formula>
    </cfRule>
    <cfRule type="containsText" dxfId="1975" priority="2168" operator="containsText" text="ALTA">
      <formula>NOT(ISERROR(SEARCH("ALTA",IR48)))</formula>
    </cfRule>
    <cfRule type="containsText" dxfId="1974" priority="2169" operator="containsText" text="MEDIANA">
      <formula>NOT(ISERROR(SEARCH("MEDIANA",IR48)))</formula>
    </cfRule>
    <cfRule type="containsText" dxfId="1973" priority="2170" operator="containsText" text="BAJA">
      <formula>NOT(ISERROR(SEARCH("BAJA",IR48)))</formula>
    </cfRule>
  </conditionalFormatting>
  <conditionalFormatting sqref="IS48:IT48">
    <cfRule type="containsText" dxfId="1972" priority="2160" operator="containsText" text="NO APLICA">
      <formula>NOT(ISERROR(SEARCH("NO APLICA",IS48)))</formula>
    </cfRule>
    <cfRule type="containsText" dxfId="1971" priority="2161" operator="containsText" text="SIN">
      <formula>NOT(ISERROR(SEARCH("SIN",IS48)))</formula>
    </cfRule>
    <cfRule type="containsText" dxfId="1970" priority="2162" operator="containsText" text="EQUIPO">
      <formula>NOT(ISERROR(SEARCH("EQUIPO",IS48)))</formula>
    </cfRule>
    <cfRule type="containsText" dxfId="1969" priority="2163" operator="containsText" text="MEDICO TRADICIONAL">
      <formula>NOT(ISERROR(SEARCH("MEDICO TRADICIONAL",IS48)))</formula>
    </cfRule>
    <cfRule type="containsText" dxfId="1968" priority="2164" operator="containsText" text="PARTERA">
      <formula>NOT(ISERROR(SEARCH("PARTERA",IS48)))</formula>
    </cfRule>
    <cfRule type="containsText" dxfId="1967" priority="2165" operator="containsText" text="TÉCNICO">
      <formula>NOT(ISERROR(SEARCH("TÉCNICO",IS48)))</formula>
    </cfRule>
    <cfRule type="containsText" dxfId="1966" priority="2166" operator="containsText" text="PROFESIONAL">
      <formula>NOT(ISERROR(SEARCH("PROFESIONAL",IS48)))</formula>
    </cfRule>
  </conditionalFormatting>
  <conditionalFormatting sqref="IT48">
    <cfRule type="containsText" dxfId="1965" priority="2157" operator="containsText" text="LE HACEN CESÁREA SIN INICIO TRABAJO DE PARTO">
      <formula>NOT(ISERROR(SEARCH("LE HACEN CESÁREA SIN INICIO TRABAJO DE PARTO",IT48)))</formula>
    </cfRule>
    <cfRule type="containsText" dxfId="1964" priority="2158" operator="containsText" text="LE HACEN INDUCCIÓN">
      <formula>NOT(ISERROR(SEARCH("LE HACEN INDUCCIÓN",IT48)))</formula>
    </cfRule>
    <cfRule type="containsText" dxfId="1963" priority="2159" operator="containsText" text="ESPONTÁNEO">
      <formula>NOT(ISERROR(SEARCH("ESPONTÁNEO",IT48)))</formula>
    </cfRule>
  </conditionalFormatting>
  <conditionalFormatting sqref="JI48">
    <cfRule type="containsText" dxfId="1962" priority="2153" operator="containsText" text="NO APLICA">
      <formula>NOT(ISERROR(SEARCH("NO APLICA",JI48)))</formula>
    </cfRule>
    <cfRule type="containsText" dxfId="1961" priority="2154" operator="containsText" text="SIN DATO">
      <formula>NOT(ISERROR(SEARCH("SIN DATO",JI48)))</formula>
    </cfRule>
    <cfRule type="containsText" dxfId="1960" priority="2155" operator="containsText" text="NO">
      <formula>NOT(ISERROR(SEARCH("NO",JI48)))</formula>
    </cfRule>
    <cfRule type="containsText" dxfId="1959" priority="2156" operator="containsText" text="SI">
      <formula>NOT(ISERROR(SEARCH("SI",JI48)))</formula>
    </cfRule>
  </conditionalFormatting>
  <conditionalFormatting sqref="IR49">
    <cfRule type="containsText" dxfId="1958" priority="2149" operator="containsText" text="NO APLICA">
      <formula>NOT(ISERROR(SEARCH("NO APLICA",IR49)))</formula>
    </cfRule>
    <cfRule type="containsText" dxfId="1957" priority="2150" operator="containsText" text="ALTA">
      <formula>NOT(ISERROR(SEARCH("ALTA",IR49)))</formula>
    </cfRule>
    <cfRule type="containsText" dxfId="1956" priority="2151" operator="containsText" text="MEDIANA">
      <formula>NOT(ISERROR(SEARCH("MEDIANA",IR49)))</formula>
    </cfRule>
    <cfRule type="containsText" dxfId="1955" priority="2152" operator="containsText" text="BAJA">
      <formula>NOT(ISERROR(SEARCH("BAJA",IR49)))</formula>
    </cfRule>
  </conditionalFormatting>
  <conditionalFormatting sqref="IS49:IT49">
    <cfRule type="containsText" dxfId="1954" priority="2142" operator="containsText" text="NO APLICA">
      <formula>NOT(ISERROR(SEARCH("NO APLICA",IS49)))</formula>
    </cfRule>
    <cfRule type="containsText" dxfId="1953" priority="2143" operator="containsText" text="SIN">
      <formula>NOT(ISERROR(SEARCH("SIN",IS49)))</formula>
    </cfRule>
    <cfRule type="containsText" dxfId="1952" priority="2144" operator="containsText" text="EQUIPO">
      <formula>NOT(ISERROR(SEARCH("EQUIPO",IS49)))</formula>
    </cfRule>
    <cfRule type="containsText" dxfId="1951" priority="2145" operator="containsText" text="MEDICO TRADICIONAL">
      <formula>NOT(ISERROR(SEARCH("MEDICO TRADICIONAL",IS49)))</formula>
    </cfRule>
    <cfRule type="containsText" dxfId="1950" priority="2146" operator="containsText" text="PARTERA">
      <formula>NOT(ISERROR(SEARCH("PARTERA",IS49)))</formula>
    </cfRule>
    <cfRule type="containsText" dxfId="1949" priority="2147" operator="containsText" text="TÉCNICO">
      <formula>NOT(ISERROR(SEARCH("TÉCNICO",IS49)))</formula>
    </cfRule>
    <cfRule type="containsText" dxfId="1948" priority="2148" operator="containsText" text="PROFESIONAL">
      <formula>NOT(ISERROR(SEARCH("PROFESIONAL",IS49)))</formula>
    </cfRule>
  </conditionalFormatting>
  <conditionalFormatting sqref="IT49">
    <cfRule type="containsText" dxfId="1947" priority="2139" operator="containsText" text="LE HACEN CESÁREA SIN INICIO TRABAJO DE PARTO">
      <formula>NOT(ISERROR(SEARCH("LE HACEN CESÁREA SIN INICIO TRABAJO DE PARTO",IT49)))</formula>
    </cfRule>
    <cfRule type="containsText" dxfId="1946" priority="2140" operator="containsText" text="LE HACEN INDUCCIÓN">
      <formula>NOT(ISERROR(SEARCH("LE HACEN INDUCCIÓN",IT49)))</formula>
    </cfRule>
    <cfRule type="containsText" dxfId="1945" priority="2141" operator="containsText" text="ESPONTÁNEO">
      <formula>NOT(ISERROR(SEARCH("ESPONTÁNEO",IT49)))</formula>
    </cfRule>
  </conditionalFormatting>
  <conditionalFormatting sqref="IR50">
    <cfRule type="containsText" dxfId="1944" priority="2135" operator="containsText" text="NO APLICA">
      <formula>NOT(ISERROR(SEARCH("NO APLICA",IR50)))</formula>
    </cfRule>
    <cfRule type="containsText" dxfId="1943" priority="2136" operator="containsText" text="ALTA">
      <formula>NOT(ISERROR(SEARCH("ALTA",IR50)))</formula>
    </cfRule>
    <cfRule type="containsText" dxfId="1942" priority="2137" operator="containsText" text="MEDIANA">
      <formula>NOT(ISERROR(SEARCH("MEDIANA",IR50)))</formula>
    </cfRule>
    <cfRule type="containsText" dxfId="1941" priority="2138" operator="containsText" text="BAJA">
      <formula>NOT(ISERROR(SEARCH("BAJA",IR50)))</formula>
    </cfRule>
  </conditionalFormatting>
  <conditionalFormatting sqref="IS50:IT50">
    <cfRule type="containsText" dxfId="1940" priority="2128" operator="containsText" text="NO APLICA">
      <formula>NOT(ISERROR(SEARCH("NO APLICA",IS50)))</formula>
    </cfRule>
    <cfRule type="containsText" dxfId="1939" priority="2129" operator="containsText" text="SIN">
      <formula>NOT(ISERROR(SEARCH("SIN",IS50)))</formula>
    </cfRule>
    <cfRule type="containsText" dxfId="1938" priority="2130" operator="containsText" text="EQUIPO">
      <formula>NOT(ISERROR(SEARCH("EQUIPO",IS50)))</formula>
    </cfRule>
    <cfRule type="containsText" dxfId="1937" priority="2131" operator="containsText" text="MEDICO TRADICIONAL">
      <formula>NOT(ISERROR(SEARCH("MEDICO TRADICIONAL",IS50)))</formula>
    </cfRule>
    <cfRule type="containsText" dxfId="1936" priority="2132" operator="containsText" text="PARTERA">
      <formula>NOT(ISERROR(SEARCH("PARTERA",IS50)))</formula>
    </cfRule>
    <cfRule type="containsText" dxfId="1935" priority="2133" operator="containsText" text="TÉCNICO">
      <formula>NOT(ISERROR(SEARCH("TÉCNICO",IS50)))</formula>
    </cfRule>
    <cfRule type="containsText" dxfId="1934" priority="2134" operator="containsText" text="PROFESIONAL">
      <formula>NOT(ISERROR(SEARCH("PROFESIONAL",IS50)))</formula>
    </cfRule>
  </conditionalFormatting>
  <conditionalFormatting sqref="IT50">
    <cfRule type="containsText" dxfId="1933" priority="2125" operator="containsText" text="LE HACEN CESÁREA SIN INICIO TRABAJO DE PARTO">
      <formula>NOT(ISERROR(SEARCH("LE HACEN CESÁREA SIN INICIO TRABAJO DE PARTO",IT50)))</formula>
    </cfRule>
    <cfRule type="containsText" dxfId="1932" priority="2126" operator="containsText" text="LE HACEN INDUCCIÓN">
      <formula>NOT(ISERROR(SEARCH("LE HACEN INDUCCIÓN",IT50)))</formula>
    </cfRule>
    <cfRule type="containsText" dxfId="1931" priority="2127" operator="containsText" text="ESPONTÁNEO">
      <formula>NOT(ISERROR(SEARCH("ESPONTÁNEO",IT50)))</formula>
    </cfRule>
  </conditionalFormatting>
  <conditionalFormatting sqref="JI50">
    <cfRule type="containsText" dxfId="1930" priority="2121" operator="containsText" text="NO APLICA">
      <formula>NOT(ISERROR(SEARCH("NO APLICA",JI50)))</formula>
    </cfRule>
    <cfRule type="containsText" dxfId="1929" priority="2122" operator="containsText" text="SIN DATO">
      <formula>NOT(ISERROR(SEARCH("SIN DATO",JI50)))</formula>
    </cfRule>
    <cfRule type="containsText" dxfId="1928" priority="2123" operator="containsText" text="NO">
      <formula>NOT(ISERROR(SEARCH("NO",JI50)))</formula>
    </cfRule>
    <cfRule type="containsText" dxfId="1927" priority="2124" operator="containsText" text="SI">
      <formula>NOT(ISERROR(SEARCH("SI",JI50)))</formula>
    </cfRule>
  </conditionalFormatting>
  <conditionalFormatting sqref="IR51">
    <cfRule type="containsText" dxfId="1926" priority="2117" operator="containsText" text="NO APLICA">
      <formula>NOT(ISERROR(SEARCH("NO APLICA",IR51)))</formula>
    </cfRule>
    <cfRule type="containsText" dxfId="1925" priority="2118" operator="containsText" text="ALTA">
      <formula>NOT(ISERROR(SEARCH("ALTA",IR51)))</formula>
    </cfRule>
    <cfRule type="containsText" dxfId="1924" priority="2119" operator="containsText" text="MEDIANA">
      <formula>NOT(ISERROR(SEARCH("MEDIANA",IR51)))</formula>
    </cfRule>
    <cfRule type="containsText" dxfId="1923" priority="2120" operator="containsText" text="BAJA">
      <formula>NOT(ISERROR(SEARCH("BAJA",IR51)))</formula>
    </cfRule>
  </conditionalFormatting>
  <conditionalFormatting sqref="IS51:IT51">
    <cfRule type="containsText" dxfId="1922" priority="2110" operator="containsText" text="NO APLICA">
      <formula>NOT(ISERROR(SEARCH("NO APLICA",IS51)))</formula>
    </cfRule>
    <cfRule type="containsText" dxfId="1921" priority="2111" operator="containsText" text="SIN">
      <formula>NOT(ISERROR(SEARCH("SIN",IS51)))</formula>
    </cfRule>
    <cfRule type="containsText" dxfId="1920" priority="2112" operator="containsText" text="EQUIPO">
      <formula>NOT(ISERROR(SEARCH("EQUIPO",IS51)))</formula>
    </cfRule>
    <cfRule type="containsText" dxfId="1919" priority="2113" operator="containsText" text="MEDICO TRADICIONAL">
      <formula>NOT(ISERROR(SEARCH("MEDICO TRADICIONAL",IS51)))</formula>
    </cfRule>
    <cfRule type="containsText" dxfId="1918" priority="2114" operator="containsText" text="PARTERA">
      <formula>NOT(ISERROR(SEARCH("PARTERA",IS51)))</formula>
    </cfRule>
    <cfRule type="containsText" dxfId="1917" priority="2115" operator="containsText" text="TÉCNICO">
      <formula>NOT(ISERROR(SEARCH("TÉCNICO",IS51)))</formula>
    </cfRule>
    <cfRule type="containsText" dxfId="1916" priority="2116" operator="containsText" text="PROFESIONAL">
      <formula>NOT(ISERROR(SEARCH("PROFESIONAL",IS51)))</formula>
    </cfRule>
  </conditionalFormatting>
  <conditionalFormatting sqref="IT51">
    <cfRule type="containsText" dxfId="1915" priority="2107" operator="containsText" text="LE HACEN CESÁREA SIN INICIO TRABAJO DE PARTO">
      <formula>NOT(ISERROR(SEARCH("LE HACEN CESÁREA SIN INICIO TRABAJO DE PARTO",IT51)))</formula>
    </cfRule>
    <cfRule type="containsText" dxfId="1914" priority="2108" operator="containsText" text="LE HACEN INDUCCIÓN">
      <formula>NOT(ISERROR(SEARCH("LE HACEN INDUCCIÓN",IT51)))</formula>
    </cfRule>
    <cfRule type="containsText" dxfId="1913" priority="2109" operator="containsText" text="ESPONTÁNEO">
      <formula>NOT(ISERROR(SEARCH("ESPONTÁNEO",IT51)))</formula>
    </cfRule>
  </conditionalFormatting>
  <conditionalFormatting sqref="JI51">
    <cfRule type="containsText" dxfId="1912" priority="2103" operator="containsText" text="NO APLICA">
      <formula>NOT(ISERROR(SEARCH("NO APLICA",JI51)))</formula>
    </cfRule>
    <cfRule type="containsText" dxfId="1911" priority="2104" operator="containsText" text="SIN DATO">
      <formula>NOT(ISERROR(SEARCH("SIN DATO",JI51)))</formula>
    </cfRule>
    <cfRule type="containsText" dxfId="1910" priority="2105" operator="containsText" text="NO">
      <formula>NOT(ISERROR(SEARCH("NO",JI51)))</formula>
    </cfRule>
    <cfRule type="containsText" dxfId="1909" priority="2106" operator="containsText" text="SI">
      <formula>NOT(ISERROR(SEARCH("SI",JI51)))</formula>
    </cfRule>
  </conditionalFormatting>
  <conditionalFormatting sqref="IR52">
    <cfRule type="containsText" dxfId="1908" priority="2099" operator="containsText" text="NO APLICA">
      <formula>NOT(ISERROR(SEARCH("NO APLICA",IR52)))</formula>
    </cfRule>
    <cfRule type="containsText" dxfId="1907" priority="2100" operator="containsText" text="ALTA">
      <formula>NOT(ISERROR(SEARCH("ALTA",IR52)))</formula>
    </cfRule>
    <cfRule type="containsText" dxfId="1906" priority="2101" operator="containsText" text="MEDIANA">
      <formula>NOT(ISERROR(SEARCH("MEDIANA",IR52)))</formula>
    </cfRule>
    <cfRule type="containsText" dxfId="1905" priority="2102" operator="containsText" text="BAJA">
      <formula>NOT(ISERROR(SEARCH("BAJA",IR52)))</formula>
    </cfRule>
  </conditionalFormatting>
  <conditionalFormatting sqref="IS52:IT52">
    <cfRule type="containsText" dxfId="1904" priority="2092" operator="containsText" text="NO APLICA">
      <formula>NOT(ISERROR(SEARCH("NO APLICA",IS52)))</formula>
    </cfRule>
    <cfRule type="containsText" dxfId="1903" priority="2093" operator="containsText" text="SIN">
      <formula>NOT(ISERROR(SEARCH("SIN",IS52)))</formula>
    </cfRule>
    <cfRule type="containsText" dxfId="1902" priority="2094" operator="containsText" text="EQUIPO">
      <formula>NOT(ISERROR(SEARCH("EQUIPO",IS52)))</formula>
    </cfRule>
    <cfRule type="containsText" dxfId="1901" priority="2095" operator="containsText" text="MEDICO TRADICIONAL">
      <formula>NOT(ISERROR(SEARCH("MEDICO TRADICIONAL",IS52)))</formula>
    </cfRule>
    <cfRule type="containsText" dxfId="1900" priority="2096" operator="containsText" text="PARTERA">
      <formula>NOT(ISERROR(SEARCH("PARTERA",IS52)))</formula>
    </cfRule>
    <cfRule type="containsText" dxfId="1899" priority="2097" operator="containsText" text="TÉCNICO">
      <formula>NOT(ISERROR(SEARCH("TÉCNICO",IS52)))</formula>
    </cfRule>
    <cfRule type="containsText" dxfId="1898" priority="2098" operator="containsText" text="PROFESIONAL">
      <formula>NOT(ISERROR(SEARCH("PROFESIONAL",IS52)))</formula>
    </cfRule>
  </conditionalFormatting>
  <conditionalFormatting sqref="IT52">
    <cfRule type="containsText" dxfId="1897" priority="2089" operator="containsText" text="LE HACEN CESÁREA SIN INICIO TRABAJO DE PARTO">
      <formula>NOT(ISERROR(SEARCH("LE HACEN CESÁREA SIN INICIO TRABAJO DE PARTO",IT52)))</formula>
    </cfRule>
    <cfRule type="containsText" dxfId="1896" priority="2090" operator="containsText" text="LE HACEN INDUCCIÓN">
      <formula>NOT(ISERROR(SEARCH("LE HACEN INDUCCIÓN",IT52)))</formula>
    </cfRule>
    <cfRule type="containsText" dxfId="1895" priority="2091" operator="containsText" text="ESPONTÁNEO">
      <formula>NOT(ISERROR(SEARCH("ESPONTÁNEO",IT52)))</formula>
    </cfRule>
  </conditionalFormatting>
  <conditionalFormatting sqref="JI52">
    <cfRule type="containsText" dxfId="1894" priority="2085" operator="containsText" text="NO APLICA">
      <formula>NOT(ISERROR(SEARCH("NO APLICA",JI52)))</formula>
    </cfRule>
    <cfRule type="containsText" dxfId="1893" priority="2086" operator="containsText" text="SIN DATO">
      <formula>NOT(ISERROR(SEARCH("SIN DATO",JI52)))</formula>
    </cfRule>
    <cfRule type="containsText" dxfId="1892" priority="2087" operator="containsText" text="NO">
      <formula>NOT(ISERROR(SEARCH("NO",JI52)))</formula>
    </cfRule>
    <cfRule type="containsText" dxfId="1891" priority="2088" operator="containsText" text="SI">
      <formula>NOT(ISERROR(SEARCH("SI",JI52)))</formula>
    </cfRule>
  </conditionalFormatting>
  <conditionalFormatting sqref="IR53">
    <cfRule type="containsText" dxfId="1890" priority="2081" operator="containsText" text="NO APLICA">
      <formula>NOT(ISERROR(SEARCH("NO APLICA",IR53)))</formula>
    </cfRule>
    <cfRule type="containsText" dxfId="1889" priority="2082" operator="containsText" text="ALTA">
      <formula>NOT(ISERROR(SEARCH("ALTA",IR53)))</formula>
    </cfRule>
    <cfRule type="containsText" dxfId="1888" priority="2083" operator="containsText" text="MEDIANA">
      <formula>NOT(ISERROR(SEARCH("MEDIANA",IR53)))</formula>
    </cfRule>
    <cfRule type="containsText" dxfId="1887" priority="2084" operator="containsText" text="BAJA">
      <formula>NOT(ISERROR(SEARCH("BAJA",IR53)))</formula>
    </cfRule>
  </conditionalFormatting>
  <conditionalFormatting sqref="IS53:IT53">
    <cfRule type="containsText" dxfId="1886" priority="2074" operator="containsText" text="NO APLICA">
      <formula>NOT(ISERROR(SEARCH("NO APLICA",IS53)))</formula>
    </cfRule>
    <cfRule type="containsText" dxfId="1885" priority="2075" operator="containsText" text="SIN">
      <formula>NOT(ISERROR(SEARCH("SIN",IS53)))</formula>
    </cfRule>
    <cfRule type="containsText" dxfId="1884" priority="2076" operator="containsText" text="EQUIPO">
      <formula>NOT(ISERROR(SEARCH("EQUIPO",IS53)))</formula>
    </cfRule>
    <cfRule type="containsText" dxfId="1883" priority="2077" operator="containsText" text="MEDICO TRADICIONAL">
      <formula>NOT(ISERROR(SEARCH("MEDICO TRADICIONAL",IS53)))</formula>
    </cfRule>
    <cfRule type="containsText" dxfId="1882" priority="2078" operator="containsText" text="PARTERA">
      <formula>NOT(ISERROR(SEARCH("PARTERA",IS53)))</formula>
    </cfRule>
    <cfRule type="containsText" dxfId="1881" priority="2079" operator="containsText" text="TÉCNICO">
      <formula>NOT(ISERROR(SEARCH("TÉCNICO",IS53)))</formula>
    </cfRule>
    <cfRule type="containsText" dxfId="1880" priority="2080" operator="containsText" text="PROFESIONAL">
      <formula>NOT(ISERROR(SEARCH("PROFESIONAL",IS53)))</formula>
    </cfRule>
  </conditionalFormatting>
  <conditionalFormatting sqref="IT53">
    <cfRule type="containsText" dxfId="1879" priority="2071" operator="containsText" text="LE HACEN CESÁREA SIN INICIO TRABAJO DE PARTO">
      <formula>NOT(ISERROR(SEARCH("LE HACEN CESÁREA SIN INICIO TRABAJO DE PARTO",IT53)))</formula>
    </cfRule>
    <cfRule type="containsText" dxfId="1878" priority="2072" operator="containsText" text="LE HACEN INDUCCIÓN">
      <formula>NOT(ISERROR(SEARCH("LE HACEN INDUCCIÓN",IT53)))</formula>
    </cfRule>
    <cfRule type="containsText" dxfId="1877" priority="2073" operator="containsText" text="ESPONTÁNEO">
      <formula>NOT(ISERROR(SEARCH("ESPONTÁNEO",IT53)))</formula>
    </cfRule>
  </conditionalFormatting>
  <conditionalFormatting sqref="IR54">
    <cfRule type="containsText" dxfId="1876" priority="2067" operator="containsText" text="NO APLICA">
      <formula>NOT(ISERROR(SEARCH("NO APLICA",IR54)))</formula>
    </cfRule>
    <cfRule type="containsText" dxfId="1875" priority="2068" operator="containsText" text="ALTA">
      <formula>NOT(ISERROR(SEARCH("ALTA",IR54)))</formula>
    </cfRule>
    <cfRule type="containsText" dxfId="1874" priority="2069" operator="containsText" text="MEDIANA">
      <formula>NOT(ISERROR(SEARCH("MEDIANA",IR54)))</formula>
    </cfRule>
    <cfRule type="containsText" dxfId="1873" priority="2070" operator="containsText" text="BAJA">
      <formula>NOT(ISERROR(SEARCH("BAJA",IR54)))</formula>
    </cfRule>
  </conditionalFormatting>
  <conditionalFormatting sqref="IS54:IT54">
    <cfRule type="containsText" dxfId="1872" priority="2060" operator="containsText" text="NO APLICA">
      <formula>NOT(ISERROR(SEARCH("NO APLICA",IS54)))</formula>
    </cfRule>
    <cfRule type="containsText" dxfId="1871" priority="2061" operator="containsText" text="SIN">
      <formula>NOT(ISERROR(SEARCH("SIN",IS54)))</formula>
    </cfRule>
    <cfRule type="containsText" dxfId="1870" priority="2062" operator="containsText" text="EQUIPO">
      <formula>NOT(ISERROR(SEARCH("EQUIPO",IS54)))</formula>
    </cfRule>
    <cfRule type="containsText" dxfId="1869" priority="2063" operator="containsText" text="MEDICO TRADICIONAL">
      <formula>NOT(ISERROR(SEARCH("MEDICO TRADICIONAL",IS54)))</formula>
    </cfRule>
    <cfRule type="containsText" dxfId="1868" priority="2064" operator="containsText" text="PARTERA">
      <formula>NOT(ISERROR(SEARCH("PARTERA",IS54)))</formula>
    </cfRule>
    <cfRule type="containsText" dxfId="1867" priority="2065" operator="containsText" text="TÉCNICO">
      <formula>NOT(ISERROR(SEARCH("TÉCNICO",IS54)))</formula>
    </cfRule>
    <cfRule type="containsText" dxfId="1866" priority="2066" operator="containsText" text="PROFESIONAL">
      <formula>NOT(ISERROR(SEARCH("PROFESIONAL",IS54)))</formula>
    </cfRule>
  </conditionalFormatting>
  <conditionalFormatting sqref="IT54">
    <cfRule type="containsText" dxfId="1865" priority="2057" operator="containsText" text="LE HACEN CESÁREA SIN INICIO TRABAJO DE PARTO">
      <formula>NOT(ISERROR(SEARCH("LE HACEN CESÁREA SIN INICIO TRABAJO DE PARTO",IT54)))</formula>
    </cfRule>
    <cfRule type="containsText" dxfId="1864" priority="2058" operator="containsText" text="LE HACEN INDUCCIÓN">
      <formula>NOT(ISERROR(SEARCH("LE HACEN INDUCCIÓN",IT54)))</formula>
    </cfRule>
    <cfRule type="containsText" dxfId="1863" priority="2059" operator="containsText" text="ESPONTÁNEO">
      <formula>NOT(ISERROR(SEARCH("ESPONTÁNEO",IT54)))</formula>
    </cfRule>
  </conditionalFormatting>
  <conditionalFormatting sqref="JI54">
    <cfRule type="containsText" dxfId="1862" priority="2053" operator="containsText" text="NO APLICA">
      <formula>NOT(ISERROR(SEARCH("NO APLICA",JI54)))</formula>
    </cfRule>
    <cfRule type="containsText" dxfId="1861" priority="2054" operator="containsText" text="SIN DATO">
      <formula>NOT(ISERROR(SEARCH("SIN DATO",JI54)))</formula>
    </cfRule>
    <cfRule type="containsText" dxfId="1860" priority="2055" operator="containsText" text="NO">
      <formula>NOT(ISERROR(SEARCH("NO",JI54)))</formula>
    </cfRule>
    <cfRule type="containsText" dxfId="1859" priority="2056" operator="containsText" text="SI">
      <formula>NOT(ISERROR(SEARCH("SI",JI54)))</formula>
    </cfRule>
  </conditionalFormatting>
  <conditionalFormatting sqref="IR55">
    <cfRule type="containsText" dxfId="1858" priority="2049" operator="containsText" text="NO APLICA">
      <formula>NOT(ISERROR(SEARCH("NO APLICA",IR55)))</formula>
    </cfRule>
    <cfRule type="containsText" dxfId="1857" priority="2050" operator="containsText" text="ALTA">
      <formula>NOT(ISERROR(SEARCH("ALTA",IR55)))</formula>
    </cfRule>
    <cfRule type="containsText" dxfId="1856" priority="2051" operator="containsText" text="MEDIANA">
      <formula>NOT(ISERROR(SEARCH("MEDIANA",IR55)))</formula>
    </cfRule>
    <cfRule type="containsText" dxfId="1855" priority="2052" operator="containsText" text="BAJA">
      <formula>NOT(ISERROR(SEARCH("BAJA",IR55)))</formula>
    </cfRule>
  </conditionalFormatting>
  <conditionalFormatting sqref="IS55:IT55">
    <cfRule type="containsText" dxfId="1854" priority="2042" operator="containsText" text="NO APLICA">
      <formula>NOT(ISERROR(SEARCH("NO APLICA",IS55)))</formula>
    </cfRule>
    <cfRule type="containsText" dxfId="1853" priority="2043" operator="containsText" text="SIN">
      <formula>NOT(ISERROR(SEARCH("SIN",IS55)))</formula>
    </cfRule>
    <cfRule type="containsText" dxfId="1852" priority="2044" operator="containsText" text="EQUIPO">
      <formula>NOT(ISERROR(SEARCH("EQUIPO",IS55)))</formula>
    </cfRule>
    <cfRule type="containsText" dxfId="1851" priority="2045" operator="containsText" text="MEDICO TRADICIONAL">
      <formula>NOT(ISERROR(SEARCH("MEDICO TRADICIONAL",IS55)))</formula>
    </cfRule>
    <cfRule type="containsText" dxfId="1850" priority="2046" operator="containsText" text="PARTERA">
      <formula>NOT(ISERROR(SEARCH("PARTERA",IS55)))</formula>
    </cfRule>
    <cfRule type="containsText" dxfId="1849" priority="2047" operator="containsText" text="TÉCNICO">
      <formula>NOT(ISERROR(SEARCH("TÉCNICO",IS55)))</formula>
    </cfRule>
    <cfRule type="containsText" dxfId="1848" priority="2048" operator="containsText" text="PROFESIONAL">
      <formula>NOT(ISERROR(SEARCH("PROFESIONAL",IS55)))</formula>
    </cfRule>
  </conditionalFormatting>
  <conditionalFormatting sqref="IT55">
    <cfRule type="containsText" dxfId="1847" priority="2039" operator="containsText" text="LE HACEN CESÁREA SIN INICIO TRABAJO DE PARTO">
      <formula>NOT(ISERROR(SEARCH("LE HACEN CESÁREA SIN INICIO TRABAJO DE PARTO",IT55)))</formula>
    </cfRule>
    <cfRule type="containsText" dxfId="1846" priority="2040" operator="containsText" text="LE HACEN INDUCCIÓN">
      <formula>NOT(ISERROR(SEARCH("LE HACEN INDUCCIÓN",IT55)))</formula>
    </cfRule>
    <cfRule type="containsText" dxfId="1845" priority="2041" operator="containsText" text="ESPONTÁNEO">
      <formula>NOT(ISERROR(SEARCH("ESPONTÁNEO",IT55)))</formula>
    </cfRule>
  </conditionalFormatting>
  <conditionalFormatting sqref="JI55">
    <cfRule type="containsText" dxfId="1844" priority="2035" operator="containsText" text="NO APLICA">
      <formula>NOT(ISERROR(SEARCH("NO APLICA",JI55)))</formula>
    </cfRule>
    <cfRule type="containsText" dxfId="1843" priority="2036" operator="containsText" text="SIN DATO">
      <formula>NOT(ISERROR(SEARCH("SIN DATO",JI55)))</formula>
    </cfRule>
    <cfRule type="containsText" dxfId="1842" priority="2037" operator="containsText" text="NO">
      <formula>NOT(ISERROR(SEARCH("NO",JI55)))</formula>
    </cfRule>
    <cfRule type="containsText" dxfId="1841" priority="2038" operator="containsText" text="SI">
      <formula>NOT(ISERROR(SEARCH("SI",JI55)))</formula>
    </cfRule>
  </conditionalFormatting>
  <conditionalFormatting sqref="IR56">
    <cfRule type="containsText" dxfId="1840" priority="2031" operator="containsText" text="NO APLICA">
      <formula>NOT(ISERROR(SEARCH("NO APLICA",IR56)))</formula>
    </cfRule>
    <cfRule type="containsText" dxfId="1839" priority="2032" operator="containsText" text="ALTA">
      <formula>NOT(ISERROR(SEARCH("ALTA",IR56)))</formula>
    </cfRule>
    <cfRule type="containsText" dxfId="1838" priority="2033" operator="containsText" text="MEDIANA">
      <formula>NOT(ISERROR(SEARCH("MEDIANA",IR56)))</formula>
    </cfRule>
    <cfRule type="containsText" dxfId="1837" priority="2034" operator="containsText" text="BAJA">
      <formula>NOT(ISERROR(SEARCH("BAJA",IR56)))</formula>
    </cfRule>
  </conditionalFormatting>
  <conditionalFormatting sqref="IS56:IT56">
    <cfRule type="containsText" dxfId="1836" priority="2024" operator="containsText" text="NO APLICA">
      <formula>NOT(ISERROR(SEARCH("NO APLICA",IS56)))</formula>
    </cfRule>
    <cfRule type="containsText" dxfId="1835" priority="2025" operator="containsText" text="SIN">
      <formula>NOT(ISERROR(SEARCH("SIN",IS56)))</formula>
    </cfRule>
    <cfRule type="containsText" dxfId="1834" priority="2026" operator="containsText" text="EQUIPO">
      <formula>NOT(ISERROR(SEARCH("EQUIPO",IS56)))</formula>
    </cfRule>
    <cfRule type="containsText" dxfId="1833" priority="2027" operator="containsText" text="MEDICO TRADICIONAL">
      <formula>NOT(ISERROR(SEARCH("MEDICO TRADICIONAL",IS56)))</formula>
    </cfRule>
    <cfRule type="containsText" dxfId="1832" priority="2028" operator="containsText" text="PARTERA">
      <formula>NOT(ISERROR(SEARCH("PARTERA",IS56)))</formula>
    </cfRule>
    <cfRule type="containsText" dxfId="1831" priority="2029" operator="containsText" text="TÉCNICO">
      <formula>NOT(ISERROR(SEARCH("TÉCNICO",IS56)))</formula>
    </cfRule>
    <cfRule type="containsText" dxfId="1830" priority="2030" operator="containsText" text="PROFESIONAL">
      <formula>NOT(ISERROR(SEARCH("PROFESIONAL",IS56)))</formula>
    </cfRule>
  </conditionalFormatting>
  <conditionalFormatting sqref="IT56">
    <cfRule type="containsText" dxfId="1829" priority="2021" operator="containsText" text="LE HACEN CESÁREA SIN INICIO TRABAJO DE PARTO">
      <formula>NOT(ISERROR(SEARCH("LE HACEN CESÁREA SIN INICIO TRABAJO DE PARTO",IT56)))</formula>
    </cfRule>
    <cfRule type="containsText" dxfId="1828" priority="2022" operator="containsText" text="LE HACEN INDUCCIÓN">
      <formula>NOT(ISERROR(SEARCH("LE HACEN INDUCCIÓN",IT56)))</formula>
    </cfRule>
    <cfRule type="containsText" dxfId="1827" priority="2023" operator="containsText" text="ESPONTÁNEO">
      <formula>NOT(ISERROR(SEARCH("ESPONTÁNEO",IT56)))</formula>
    </cfRule>
  </conditionalFormatting>
  <conditionalFormatting sqref="JI56">
    <cfRule type="containsText" dxfId="1826" priority="2017" operator="containsText" text="NO APLICA">
      <formula>NOT(ISERROR(SEARCH("NO APLICA",JI56)))</formula>
    </cfRule>
    <cfRule type="containsText" dxfId="1825" priority="2018" operator="containsText" text="SIN DATO">
      <formula>NOT(ISERROR(SEARCH("SIN DATO",JI56)))</formula>
    </cfRule>
    <cfRule type="containsText" dxfId="1824" priority="2019" operator="containsText" text="NO">
      <formula>NOT(ISERROR(SEARCH("NO",JI56)))</formula>
    </cfRule>
    <cfRule type="containsText" dxfId="1823" priority="2020" operator="containsText" text="SI">
      <formula>NOT(ISERROR(SEARCH("SI",JI56)))</formula>
    </cfRule>
  </conditionalFormatting>
  <conditionalFormatting sqref="IR58">
    <cfRule type="containsText" dxfId="1822" priority="2013" operator="containsText" text="NO APLICA">
      <formula>NOT(ISERROR(SEARCH("NO APLICA",IR58)))</formula>
    </cfRule>
    <cfRule type="containsText" dxfId="1821" priority="2014" operator="containsText" text="ALTA">
      <formula>NOT(ISERROR(SEARCH("ALTA",IR58)))</formula>
    </cfRule>
    <cfRule type="containsText" dxfId="1820" priority="2015" operator="containsText" text="MEDIANA">
      <formula>NOT(ISERROR(SEARCH("MEDIANA",IR58)))</formula>
    </cfRule>
    <cfRule type="containsText" dxfId="1819" priority="2016" operator="containsText" text="BAJA">
      <formula>NOT(ISERROR(SEARCH("BAJA",IR58)))</formula>
    </cfRule>
  </conditionalFormatting>
  <conditionalFormatting sqref="IS58:IT58">
    <cfRule type="containsText" dxfId="1818" priority="2006" operator="containsText" text="NO APLICA">
      <formula>NOT(ISERROR(SEARCH("NO APLICA",IS58)))</formula>
    </cfRule>
    <cfRule type="containsText" dxfId="1817" priority="2007" operator="containsText" text="SIN">
      <formula>NOT(ISERROR(SEARCH("SIN",IS58)))</formula>
    </cfRule>
    <cfRule type="containsText" dxfId="1816" priority="2008" operator="containsText" text="EQUIPO">
      <formula>NOT(ISERROR(SEARCH("EQUIPO",IS58)))</formula>
    </cfRule>
    <cfRule type="containsText" dxfId="1815" priority="2009" operator="containsText" text="MEDICO TRADICIONAL">
      <formula>NOT(ISERROR(SEARCH("MEDICO TRADICIONAL",IS58)))</formula>
    </cfRule>
    <cfRule type="containsText" dxfId="1814" priority="2010" operator="containsText" text="PARTERA">
      <formula>NOT(ISERROR(SEARCH("PARTERA",IS58)))</formula>
    </cfRule>
    <cfRule type="containsText" dxfId="1813" priority="2011" operator="containsText" text="TÉCNICO">
      <formula>NOT(ISERROR(SEARCH("TÉCNICO",IS58)))</formula>
    </cfRule>
    <cfRule type="containsText" dxfId="1812" priority="2012" operator="containsText" text="PROFESIONAL">
      <formula>NOT(ISERROR(SEARCH("PROFESIONAL",IS58)))</formula>
    </cfRule>
  </conditionalFormatting>
  <conditionalFormatting sqref="IT58">
    <cfRule type="containsText" dxfId="1811" priority="2003" operator="containsText" text="LE HACEN CESÁREA SIN INICIO TRABAJO DE PARTO">
      <formula>NOT(ISERROR(SEARCH("LE HACEN CESÁREA SIN INICIO TRABAJO DE PARTO",IT58)))</formula>
    </cfRule>
    <cfRule type="containsText" dxfId="1810" priority="2004" operator="containsText" text="LE HACEN INDUCCIÓN">
      <formula>NOT(ISERROR(SEARCH("LE HACEN INDUCCIÓN",IT58)))</formula>
    </cfRule>
    <cfRule type="containsText" dxfId="1809" priority="2005" operator="containsText" text="ESPONTÁNEO">
      <formula>NOT(ISERROR(SEARCH("ESPONTÁNEO",IT58)))</formula>
    </cfRule>
  </conditionalFormatting>
  <conditionalFormatting sqref="JI58">
    <cfRule type="containsText" dxfId="1808" priority="1999" operator="containsText" text="NO APLICA">
      <formula>NOT(ISERROR(SEARCH("NO APLICA",JI58)))</formula>
    </cfRule>
    <cfRule type="containsText" dxfId="1807" priority="2000" operator="containsText" text="SIN DATO">
      <formula>NOT(ISERROR(SEARCH("SIN DATO",JI58)))</formula>
    </cfRule>
    <cfRule type="containsText" dxfId="1806" priority="2001" operator="containsText" text="NO">
      <formula>NOT(ISERROR(SEARCH("NO",JI58)))</formula>
    </cfRule>
    <cfRule type="containsText" dxfId="1805" priority="2002" operator="containsText" text="SI">
      <formula>NOT(ISERROR(SEARCH("SI",JI58)))</formula>
    </cfRule>
  </conditionalFormatting>
  <conditionalFormatting sqref="IR59">
    <cfRule type="containsText" dxfId="1804" priority="1995" operator="containsText" text="NO APLICA">
      <formula>NOT(ISERROR(SEARCH("NO APLICA",IR59)))</formula>
    </cfRule>
    <cfRule type="containsText" dxfId="1803" priority="1996" operator="containsText" text="ALTA">
      <formula>NOT(ISERROR(SEARCH("ALTA",IR59)))</formula>
    </cfRule>
    <cfRule type="containsText" dxfId="1802" priority="1997" operator="containsText" text="MEDIANA">
      <formula>NOT(ISERROR(SEARCH("MEDIANA",IR59)))</formula>
    </cfRule>
    <cfRule type="containsText" dxfId="1801" priority="1998" operator="containsText" text="BAJA">
      <formula>NOT(ISERROR(SEARCH("BAJA",IR59)))</formula>
    </cfRule>
  </conditionalFormatting>
  <conditionalFormatting sqref="IS59:IT59">
    <cfRule type="containsText" dxfId="1800" priority="1988" operator="containsText" text="NO APLICA">
      <formula>NOT(ISERROR(SEARCH("NO APLICA",IS59)))</formula>
    </cfRule>
    <cfRule type="containsText" dxfId="1799" priority="1989" operator="containsText" text="SIN">
      <formula>NOT(ISERROR(SEARCH("SIN",IS59)))</formula>
    </cfRule>
    <cfRule type="containsText" dxfId="1798" priority="1990" operator="containsText" text="EQUIPO">
      <formula>NOT(ISERROR(SEARCH("EQUIPO",IS59)))</formula>
    </cfRule>
    <cfRule type="containsText" dxfId="1797" priority="1991" operator="containsText" text="MEDICO TRADICIONAL">
      <formula>NOT(ISERROR(SEARCH("MEDICO TRADICIONAL",IS59)))</formula>
    </cfRule>
    <cfRule type="containsText" dxfId="1796" priority="1992" operator="containsText" text="PARTERA">
      <formula>NOT(ISERROR(SEARCH("PARTERA",IS59)))</formula>
    </cfRule>
    <cfRule type="containsText" dxfId="1795" priority="1993" operator="containsText" text="TÉCNICO">
      <formula>NOT(ISERROR(SEARCH("TÉCNICO",IS59)))</formula>
    </cfRule>
    <cfRule type="containsText" dxfId="1794" priority="1994" operator="containsText" text="PROFESIONAL">
      <formula>NOT(ISERROR(SEARCH("PROFESIONAL",IS59)))</formula>
    </cfRule>
  </conditionalFormatting>
  <conditionalFormatting sqref="IT59">
    <cfRule type="containsText" dxfId="1793" priority="1985" operator="containsText" text="LE HACEN CESÁREA SIN INICIO TRABAJO DE PARTO">
      <formula>NOT(ISERROR(SEARCH("LE HACEN CESÁREA SIN INICIO TRABAJO DE PARTO",IT59)))</formula>
    </cfRule>
    <cfRule type="containsText" dxfId="1792" priority="1986" operator="containsText" text="LE HACEN INDUCCIÓN">
      <formula>NOT(ISERROR(SEARCH("LE HACEN INDUCCIÓN",IT59)))</formula>
    </cfRule>
    <cfRule type="containsText" dxfId="1791" priority="1987" operator="containsText" text="ESPONTÁNEO">
      <formula>NOT(ISERROR(SEARCH("ESPONTÁNEO",IT59)))</formula>
    </cfRule>
  </conditionalFormatting>
  <conditionalFormatting sqref="IR60">
    <cfRule type="containsText" dxfId="1790" priority="1981" operator="containsText" text="NO APLICA">
      <formula>NOT(ISERROR(SEARCH("NO APLICA",IR60)))</formula>
    </cfRule>
    <cfRule type="containsText" dxfId="1789" priority="1982" operator="containsText" text="ALTA">
      <formula>NOT(ISERROR(SEARCH("ALTA",IR60)))</formula>
    </cfRule>
    <cfRule type="containsText" dxfId="1788" priority="1983" operator="containsText" text="MEDIANA">
      <formula>NOT(ISERROR(SEARCH("MEDIANA",IR60)))</formula>
    </cfRule>
    <cfRule type="containsText" dxfId="1787" priority="1984" operator="containsText" text="BAJA">
      <formula>NOT(ISERROR(SEARCH("BAJA",IR60)))</formula>
    </cfRule>
  </conditionalFormatting>
  <conditionalFormatting sqref="IS60:IT60">
    <cfRule type="containsText" dxfId="1786" priority="1974" operator="containsText" text="NO APLICA">
      <formula>NOT(ISERROR(SEARCH("NO APLICA",IS60)))</formula>
    </cfRule>
    <cfRule type="containsText" dxfId="1785" priority="1975" operator="containsText" text="SIN">
      <formula>NOT(ISERROR(SEARCH("SIN",IS60)))</formula>
    </cfRule>
    <cfRule type="containsText" dxfId="1784" priority="1976" operator="containsText" text="EQUIPO">
      <formula>NOT(ISERROR(SEARCH("EQUIPO",IS60)))</formula>
    </cfRule>
    <cfRule type="containsText" dxfId="1783" priority="1977" operator="containsText" text="MEDICO TRADICIONAL">
      <formula>NOT(ISERROR(SEARCH("MEDICO TRADICIONAL",IS60)))</formula>
    </cfRule>
    <cfRule type="containsText" dxfId="1782" priority="1978" operator="containsText" text="PARTERA">
      <formula>NOT(ISERROR(SEARCH("PARTERA",IS60)))</formula>
    </cfRule>
    <cfRule type="containsText" dxfId="1781" priority="1979" operator="containsText" text="TÉCNICO">
      <formula>NOT(ISERROR(SEARCH("TÉCNICO",IS60)))</formula>
    </cfRule>
    <cfRule type="containsText" dxfId="1780" priority="1980" operator="containsText" text="PROFESIONAL">
      <formula>NOT(ISERROR(SEARCH("PROFESIONAL",IS60)))</formula>
    </cfRule>
  </conditionalFormatting>
  <conditionalFormatting sqref="IT60">
    <cfRule type="containsText" dxfId="1779" priority="1971" operator="containsText" text="LE HACEN CESÁREA SIN INICIO TRABAJO DE PARTO">
      <formula>NOT(ISERROR(SEARCH("LE HACEN CESÁREA SIN INICIO TRABAJO DE PARTO",IT60)))</formula>
    </cfRule>
    <cfRule type="containsText" dxfId="1778" priority="1972" operator="containsText" text="LE HACEN INDUCCIÓN">
      <formula>NOT(ISERROR(SEARCH("LE HACEN INDUCCIÓN",IT60)))</formula>
    </cfRule>
    <cfRule type="containsText" dxfId="1777" priority="1973" operator="containsText" text="ESPONTÁNEO">
      <formula>NOT(ISERROR(SEARCH("ESPONTÁNEO",IT60)))</formula>
    </cfRule>
  </conditionalFormatting>
  <conditionalFormatting sqref="JI60">
    <cfRule type="containsText" dxfId="1776" priority="1967" operator="containsText" text="NO APLICA">
      <formula>NOT(ISERROR(SEARCH("NO APLICA",JI60)))</formula>
    </cfRule>
    <cfRule type="containsText" dxfId="1775" priority="1968" operator="containsText" text="SIN DATO">
      <formula>NOT(ISERROR(SEARCH("SIN DATO",JI60)))</formula>
    </cfRule>
    <cfRule type="containsText" dxfId="1774" priority="1969" operator="containsText" text="NO">
      <formula>NOT(ISERROR(SEARCH("NO",JI60)))</formula>
    </cfRule>
    <cfRule type="containsText" dxfId="1773" priority="1970" operator="containsText" text="SI">
      <formula>NOT(ISERROR(SEARCH("SI",JI60)))</formula>
    </cfRule>
  </conditionalFormatting>
  <conditionalFormatting sqref="JI65">
    <cfRule type="containsText" dxfId="1772" priority="1935" operator="containsText" text="NO APLICA">
      <formula>NOT(ISERROR(SEARCH("NO APLICA",JI65)))</formula>
    </cfRule>
    <cfRule type="containsText" dxfId="1771" priority="1936" operator="containsText" text="SIN DATO">
      <formula>NOT(ISERROR(SEARCH("SIN DATO",JI65)))</formula>
    </cfRule>
    <cfRule type="containsText" dxfId="1770" priority="1937" operator="containsText" text="NO">
      <formula>NOT(ISERROR(SEARCH("NO",JI65)))</formula>
    </cfRule>
    <cfRule type="containsText" dxfId="1769" priority="1938" operator="containsText" text="SI">
      <formula>NOT(ISERROR(SEARCH("SI",JI65)))</formula>
    </cfRule>
  </conditionalFormatting>
  <conditionalFormatting sqref="JI66">
    <cfRule type="containsText" dxfId="1768" priority="1917" operator="containsText" text="NO APLICA">
      <formula>NOT(ISERROR(SEARCH("NO APLICA",JI66)))</formula>
    </cfRule>
    <cfRule type="containsText" dxfId="1767" priority="1918" operator="containsText" text="SIN DATO">
      <formula>NOT(ISERROR(SEARCH("SIN DATO",JI66)))</formula>
    </cfRule>
    <cfRule type="containsText" dxfId="1766" priority="1919" operator="containsText" text="NO">
      <formula>NOT(ISERROR(SEARCH("NO",JI66)))</formula>
    </cfRule>
    <cfRule type="containsText" dxfId="1765" priority="1920" operator="containsText" text="SI">
      <formula>NOT(ISERROR(SEARCH("SI",JI66)))</formula>
    </cfRule>
  </conditionalFormatting>
  <conditionalFormatting sqref="JI67">
    <cfRule type="containsText" dxfId="1764" priority="1903" operator="containsText" text="NO APLICA">
      <formula>NOT(ISERROR(SEARCH("NO APLICA",JI67)))</formula>
    </cfRule>
    <cfRule type="containsText" dxfId="1763" priority="1904" operator="containsText" text="SIN DATO">
      <formula>NOT(ISERROR(SEARCH("SIN DATO",JI67)))</formula>
    </cfRule>
    <cfRule type="containsText" dxfId="1762" priority="1905" operator="containsText" text="NO">
      <formula>NOT(ISERROR(SEARCH("NO",JI67)))</formula>
    </cfRule>
    <cfRule type="containsText" dxfId="1761" priority="1906" operator="containsText" text="SI">
      <formula>NOT(ISERROR(SEARCH("SI",JI67)))</formula>
    </cfRule>
  </conditionalFormatting>
  <conditionalFormatting sqref="IR69">
    <cfRule type="containsText" dxfId="1760" priority="1885" operator="containsText" text="NO APLICA">
      <formula>NOT(ISERROR(SEARCH("NO APLICA",IR69)))</formula>
    </cfRule>
    <cfRule type="containsText" dxfId="1759" priority="1886" operator="containsText" text="ALTA">
      <formula>NOT(ISERROR(SEARCH("ALTA",IR69)))</formula>
    </cfRule>
    <cfRule type="containsText" dxfId="1758" priority="1887" operator="containsText" text="MEDIANA">
      <formula>NOT(ISERROR(SEARCH("MEDIANA",IR69)))</formula>
    </cfRule>
    <cfRule type="containsText" dxfId="1757" priority="1888" operator="containsText" text="BAJA">
      <formula>NOT(ISERROR(SEARCH("BAJA",IR69)))</formula>
    </cfRule>
  </conditionalFormatting>
  <conditionalFormatting sqref="JI72">
    <cfRule type="containsText" dxfId="1756" priority="1843" operator="containsText" text="NO APLICA">
      <formula>NOT(ISERROR(SEARCH("NO APLICA",JI72)))</formula>
    </cfRule>
    <cfRule type="containsText" dxfId="1755" priority="1844" operator="containsText" text="SIN DATO">
      <formula>NOT(ISERROR(SEARCH("SIN DATO",JI72)))</formula>
    </cfRule>
    <cfRule type="containsText" dxfId="1754" priority="1845" operator="containsText" text="NO">
      <formula>NOT(ISERROR(SEARCH("NO",JI72)))</formula>
    </cfRule>
    <cfRule type="containsText" dxfId="1753" priority="1846" operator="containsText" text="SI">
      <formula>NOT(ISERROR(SEARCH("SI",JI72)))</formula>
    </cfRule>
  </conditionalFormatting>
  <conditionalFormatting sqref="JI73">
    <cfRule type="containsText" dxfId="1752" priority="1825" operator="containsText" text="NO APLICA">
      <formula>NOT(ISERROR(SEARCH("NO APLICA",JI73)))</formula>
    </cfRule>
    <cfRule type="containsText" dxfId="1751" priority="1826" operator="containsText" text="SIN DATO">
      <formula>NOT(ISERROR(SEARCH("SIN DATO",JI73)))</formula>
    </cfRule>
    <cfRule type="containsText" dxfId="1750" priority="1827" operator="containsText" text="NO">
      <formula>NOT(ISERROR(SEARCH("NO",JI73)))</formula>
    </cfRule>
    <cfRule type="containsText" dxfId="1749" priority="1828" operator="containsText" text="SI">
      <formula>NOT(ISERROR(SEARCH("SI",JI73)))</formula>
    </cfRule>
  </conditionalFormatting>
  <conditionalFormatting sqref="JI80">
    <cfRule type="containsText" dxfId="1748" priority="1757" operator="containsText" text="NO APLICA">
      <formula>NOT(ISERROR(SEARCH("NO APLICA",JI80)))</formula>
    </cfRule>
    <cfRule type="containsText" dxfId="1747" priority="1758" operator="containsText" text="SIN DATO">
      <formula>NOT(ISERROR(SEARCH("SIN DATO",JI80)))</formula>
    </cfRule>
    <cfRule type="containsText" dxfId="1746" priority="1759" operator="containsText" text="NO">
      <formula>NOT(ISERROR(SEARCH("NO",JI80)))</formula>
    </cfRule>
    <cfRule type="containsText" dxfId="1745" priority="1760" operator="containsText" text="SI">
      <formula>NOT(ISERROR(SEARCH("SI",JI80)))</formula>
    </cfRule>
  </conditionalFormatting>
  <conditionalFormatting sqref="IR63">
    <cfRule type="containsText" dxfId="1744" priority="1735" operator="containsText" text="NO APLICA">
      <formula>NOT(ISERROR(SEARCH("NO APLICA",IR63)))</formula>
    </cfRule>
    <cfRule type="containsText" dxfId="1743" priority="1736" operator="containsText" text="ALTA">
      <formula>NOT(ISERROR(SEARCH("ALTA",IR63)))</formula>
    </cfRule>
    <cfRule type="containsText" dxfId="1742" priority="1737" operator="containsText" text="MEDIANA">
      <formula>NOT(ISERROR(SEARCH("MEDIANA",IR63)))</formula>
    </cfRule>
    <cfRule type="containsText" dxfId="1741" priority="1738" operator="containsText" text="BAJA">
      <formula>NOT(ISERROR(SEARCH("BAJA",IR63)))</formula>
    </cfRule>
  </conditionalFormatting>
  <conditionalFormatting sqref="IS63:IT63">
    <cfRule type="containsText" dxfId="1740" priority="1728" operator="containsText" text="NO APLICA">
      <formula>NOT(ISERROR(SEARCH("NO APLICA",IS63)))</formula>
    </cfRule>
    <cfRule type="containsText" dxfId="1739" priority="1729" operator="containsText" text="SIN">
      <formula>NOT(ISERROR(SEARCH("SIN",IS63)))</formula>
    </cfRule>
    <cfRule type="containsText" dxfId="1738" priority="1730" operator="containsText" text="EQUIPO">
      <formula>NOT(ISERROR(SEARCH("EQUIPO",IS63)))</formula>
    </cfRule>
    <cfRule type="containsText" dxfId="1737" priority="1731" operator="containsText" text="MEDICO TRADICIONAL">
      <formula>NOT(ISERROR(SEARCH("MEDICO TRADICIONAL",IS63)))</formula>
    </cfRule>
    <cfRule type="containsText" dxfId="1736" priority="1732" operator="containsText" text="PARTERA">
      <formula>NOT(ISERROR(SEARCH("PARTERA",IS63)))</formula>
    </cfRule>
    <cfRule type="containsText" dxfId="1735" priority="1733" operator="containsText" text="TÉCNICO">
      <formula>NOT(ISERROR(SEARCH("TÉCNICO",IS63)))</formula>
    </cfRule>
    <cfRule type="containsText" dxfId="1734" priority="1734" operator="containsText" text="PROFESIONAL">
      <formula>NOT(ISERROR(SEARCH("PROFESIONAL",IS63)))</formula>
    </cfRule>
  </conditionalFormatting>
  <conditionalFormatting sqref="IT63">
    <cfRule type="containsText" dxfId="1733" priority="1725" operator="containsText" text="LE HACEN CESÁREA SIN INICIO TRABAJO DE PARTO">
      <formula>NOT(ISERROR(SEARCH("LE HACEN CESÁREA SIN INICIO TRABAJO DE PARTO",IT63)))</formula>
    </cfRule>
    <cfRule type="containsText" dxfId="1732" priority="1726" operator="containsText" text="LE HACEN INDUCCIÓN">
      <formula>NOT(ISERROR(SEARCH("LE HACEN INDUCCIÓN",IT63)))</formula>
    </cfRule>
    <cfRule type="containsText" dxfId="1731" priority="1727" operator="containsText" text="ESPONTÁNEO">
      <formula>NOT(ISERROR(SEARCH("ESPONTÁNEO",IT63)))</formula>
    </cfRule>
  </conditionalFormatting>
  <conditionalFormatting sqref="IR65">
    <cfRule type="containsText" dxfId="1730" priority="1721" operator="containsText" text="NO APLICA">
      <formula>NOT(ISERROR(SEARCH("NO APLICA",IR65)))</formula>
    </cfRule>
    <cfRule type="containsText" dxfId="1729" priority="1722" operator="containsText" text="ALTA">
      <formula>NOT(ISERROR(SEARCH("ALTA",IR65)))</formula>
    </cfRule>
    <cfRule type="containsText" dxfId="1728" priority="1723" operator="containsText" text="MEDIANA">
      <formula>NOT(ISERROR(SEARCH("MEDIANA",IR65)))</formula>
    </cfRule>
    <cfRule type="containsText" dxfId="1727" priority="1724" operator="containsText" text="BAJA">
      <formula>NOT(ISERROR(SEARCH("BAJA",IR65)))</formula>
    </cfRule>
  </conditionalFormatting>
  <conditionalFormatting sqref="IS65:IT65">
    <cfRule type="containsText" dxfId="1726" priority="1714" operator="containsText" text="NO APLICA">
      <formula>NOT(ISERROR(SEARCH("NO APLICA",IS65)))</formula>
    </cfRule>
    <cfRule type="containsText" dxfId="1725" priority="1715" operator="containsText" text="SIN">
      <formula>NOT(ISERROR(SEARCH("SIN",IS65)))</formula>
    </cfRule>
    <cfRule type="containsText" dxfId="1724" priority="1716" operator="containsText" text="EQUIPO">
      <formula>NOT(ISERROR(SEARCH("EQUIPO",IS65)))</formula>
    </cfRule>
    <cfRule type="containsText" dxfId="1723" priority="1717" operator="containsText" text="MEDICO TRADICIONAL">
      <formula>NOT(ISERROR(SEARCH("MEDICO TRADICIONAL",IS65)))</formula>
    </cfRule>
    <cfRule type="containsText" dxfId="1722" priority="1718" operator="containsText" text="PARTERA">
      <formula>NOT(ISERROR(SEARCH("PARTERA",IS65)))</formula>
    </cfRule>
    <cfRule type="containsText" dxfId="1721" priority="1719" operator="containsText" text="TÉCNICO">
      <formula>NOT(ISERROR(SEARCH("TÉCNICO",IS65)))</formula>
    </cfRule>
    <cfRule type="containsText" dxfId="1720" priority="1720" operator="containsText" text="PROFESIONAL">
      <formula>NOT(ISERROR(SEARCH("PROFESIONAL",IS65)))</formula>
    </cfRule>
  </conditionalFormatting>
  <conditionalFormatting sqref="IT65">
    <cfRule type="containsText" dxfId="1719" priority="1711" operator="containsText" text="LE HACEN CESÁREA SIN INICIO TRABAJO DE PARTO">
      <formula>NOT(ISERROR(SEARCH("LE HACEN CESÁREA SIN INICIO TRABAJO DE PARTO",IT65)))</formula>
    </cfRule>
    <cfRule type="containsText" dxfId="1718" priority="1712" operator="containsText" text="LE HACEN INDUCCIÓN">
      <formula>NOT(ISERROR(SEARCH("LE HACEN INDUCCIÓN",IT65)))</formula>
    </cfRule>
    <cfRule type="containsText" dxfId="1717" priority="1713" operator="containsText" text="ESPONTÁNEO">
      <formula>NOT(ISERROR(SEARCH("ESPONTÁNEO",IT65)))</formula>
    </cfRule>
  </conditionalFormatting>
  <conditionalFormatting sqref="IR66">
    <cfRule type="containsText" dxfId="1716" priority="1707" operator="containsText" text="NO APLICA">
      <formula>NOT(ISERROR(SEARCH("NO APLICA",IR66)))</formula>
    </cfRule>
    <cfRule type="containsText" dxfId="1715" priority="1708" operator="containsText" text="ALTA">
      <formula>NOT(ISERROR(SEARCH("ALTA",IR66)))</formula>
    </cfRule>
    <cfRule type="containsText" dxfId="1714" priority="1709" operator="containsText" text="MEDIANA">
      <formula>NOT(ISERROR(SEARCH("MEDIANA",IR66)))</formula>
    </cfRule>
    <cfRule type="containsText" dxfId="1713" priority="1710" operator="containsText" text="BAJA">
      <formula>NOT(ISERROR(SEARCH("BAJA",IR66)))</formula>
    </cfRule>
  </conditionalFormatting>
  <conditionalFormatting sqref="IS66:IT66">
    <cfRule type="containsText" dxfId="1712" priority="1700" operator="containsText" text="NO APLICA">
      <formula>NOT(ISERROR(SEARCH("NO APLICA",IS66)))</formula>
    </cfRule>
    <cfRule type="containsText" dxfId="1711" priority="1701" operator="containsText" text="SIN">
      <formula>NOT(ISERROR(SEARCH("SIN",IS66)))</formula>
    </cfRule>
    <cfRule type="containsText" dxfId="1710" priority="1702" operator="containsText" text="EQUIPO">
      <formula>NOT(ISERROR(SEARCH("EQUIPO",IS66)))</formula>
    </cfRule>
    <cfRule type="containsText" dxfId="1709" priority="1703" operator="containsText" text="MEDICO TRADICIONAL">
      <formula>NOT(ISERROR(SEARCH("MEDICO TRADICIONAL",IS66)))</formula>
    </cfRule>
    <cfRule type="containsText" dxfId="1708" priority="1704" operator="containsText" text="PARTERA">
      <formula>NOT(ISERROR(SEARCH("PARTERA",IS66)))</formula>
    </cfRule>
    <cfRule type="containsText" dxfId="1707" priority="1705" operator="containsText" text="TÉCNICO">
      <formula>NOT(ISERROR(SEARCH("TÉCNICO",IS66)))</formula>
    </cfRule>
    <cfRule type="containsText" dxfId="1706" priority="1706" operator="containsText" text="PROFESIONAL">
      <formula>NOT(ISERROR(SEARCH("PROFESIONAL",IS66)))</formula>
    </cfRule>
  </conditionalFormatting>
  <conditionalFormatting sqref="IT66">
    <cfRule type="containsText" dxfId="1705" priority="1697" operator="containsText" text="LE HACEN CESÁREA SIN INICIO TRABAJO DE PARTO">
      <formula>NOT(ISERROR(SEARCH("LE HACEN CESÁREA SIN INICIO TRABAJO DE PARTO",IT66)))</formula>
    </cfRule>
    <cfRule type="containsText" dxfId="1704" priority="1698" operator="containsText" text="LE HACEN INDUCCIÓN">
      <formula>NOT(ISERROR(SEARCH("LE HACEN INDUCCIÓN",IT66)))</formula>
    </cfRule>
    <cfRule type="containsText" dxfId="1703" priority="1699" operator="containsText" text="ESPONTÁNEO">
      <formula>NOT(ISERROR(SEARCH("ESPONTÁNEO",IT66)))</formula>
    </cfRule>
  </conditionalFormatting>
  <conditionalFormatting sqref="IR67">
    <cfRule type="containsText" dxfId="1702" priority="1693" operator="containsText" text="NO APLICA">
      <formula>NOT(ISERROR(SEARCH("NO APLICA",IR67)))</formula>
    </cfRule>
    <cfRule type="containsText" dxfId="1701" priority="1694" operator="containsText" text="ALTA">
      <formula>NOT(ISERROR(SEARCH("ALTA",IR67)))</formula>
    </cfRule>
    <cfRule type="containsText" dxfId="1700" priority="1695" operator="containsText" text="MEDIANA">
      <formula>NOT(ISERROR(SEARCH("MEDIANA",IR67)))</formula>
    </cfRule>
    <cfRule type="containsText" dxfId="1699" priority="1696" operator="containsText" text="BAJA">
      <formula>NOT(ISERROR(SEARCH("BAJA",IR67)))</formula>
    </cfRule>
  </conditionalFormatting>
  <conditionalFormatting sqref="IS67:IT67">
    <cfRule type="containsText" dxfId="1698" priority="1686" operator="containsText" text="NO APLICA">
      <formula>NOT(ISERROR(SEARCH("NO APLICA",IS67)))</formula>
    </cfRule>
    <cfRule type="containsText" dxfId="1697" priority="1687" operator="containsText" text="SIN">
      <formula>NOT(ISERROR(SEARCH("SIN",IS67)))</formula>
    </cfRule>
    <cfRule type="containsText" dxfId="1696" priority="1688" operator="containsText" text="EQUIPO">
      <formula>NOT(ISERROR(SEARCH("EQUIPO",IS67)))</formula>
    </cfRule>
    <cfRule type="containsText" dxfId="1695" priority="1689" operator="containsText" text="MEDICO TRADICIONAL">
      <formula>NOT(ISERROR(SEARCH("MEDICO TRADICIONAL",IS67)))</formula>
    </cfRule>
    <cfRule type="containsText" dxfId="1694" priority="1690" operator="containsText" text="PARTERA">
      <formula>NOT(ISERROR(SEARCH("PARTERA",IS67)))</formula>
    </cfRule>
    <cfRule type="containsText" dxfId="1693" priority="1691" operator="containsText" text="TÉCNICO">
      <formula>NOT(ISERROR(SEARCH("TÉCNICO",IS67)))</formula>
    </cfRule>
    <cfRule type="containsText" dxfId="1692" priority="1692" operator="containsText" text="PROFESIONAL">
      <formula>NOT(ISERROR(SEARCH("PROFESIONAL",IS67)))</formula>
    </cfRule>
  </conditionalFormatting>
  <conditionalFormatting sqref="IT67">
    <cfRule type="containsText" dxfId="1691" priority="1683" operator="containsText" text="LE HACEN CESÁREA SIN INICIO TRABAJO DE PARTO">
      <formula>NOT(ISERROR(SEARCH("LE HACEN CESÁREA SIN INICIO TRABAJO DE PARTO",IT67)))</formula>
    </cfRule>
    <cfRule type="containsText" dxfId="1690" priority="1684" operator="containsText" text="LE HACEN INDUCCIÓN">
      <formula>NOT(ISERROR(SEARCH("LE HACEN INDUCCIÓN",IT67)))</formula>
    </cfRule>
    <cfRule type="containsText" dxfId="1689" priority="1685" operator="containsText" text="ESPONTÁNEO">
      <formula>NOT(ISERROR(SEARCH("ESPONTÁNEO",IT67)))</formula>
    </cfRule>
  </conditionalFormatting>
  <conditionalFormatting sqref="IR68">
    <cfRule type="containsText" dxfId="1688" priority="1679" operator="containsText" text="NO APLICA">
      <formula>NOT(ISERROR(SEARCH("NO APLICA",IR68)))</formula>
    </cfRule>
    <cfRule type="containsText" dxfId="1687" priority="1680" operator="containsText" text="ALTA">
      <formula>NOT(ISERROR(SEARCH("ALTA",IR68)))</formula>
    </cfRule>
    <cfRule type="containsText" dxfId="1686" priority="1681" operator="containsText" text="MEDIANA">
      <formula>NOT(ISERROR(SEARCH("MEDIANA",IR68)))</formula>
    </cfRule>
    <cfRule type="containsText" dxfId="1685" priority="1682" operator="containsText" text="BAJA">
      <formula>NOT(ISERROR(SEARCH("BAJA",IR68)))</formula>
    </cfRule>
  </conditionalFormatting>
  <conditionalFormatting sqref="IS68:IT68">
    <cfRule type="containsText" dxfId="1684" priority="1672" operator="containsText" text="NO APLICA">
      <formula>NOT(ISERROR(SEARCH("NO APLICA",IS68)))</formula>
    </cfRule>
    <cfRule type="containsText" dxfId="1683" priority="1673" operator="containsText" text="SIN">
      <formula>NOT(ISERROR(SEARCH("SIN",IS68)))</formula>
    </cfRule>
    <cfRule type="containsText" dxfId="1682" priority="1674" operator="containsText" text="EQUIPO">
      <formula>NOT(ISERROR(SEARCH("EQUIPO",IS68)))</formula>
    </cfRule>
    <cfRule type="containsText" dxfId="1681" priority="1675" operator="containsText" text="MEDICO TRADICIONAL">
      <formula>NOT(ISERROR(SEARCH("MEDICO TRADICIONAL",IS68)))</formula>
    </cfRule>
    <cfRule type="containsText" dxfId="1680" priority="1676" operator="containsText" text="PARTERA">
      <formula>NOT(ISERROR(SEARCH("PARTERA",IS68)))</formula>
    </cfRule>
    <cfRule type="containsText" dxfId="1679" priority="1677" operator="containsText" text="TÉCNICO">
      <formula>NOT(ISERROR(SEARCH("TÉCNICO",IS68)))</formula>
    </cfRule>
    <cfRule type="containsText" dxfId="1678" priority="1678" operator="containsText" text="PROFESIONAL">
      <formula>NOT(ISERROR(SEARCH("PROFESIONAL",IS68)))</formula>
    </cfRule>
  </conditionalFormatting>
  <conditionalFormatting sqref="IT68">
    <cfRule type="containsText" dxfId="1677" priority="1669" operator="containsText" text="LE HACEN CESÁREA SIN INICIO TRABAJO DE PARTO">
      <formula>NOT(ISERROR(SEARCH("LE HACEN CESÁREA SIN INICIO TRABAJO DE PARTO",IT68)))</formula>
    </cfRule>
    <cfRule type="containsText" dxfId="1676" priority="1670" operator="containsText" text="LE HACEN INDUCCIÓN">
      <formula>NOT(ISERROR(SEARCH("LE HACEN INDUCCIÓN",IT68)))</formula>
    </cfRule>
    <cfRule type="containsText" dxfId="1675" priority="1671" operator="containsText" text="ESPONTÁNEO">
      <formula>NOT(ISERROR(SEARCH("ESPONTÁNEO",IT68)))</formula>
    </cfRule>
  </conditionalFormatting>
  <conditionalFormatting sqref="JI68">
    <cfRule type="containsText" dxfId="1674" priority="1665" operator="containsText" text="NO APLICA">
      <formula>NOT(ISERROR(SEARCH("NO APLICA",JI68)))</formula>
    </cfRule>
    <cfRule type="containsText" dxfId="1673" priority="1666" operator="containsText" text="SIN DATO">
      <formula>NOT(ISERROR(SEARCH("SIN DATO",JI68)))</formula>
    </cfRule>
    <cfRule type="containsText" dxfId="1672" priority="1667" operator="containsText" text="NO">
      <formula>NOT(ISERROR(SEARCH("NO",JI68)))</formula>
    </cfRule>
    <cfRule type="containsText" dxfId="1671" priority="1668" operator="containsText" text="SI">
      <formula>NOT(ISERROR(SEARCH("SI",JI68)))</formula>
    </cfRule>
  </conditionalFormatting>
  <conditionalFormatting sqref="IS69:IT69">
    <cfRule type="containsText" dxfId="1670" priority="1658" operator="containsText" text="NO APLICA">
      <formula>NOT(ISERROR(SEARCH("NO APLICA",IS69)))</formula>
    </cfRule>
    <cfRule type="containsText" dxfId="1669" priority="1659" operator="containsText" text="SIN">
      <formula>NOT(ISERROR(SEARCH("SIN",IS69)))</formula>
    </cfRule>
    <cfRule type="containsText" dxfId="1668" priority="1660" operator="containsText" text="EQUIPO">
      <formula>NOT(ISERROR(SEARCH("EQUIPO",IS69)))</formula>
    </cfRule>
    <cfRule type="containsText" dxfId="1667" priority="1661" operator="containsText" text="MEDICO TRADICIONAL">
      <formula>NOT(ISERROR(SEARCH("MEDICO TRADICIONAL",IS69)))</formula>
    </cfRule>
    <cfRule type="containsText" dxfId="1666" priority="1662" operator="containsText" text="PARTERA">
      <formula>NOT(ISERROR(SEARCH("PARTERA",IS69)))</formula>
    </cfRule>
    <cfRule type="containsText" dxfId="1665" priority="1663" operator="containsText" text="TÉCNICO">
      <formula>NOT(ISERROR(SEARCH("TÉCNICO",IS69)))</formula>
    </cfRule>
    <cfRule type="containsText" dxfId="1664" priority="1664" operator="containsText" text="PROFESIONAL">
      <formula>NOT(ISERROR(SEARCH("PROFESIONAL",IS69)))</formula>
    </cfRule>
  </conditionalFormatting>
  <conditionalFormatting sqref="IT69">
    <cfRule type="containsText" dxfId="1663" priority="1655" operator="containsText" text="LE HACEN CESÁREA SIN INICIO TRABAJO DE PARTO">
      <formula>NOT(ISERROR(SEARCH("LE HACEN CESÁREA SIN INICIO TRABAJO DE PARTO",IT69)))</formula>
    </cfRule>
    <cfRule type="containsText" dxfId="1662" priority="1656" operator="containsText" text="LE HACEN INDUCCIÓN">
      <formula>NOT(ISERROR(SEARCH("LE HACEN INDUCCIÓN",IT69)))</formula>
    </cfRule>
    <cfRule type="containsText" dxfId="1661" priority="1657" operator="containsText" text="ESPONTÁNEO">
      <formula>NOT(ISERROR(SEARCH("ESPONTÁNEO",IT69)))</formula>
    </cfRule>
  </conditionalFormatting>
  <conditionalFormatting sqref="JI69">
    <cfRule type="containsText" dxfId="1660" priority="1651" operator="containsText" text="NO APLICA">
      <formula>NOT(ISERROR(SEARCH("NO APLICA",JI69)))</formula>
    </cfRule>
    <cfRule type="containsText" dxfId="1659" priority="1652" operator="containsText" text="SIN DATO">
      <formula>NOT(ISERROR(SEARCH("SIN DATO",JI69)))</formula>
    </cfRule>
    <cfRule type="containsText" dxfId="1658" priority="1653" operator="containsText" text="NO">
      <formula>NOT(ISERROR(SEARCH("NO",JI69)))</formula>
    </cfRule>
    <cfRule type="containsText" dxfId="1657" priority="1654" operator="containsText" text="SI">
      <formula>NOT(ISERROR(SEARCH("SI",JI69)))</formula>
    </cfRule>
  </conditionalFormatting>
  <conditionalFormatting sqref="IR70">
    <cfRule type="containsText" dxfId="1656" priority="1647" operator="containsText" text="NO APLICA">
      <formula>NOT(ISERROR(SEARCH("NO APLICA",IR70)))</formula>
    </cfRule>
    <cfRule type="containsText" dxfId="1655" priority="1648" operator="containsText" text="ALTA">
      <formula>NOT(ISERROR(SEARCH("ALTA",IR70)))</formula>
    </cfRule>
    <cfRule type="containsText" dxfId="1654" priority="1649" operator="containsText" text="MEDIANA">
      <formula>NOT(ISERROR(SEARCH("MEDIANA",IR70)))</formula>
    </cfRule>
    <cfRule type="containsText" dxfId="1653" priority="1650" operator="containsText" text="BAJA">
      <formula>NOT(ISERROR(SEARCH("BAJA",IR70)))</formula>
    </cfRule>
  </conditionalFormatting>
  <conditionalFormatting sqref="IS70:IT70">
    <cfRule type="containsText" dxfId="1652" priority="1640" operator="containsText" text="NO APLICA">
      <formula>NOT(ISERROR(SEARCH("NO APLICA",IS70)))</formula>
    </cfRule>
    <cfRule type="containsText" dxfId="1651" priority="1641" operator="containsText" text="SIN">
      <formula>NOT(ISERROR(SEARCH("SIN",IS70)))</formula>
    </cfRule>
    <cfRule type="containsText" dxfId="1650" priority="1642" operator="containsText" text="EQUIPO">
      <formula>NOT(ISERROR(SEARCH("EQUIPO",IS70)))</formula>
    </cfRule>
    <cfRule type="containsText" dxfId="1649" priority="1643" operator="containsText" text="MEDICO TRADICIONAL">
      <formula>NOT(ISERROR(SEARCH("MEDICO TRADICIONAL",IS70)))</formula>
    </cfRule>
    <cfRule type="containsText" dxfId="1648" priority="1644" operator="containsText" text="PARTERA">
      <formula>NOT(ISERROR(SEARCH("PARTERA",IS70)))</formula>
    </cfRule>
    <cfRule type="containsText" dxfId="1647" priority="1645" operator="containsText" text="TÉCNICO">
      <formula>NOT(ISERROR(SEARCH("TÉCNICO",IS70)))</formula>
    </cfRule>
    <cfRule type="containsText" dxfId="1646" priority="1646" operator="containsText" text="PROFESIONAL">
      <formula>NOT(ISERROR(SEARCH("PROFESIONAL",IS70)))</formula>
    </cfRule>
  </conditionalFormatting>
  <conditionalFormatting sqref="IT70">
    <cfRule type="containsText" dxfId="1645" priority="1637" operator="containsText" text="LE HACEN CESÁREA SIN INICIO TRABAJO DE PARTO">
      <formula>NOT(ISERROR(SEARCH("LE HACEN CESÁREA SIN INICIO TRABAJO DE PARTO",IT70)))</formula>
    </cfRule>
    <cfRule type="containsText" dxfId="1644" priority="1638" operator="containsText" text="LE HACEN INDUCCIÓN">
      <formula>NOT(ISERROR(SEARCH("LE HACEN INDUCCIÓN",IT70)))</formula>
    </cfRule>
    <cfRule type="containsText" dxfId="1643" priority="1639" operator="containsText" text="ESPONTÁNEO">
      <formula>NOT(ISERROR(SEARCH("ESPONTÁNEO",IT70)))</formula>
    </cfRule>
  </conditionalFormatting>
  <conditionalFormatting sqref="IR73">
    <cfRule type="containsText" dxfId="1642" priority="1633" operator="containsText" text="NO APLICA">
      <formula>NOT(ISERROR(SEARCH("NO APLICA",IR73)))</formula>
    </cfRule>
    <cfRule type="containsText" dxfId="1641" priority="1634" operator="containsText" text="ALTA">
      <formula>NOT(ISERROR(SEARCH("ALTA",IR73)))</formula>
    </cfRule>
    <cfRule type="containsText" dxfId="1640" priority="1635" operator="containsText" text="MEDIANA">
      <formula>NOT(ISERROR(SEARCH("MEDIANA",IR73)))</formula>
    </cfRule>
    <cfRule type="containsText" dxfId="1639" priority="1636" operator="containsText" text="BAJA">
      <formula>NOT(ISERROR(SEARCH("BAJA",IR73)))</formula>
    </cfRule>
  </conditionalFormatting>
  <conditionalFormatting sqref="IS73:IT73">
    <cfRule type="containsText" dxfId="1638" priority="1626" operator="containsText" text="NO APLICA">
      <formula>NOT(ISERROR(SEARCH("NO APLICA",IS73)))</formula>
    </cfRule>
    <cfRule type="containsText" dxfId="1637" priority="1627" operator="containsText" text="SIN">
      <formula>NOT(ISERROR(SEARCH("SIN",IS73)))</formula>
    </cfRule>
    <cfRule type="containsText" dxfId="1636" priority="1628" operator="containsText" text="EQUIPO">
      <formula>NOT(ISERROR(SEARCH("EQUIPO",IS73)))</formula>
    </cfRule>
    <cfRule type="containsText" dxfId="1635" priority="1629" operator="containsText" text="MEDICO TRADICIONAL">
      <formula>NOT(ISERROR(SEARCH("MEDICO TRADICIONAL",IS73)))</formula>
    </cfRule>
    <cfRule type="containsText" dxfId="1634" priority="1630" operator="containsText" text="PARTERA">
      <formula>NOT(ISERROR(SEARCH("PARTERA",IS73)))</formula>
    </cfRule>
    <cfRule type="containsText" dxfId="1633" priority="1631" operator="containsText" text="TÉCNICO">
      <formula>NOT(ISERROR(SEARCH("TÉCNICO",IS73)))</formula>
    </cfRule>
    <cfRule type="containsText" dxfId="1632" priority="1632" operator="containsText" text="PROFESIONAL">
      <formula>NOT(ISERROR(SEARCH("PROFESIONAL",IS73)))</formula>
    </cfRule>
  </conditionalFormatting>
  <conditionalFormatting sqref="IT73">
    <cfRule type="containsText" dxfId="1631" priority="1623" operator="containsText" text="LE HACEN CESÁREA SIN INICIO TRABAJO DE PARTO">
      <formula>NOT(ISERROR(SEARCH("LE HACEN CESÁREA SIN INICIO TRABAJO DE PARTO",IT73)))</formula>
    </cfRule>
    <cfRule type="containsText" dxfId="1630" priority="1624" operator="containsText" text="LE HACEN INDUCCIÓN">
      <formula>NOT(ISERROR(SEARCH("LE HACEN INDUCCIÓN",IT73)))</formula>
    </cfRule>
    <cfRule type="containsText" dxfId="1629" priority="1625" operator="containsText" text="ESPONTÁNEO">
      <formula>NOT(ISERROR(SEARCH("ESPONTÁNEO",IT73)))</formula>
    </cfRule>
  </conditionalFormatting>
  <conditionalFormatting sqref="IR74">
    <cfRule type="containsText" dxfId="1628" priority="1619" operator="containsText" text="NO APLICA">
      <formula>NOT(ISERROR(SEARCH("NO APLICA",IR74)))</formula>
    </cfRule>
    <cfRule type="containsText" dxfId="1627" priority="1620" operator="containsText" text="ALTA">
      <formula>NOT(ISERROR(SEARCH("ALTA",IR74)))</formula>
    </cfRule>
    <cfRule type="containsText" dxfId="1626" priority="1621" operator="containsText" text="MEDIANA">
      <formula>NOT(ISERROR(SEARCH("MEDIANA",IR74)))</formula>
    </cfRule>
    <cfRule type="containsText" dxfId="1625" priority="1622" operator="containsText" text="BAJA">
      <formula>NOT(ISERROR(SEARCH("BAJA",IR74)))</formula>
    </cfRule>
  </conditionalFormatting>
  <conditionalFormatting sqref="IS74:IT74">
    <cfRule type="containsText" dxfId="1624" priority="1612" operator="containsText" text="NO APLICA">
      <formula>NOT(ISERROR(SEARCH("NO APLICA",IS74)))</formula>
    </cfRule>
    <cfRule type="containsText" dxfId="1623" priority="1613" operator="containsText" text="SIN">
      <formula>NOT(ISERROR(SEARCH("SIN",IS74)))</formula>
    </cfRule>
    <cfRule type="containsText" dxfId="1622" priority="1614" operator="containsText" text="EQUIPO">
      <formula>NOT(ISERROR(SEARCH("EQUIPO",IS74)))</formula>
    </cfRule>
    <cfRule type="containsText" dxfId="1621" priority="1615" operator="containsText" text="MEDICO TRADICIONAL">
      <formula>NOT(ISERROR(SEARCH("MEDICO TRADICIONAL",IS74)))</formula>
    </cfRule>
    <cfRule type="containsText" dxfId="1620" priority="1616" operator="containsText" text="PARTERA">
      <formula>NOT(ISERROR(SEARCH("PARTERA",IS74)))</formula>
    </cfRule>
    <cfRule type="containsText" dxfId="1619" priority="1617" operator="containsText" text="TÉCNICO">
      <formula>NOT(ISERROR(SEARCH("TÉCNICO",IS74)))</formula>
    </cfRule>
    <cfRule type="containsText" dxfId="1618" priority="1618" operator="containsText" text="PROFESIONAL">
      <formula>NOT(ISERROR(SEARCH("PROFESIONAL",IS74)))</formula>
    </cfRule>
  </conditionalFormatting>
  <conditionalFormatting sqref="IT74">
    <cfRule type="containsText" dxfId="1617" priority="1609" operator="containsText" text="LE HACEN CESÁREA SIN INICIO TRABAJO DE PARTO">
      <formula>NOT(ISERROR(SEARCH("LE HACEN CESÁREA SIN INICIO TRABAJO DE PARTO",IT74)))</formula>
    </cfRule>
    <cfRule type="containsText" dxfId="1616" priority="1610" operator="containsText" text="LE HACEN INDUCCIÓN">
      <formula>NOT(ISERROR(SEARCH("LE HACEN INDUCCIÓN",IT74)))</formula>
    </cfRule>
    <cfRule type="containsText" dxfId="1615" priority="1611" operator="containsText" text="ESPONTÁNEO">
      <formula>NOT(ISERROR(SEARCH("ESPONTÁNEO",IT74)))</formula>
    </cfRule>
  </conditionalFormatting>
  <conditionalFormatting sqref="IR75">
    <cfRule type="containsText" dxfId="1614" priority="1605" operator="containsText" text="NO APLICA">
      <formula>NOT(ISERROR(SEARCH("NO APLICA",IR75)))</formula>
    </cfRule>
    <cfRule type="containsText" dxfId="1613" priority="1606" operator="containsText" text="ALTA">
      <formula>NOT(ISERROR(SEARCH("ALTA",IR75)))</formula>
    </cfRule>
    <cfRule type="containsText" dxfId="1612" priority="1607" operator="containsText" text="MEDIANA">
      <formula>NOT(ISERROR(SEARCH("MEDIANA",IR75)))</formula>
    </cfRule>
    <cfRule type="containsText" dxfId="1611" priority="1608" operator="containsText" text="BAJA">
      <formula>NOT(ISERROR(SEARCH("BAJA",IR75)))</formula>
    </cfRule>
  </conditionalFormatting>
  <conditionalFormatting sqref="IS75:IT75">
    <cfRule type="containsText" dxfId="1610" priority="1598" operator="containsText" text="NO APLICA">
      <formula>NOT(ISERROR(SEARCH("NO APLICA",IS75)))</formula>
    </cfRule>
    <cfRule type="containsText" dxfId="1609" priority="1599" operator="containsText" text="SIN">
      <formula>NOT(ISERROR(SEARCH("SIN",IS75)))</formula>
    </cfRule>
    <cfRule type="containsText" dxfId="1608" priority="1600" operator="containsText" text="EQUIPO">
      <formula>NOT(ISERROR(SEARCH("EQUIPO",IS75)))</formula>
    </cfRule>
    <cfRule type="containsText" dxfId="1607" priority="1601" operator="containsText" text="MEDICO TRADICIONAL">
      <formula>NOT(ISERROR(SEARCH("MEDICO TRADICIONAL",IS75)))</formula>
    </cfRule>
    <cfRule type="containsText" dxfId="1606" priority="1602" operator="containsText" text="PARTERA">
      <formula>NOT(ISERROR(SEARCH("PARTERA",IS75)))</formula>
    </cfRule>
    <cfRule type="containsText" dxfId="1605" priority="1603" operator="containsText" text="TÉCNICO">
      <formula>NOT(ISERROR(SEARCH("TÉCNICO",IS75)))</formula>
    </cfRule>
    <cfRule type="containsText" dxfId="1604" priority="1604" operator="containsText" text="PROFESIONAL">
      <formula>NOT(ISERROR(SEARCH("PROFESIONAL",IS75)))</formula>
    </cfRule>
  </conditionalFormatting>
  <conditionalFormatting sqref="IT75">
    <cfRule type="containsText" dxfId="1603" priority="1595" operator="containsText" text="LE HACEN CESÁREA SIN INICIO TRABAJO DE PARTO">
      <formula>NOT(ISERROR(SEARCH("LE HACEN CESÁREA SIN INICIO TRABAJO DE PARTO",IT75)))</formula>
    </cfRule>
    <cfRule type="containsText" dxfId="1602" priority="1596" operator="containsText" text="LE HACEN INDUCCIÓN">
      <formula>NOT(ISERROR(SEARCH("LE HACEN INDUCCIÓN",IT75)))</formula>
    </cfRule>
    <cfRule type="containsText" dxfId="1601" priority="1597" operator="containsText" text="ESPONTÁNEO">
      <formula>NOT(ISERROR(SEARCH("ESPONTÁNEO",IT75)))</formula>
    </cfRule>
  </conditionalFormatting>
  <conditionalFormatting sqref="JI74">
    <cfRule type="containsText" dxfId="1600" priority="1591" operator="containsText" text="NO APLICA">
      <formula>NOT(ISERROR(SEARCH("NO APLICA",JI74)))</formula>
    </cfRule>
    <cfRule type="containsText" dxfId="1599" priority="1592" operator="containsText" text="SIN DATO">
      <formula>NOT(ISERROR(SEARCH("SIN DATO",JI74)))</formula>
    </cfRule>
    <cfRule type="containsText" dxfId="1598" priority="1593" operator="containsText" text="NO">
      <formula>NOT(ISERROR(SEARCH("NO",JI74)))</formula>
    </cfRule>
    <cfRule type="containsText" dxfId="1597" priority="1594" operator="containsText" text="SI">
      <formula>NOT(ISERROR(SEARCH("SI",JI74)))</formula>
    </cfRule>
  </conditionalFormatting>
  <conditionalFormatting sqref="IR76">
    <cfRule type="containsText" dxfId="1596" priority="1587" operator="containsText" text="NO APLICA">
      <formula>NOT(ISERROR(SEARCH("NO APLICA",IR76)))</formula>
    </cfRule>
    <cfRule type="containsText" dxfId="1595" priority="1588" operator="containsText" text="ALTA">
      <formula>NOT(ISERROR(SEARCH("ALTA",IR76)))</formula>
    </cfRule>
    <cfRule type="containsText" dxfId="1594" priority="1589" operator="containsText" text="MEDIANA">
      <formula>NOT(ISERROR(SEARCH("MEDIANA",IR76)))</formula>
    </cfRule>
    <cfRule type="containsText" dxfId="1593" priority="1590" operator="containsText" text="BAJA">
      <formula>NOT(ISERROR(SEARCH("BAJA",IR76)))</formula>
    </cfRule>
  </conditionalFormatting>
  <conditionalFormatting sqref="IS76:IT76">
    <cfRule type="containsText" dxfId="1592" priority="1580" operator="containsText" text="NO APLICA">
      <formula>NOT(ISERROR(SEARCH("NO APLICA",IS76)))</formula>
    </cfRule>
    <cfRule type="containsText" dxfId="1591" priority="1581" operator="containsText" text="SIN">
      <formula>NOT(ISERROR(SEARCH("SIN",IS76)))</formula>
    </cfRule>
    <cfRule type="containsText" dxfId="1590" priority="1582" operator="containsText" text="EQUIPO">
      <formula>NOT(ISERROR(SEARCH("EQUIPO",IS76)))</formula>
    </cfRule>
    <cfRule type="containsText" dxfId="1589" priority="1583" operator="containsText" text="MEDICO TRADICIONAL">
      <formula>NOT(ISERROR(SEARCH("MEDICO TRADICIONAL",IS76)))</formula>
    </cfRule>
    <cfRule type="containsText" dxfId="1588" priority="1584" operator="containsText" text="PARTERA">
      <formula>NOT(ISERROR(SEARCH("PARTERA",IS76)))</formula>
    </cfRule>
    <cfRule type="containsText" dxfId="1587" priority="1585" operator="containsText" text="TÉCNICO">
      <formula>NOT(ISERROR(SEARCH("TÉCNICO",IS76)))</formula>
    </cfRule>
    <cfRule type="containsText" dxfId="1586" priority="1586" operator="containsText" text="PROFESIONAL">
      <formula>NOT(ISERROR(SEARCH("PROFESIONAL",IS76)))</formula>
    </cfRule>
  </conditionalFormatting>
  <conditionalFormatting sqref="IT76">
    <cfRule type="containsText" dxfId="1585" priority="1577" operator="containsText" text="LE HACEN CESÁREA SIN INICIO TRABAJO DE PARTO">
      <formula>NOT(ISERROR(SEARCH("LE HACEN CESÁREA SIN INICIO TRABAJO DE PARTO",IT76)))</formula>
    </cfRule>
    <cfRule type="containsText" dxfId="1584" priority="1578" operator="containsText" text="LE HACEN INDUCCIÓN">
      <formula>NOT(ISERROR(SEARCH("LE HACEN INDUCCIÓN",IT76)))</formula>
    </cfRule>
    <cfRule type="containsText" dxfId="1583" priority="1579" operator="containsText" text="ESPONTÁNEO">
      <formula>NOT(ISERROR(SEARCH("ESPONTÁNEO",IT76)))</formula>
    </cfRule>
  </conditionalFormatting>
  <conditionalFormatting sqref="JI75">
    <cfRule type="containsText" dxfId="1582" priority="1573" operator="containsText" text="NO APLICA">
      <formula>NOT(ISERROR(SEARCH("NO APLICA",JI75)))</formula>
    </cfRule>
    <cfRule type="containsText" dxfId="1581" priority="1574" operator="containsText" text="SIN DATO">
      <formula>NOT(ISERROR(SEARCH("SIN DATO",JI75)))</formula>
    </cfRule>
    <cfRule type="containsText" dxfId="1580" priority="1575" operator="containsText" text="NO">
      <formula>NOT(ISERROR(SEARCH("NO",JI75)))</formula>
    </cfRule>
    <cfRule type="containsText" dxfId="1579" priority="1576" operator="containsText" text="SI">
      <formula>NOT(ISERROR(SEARCH("SI",JI75)))</formula>
    </cfRule>
  </conditionalFormatting>
  <conditionalFormatting sqref="IR77">
    <cfRule type="containsText" dxfId="1578" priority="1569" operator="containsText" text="NO APLICA">
      <formula>NOT(ISERROR(SEARCH("NO APLICA",IR77)))</formula>
    </cfRule>
    <cfRule type="containsText" dxfId="1577" priority="1570" operator="containsText" text="ALTA">
      <formula>NOT(ISERROR(SEARCH("ALTA",IR77)))</formula>
    </cfRule>
    <cfRule type="containsText" dxfId="1576" priority="1571" operator="containsText" text="MEDIANA">
      <formula>NOT(ISERROR(SEARCH("MEDIANA",IR77)))</formula>
    </cfRule>
    <cfRule type="containsText" dxfId="1575" priority="1572" operator="containsText" text="BAJA">
      <formula>NOT(ISERROR(SEARCH("BAJA",IR77)))</formula>
    </cfRule>
  </conditionalFormatting>
  <conditionalFormatting sqref="IS77:IT77">
    <cfRule type="containsText" dxfId="1574" priority="1562" operator="containsText" text="NO APLICA">
      <formula>NOT(ISERROR(SEARCH("NO APLICA",IS77)))</formula>
    </cfRule>
    <cfRule type="containsText" dxfId="1573" priority="1563" operator="containsText" text="SIN">
      <formula>NOT(ISERROR(SEARCH("SIN",IS77)))</formula>
    </cfRule>
    <cfRule type="containsText" dxfId="1572" priority="1564" operator="containsText" text="EQUIPO">
      <formula>NOT(ISERROR(SEARCH("EQUIPO",IS77)))</formula>
    </cfRule>
    <cfRule type="containsText" dxfId="1571" priority="1565" operator="containsText" text="MEDICO TRADICIONAL">
      <formula>NOT(ISERROR(SEARCH("MEDICO TRADICIONAL",IS77)))</formula>
    </cfRule>
    <cfRule type="containsText" dxfId="1570" priority="1566" operator="containsText" text="PARTERA">
      <formula>NOT(ISERROR(SEARCH("PARTERA",IS77)))</formula>
    </cfRule>
    <cfRule type="containsText" dxfId="1569" priority="1567" operator="containsText" text="TÉCNICO">
      <formula>NOT(ISERROR(SEARCH("TÉCNICO",IS77)))</formula>
    </cfRule>
    <cfRule type="containsText" dxfId="1568" priority="1568" operator="containsText" text="PROFESIONAL">
      <formula>NOT(ISERROR(SEARCH("PROFESIONAL",IS77)))</formula>
    </cfRule>
  </conditionalFormatting>
  <conditionalFormatting sqref="IT77">
    <cfRule type="containsText" dxfId="1567" priority="1559" operator="containsText" text="LE HACEN CESÁREA SIN INICIO TRABAJO DE PARTO">
      <formula>NOT(ISERROR(SEARCH("LE HACEN CESÁREA SIN INICIO TRABAJO DE PARTO",IT77)))</formula>
    </cfRule>
    <cfRule type="containsText" dxfId="1566" priority="1560" operator="containsText" text="LE HACEN INDUCCIÓN">
      <formula>NOT(ISERROR(SEARCH("LE HACEN INDUCCIÓN",IT77)))</formula>
    </cfRule>
    <cfRule type="containsText" dxfId="1565" priority="1561" operator="containsText" text="ESPONTÁNEO">
      <formula>NOT(ISERROR(SEARCH("ESPONTÁNEO",IT77)))</formula>
    </cfRule>
  </conditionalFormatting>
  <conditionalFormatting sqref="JI76">
    <cfRule type="containsText" dxfId="1564" priority="1555" operator="containsText" text="NO APLICA">
      <formula>NOT(ISERROR(SEARCH("NO APLICA",JI76)))</formula>
    </cfRule>
    <cfRule type="containsText" dxfId="1563" priority="1556" operator="containsText" text="SIN DATO">
      <formula>NOT(ISERROR(SEARCH("SIN DATO",JI76)))</formula>
    </cfRule>
    <cfRule type="containsText" dxfId="1562" priority="1557" operator="containsText" text="NO">
      <formula>NOT(ISERROR(SEARCH("NO",JI76)))</formula>
    </cfRule>
    <cfRule type="containsText" dxfId="1561" priority="1558" operator="containsText" text="SI">
      <formula>NOT(ISERROR(SEARCH("SI",JI76)))</formula>
    </cfRule>
  </conditionalFormatting>
  <conditionalFormatting sqref="IO72">
    <cfRule type="containsText" dxfId="1560" priority="1551" operator="containsText" text="NO APLICA">
      <formula>NOT(ISERROR(SEARCH("NO APLICA",IO72)))</formula>
    </cfRule>
    <cfRule type="containsText" dxfId="1559" priority="1552" operator="containsText" text="OTRO">
      <formula>NOT(ISERROR(SEARCH("OTRO",IO72)))</formula>
    </cfRule>
    <cfRule type="containsText" dxfId="1558" priority="1553" operator="containsText" text="DOMICILIO">
      <formula>NOT(ISERROR(SEARCH("DOMICILIO",IO72)))</formula>
    </cfRule>
    <cfRule type="containsText" dxfId="1557" priority="1554" operator="containsText" text="INSTITUCIONAL">
      <formula>NOT(ISERROR(SEARCH("INSTITUCIONAL",IO72)))</formula>
    </cfRule>
  </conditionalFormatting>
  <conditionalFormatting sqref="IR72">
    <cfRule type="containsText" dxfId="1556" priority="1547" operator="containsText" text="NO APLICA">
      <formula>NOT(ISERROR(SEARCH("NO APLICA",IR72)))</formula>
    </cfRule>
    <cfRule type="containsText" dxfId="1555" priority="1548" operator="containsText" text="ALTA">
      <formula>NOT(ISERROR(SEARCH("ALTA",IR72)))</formula>
    </cfRule>
    <cfRule type="containsText" dxfId="1554" priority="1549" operator="containsText" text="MEDIANA">
      <formula>NOT(ISERROR(SEARCH("MEDIANA",IR72)))</formula>
    </cfRule>
    <cfRule type="containsText" dxfId="1553" priority="1550" operator="containsText" text="BAJA">
      <formula>NOT(ISERROR(SEARCH("BAJA",IR72)))</formula>
    </cfRule>
  </conditionalFormatting>
  <conditionalFormatting sqref="IS72:IT72">
    <cfRule type="containsText" dxfId="1552" priority="1540" operator="containsText" text="NO APLICA">
      <formula>NOT(ISERROR(SEARCH("NO APLICA",IS72)))</formula>
    </cfRule>
    <cfRule type="containsText" dxfId="1551" priority="1541" operator="containsText" text="SIN">
      <formula>NOT(ISERROR(SEARCH("SIN",IS72)))</formula>
    </cfRule>
    <cfRule type="containsText" dxfId="1550" priority="1542" operator="containsText" text="EQUIPO">
      <formula>NOT(ISERROR(SEARCH("EQUIPO",IS72)))</formula>
    </cfRule>
    <cfRule type="containsText" dxfId="1549" priority="1543" operator="containsText" text="MEDICO TRADICIONAL">
      <formula>NOT(ISERROR(SEARCH("MEDICO TRADICIONAL",IS72)))</formula>
    </cfRule>
    <cfRule type="containsText" dxfId="1548" priority="1544" operator="containsText" text="PARTERA">
      <formula>NOT(ISERROR(SEARCH("PARTERA",IS72)))</formula>
    </cfRule>
    <cfRule type="containsText" dxfId="1547" priority="1545" operator="containsText" text="TÉCNICO">
      <formula>NOT(ISERROR(SEARCH("TÉCNICO",IS72)))</formula>
    </cfRule>
    <cfRule type="containsText" dxfId="1546" priority="1546" operator="containsText" text="PROFESIONAL">
      <formula>NOT(ISERROR(SEARCH("PROFESIONAL",IS72)))</formula>
    </cfRule>
  </conditionalFormatting>
  <conditionalFormatting sqref="IT72">
    <cfRule type="containsText" dxfId="1545" priority="1537" operator="containsText" text="LE HACEN CESÁREA SIN INICIO TRABAJO DE PARTO">
      <formula>NOT(ISERROR(SEARCH("LE HACEN CESÁREA SIN INICIO TRABAJO DE PARTO",IT72)))</formula>
    </cfRule>
    <cfRule type="containsText" dxfId="1544" priority="1538" operator="containsText" text="LE HACEN INDUCCIÓN">
      <formula>NOT(ISERROR(SEARCH("LE HACEN INDUCCIÓN",IT72)))</formula>
    </cfRule>
    <cfRule type="containsText" dxfId="1543" priority="1539" operator="containsText" text="ESPONTÁNEO">
      <formula>NOT(ISERROR(SEARCH("ESPONTÁNEO",IT72)))</formula>
    </cfRule>
  </conditionalFormatting>
  <conditionalFormatting sqref="JI73">
    <cfRule type="containsText" dxfId="1542" priority="1533" operator="containsText" text="NO APLICA">
      <formula>NOT(ISERROR(SEARCH("NO APLICA",JI73)))</formula>
    </cfRule>
    <cfRule type="containsText" dxfId="1541" priority="1534" operator="containsText" text="SIN DATO">
      <formula>NOT(ISERROR(SEARCH("SIN DATO",JI73)))</formula>
    </cfRule>
    <cfRule type="containsText" dxfId="1540" priority="1535" operator="containsText" text="NO">
      <formula>NOT(ISERROR(SEARCH("NO",JI73)))</formula>
    </cfRule>
    <cfRule type="containsText" dxfId="1539" priority="1536" operator="containsText" text="SI">
      <formula>NOT(ISERROR(SEARCH("SI",JI73)))</formula>
    </cfRule>
  </conditionalFormatting>
  <conditionalFormatting sqref="JI74">
    <cfRule type="containsText" dxfId="1538" priority="1529" operator="containsText" text="NO APLICA">
      <formula>NOT(ISERROR(SEARCH("NO APLICA",JI74)))</formula>
    </cfRule>
    <cfRule type="containsText" dxfId="1537" priority="1530" operator="containsText" text="SIN DATO">
      <formula>NOT(ISERROR(SEARCH("SIN DATO",JI74)))</formula>
    </cfRule>
    <cfRule type="containsText" dxfId="1536" priority="1531" operator="containsText" text="NO">
      <formula>NOT(ISERROR(SEARCH("NO",JI74)))</formula>
    </cfRule>
    <cfRule type="containsText" dxfId="1535" priority="1532" operator="containsText" text="SI">
      <formula>NOT(ISERROR(SEARCH("SI",JI74)))</formula>
    </cfRule>
  </conditionalFormatting>
  <conditionalFormatting sqref="JI75">
    <cfRule type="containsText" dxfId="1534" priority="1525" operator="containsText" text="NO APLICA">
      <formula>NOT(ISERROR(SEARCH("NO APLICA",JI75)))</formula>
    </cfRule>
    <cfRule type="containsText" dxfId="1533" priority="1526" operator="containsText" text="SIN DATO">
      <formula>NOT(ISERROR(SEARCH("SIN DATO",JI75)))</formula>
    </cfRule>
    <cfRule type="containsText" dxfId="1532" priority="1527" operator="containsText" text="NO">
      <formula>NOT(ISERROR(SEARCH("NO",JI75)))</formula>
    </cfRule>
    <cfRule type="containsText" dxfId="1531" priority="1528" operator="containsText" text="SI">
      <formula>NOT(ISERROR(SEARCH("SI",JI75)))</formula>
    </cfRule>
  </conditionalFormatting>
  <conditionalFormatting sqref="JI76">
    <cfRule type="containsText" dxfId="1530" priority="1521" operator="containsText" text="NO APLICA">
      <formula>NOT(ISERROR(SEARCH("NO APLICA",JI76)))</formula>
    </cfRule>
    <cfRule type="containsText" dxfId="1529" priority="1522" operator="containsText" text="SIN DATO">
      <formula>NOT(ISERROR(SEARCH("SIN DATO",JI76)))</formula>
    </cfRule>
    <cfRule type="containsText" dxfId="1528" priority="1523" operator="containsText" text="NO">
      <formula>NOT(ISERROR(SEARCH("NO",JI76)))</formula>
    </cfRule>
    <cfRule type="containsText" dxfId="1527" priority="1524" operator="containsText" text="SI">
      <formula>NOT(ISERROR(SEARCH("SI",JI76)))</formula>
    </cfRule>
  </conditionalFormatting>
  <conditionalFormatting sqref="JI77">
    <cfRule type="containsText" dxfId="1526" priority="1517" operator="containsText" text="NO APLICA">
      <formula>NOT(ISERROR(SEARCH("NO APLICA",JI77)))</formula>
    </cfRule>
    <cfRule type="containsText" dxfId="1525" priority="1518" operator="containsText" text="SIN DATO">
      <formula>NOT(ISERROR(SEARCH("SIN DATO",JI77)))</formula>
    </cfRule>
    <cfRule type="containsText" dxfId="1524" priority="1519" operator="containsText" text="NO">
      <formula>NOT(ISERROR(SEARCH("NO",JI77)))</formula>
    </cfRule>
    <cfRule type="containsText" dxfId="1523" priority="1520" operator="containsText" text="SI">
      <formula>NOT(ISERROR(SEARCH("SI",JI77)))</formula>
    </cfRule>
  </conditionalFormatting>
  <conditionalFormatting sqref="IR79">
    <cfRule type="containsText" dxfId="1522" priority="1513" operator="containsText" text="NO APLICA">
      <formula>NOT(ISERROR(SEARCH("NO APLICA",IR79)))</formula>
    </cfRule>
    <cfRule type="containsText" dxfId="1521" priority="1514" operator="containsText" text="ALTA">
      <formula>NOT(ISERROR(SEARCH("ALTA",IR79)))</formula>
    </cfRule>
    <cfRule type="containsText" dxfId="1520" priority="1515" operator="containsText" text="MEDIANA">
      <formula>NOT(ISERROR(SEARCH("MEDIANA",IR79)))</formula>
    </cfRule>
    <cfRule type="containsText" dxfId="1519" priority="1516" operator="containsText" text="BAJA">
      <formula>NOT(ISERROR(SEARCH("BAJA",IR79)))</formula>
    </cfRule>
  </conditionalFormatting>
  <conditionalFormatting sqref="IS79:IT79">
    <cfRule type="containsText" dxfId="1518" priority="1506" operator="containsText" text="NO APLICA">
      <formula>NOT(ISERROR(SEARCH("NO APLICA",IS79)))</formula>
    </cfRule>
    <cfRule type="containsText" dxfId="1517" priority="1507" operator="containsText" text="SIN">
      <formula>NOT(ISERROR(SEARCH("SIN",IS79)))</formula>
    </cfRule>
    <cfRule type="containsText" dxfId="1516" priority="1508" operator="containsText" text="EQUIPO">
      <formula>NOT(ISERROR(SEARCH("EQUIPO",IS79)))</formula>
    </cfRule>
    <cfRule type="containsText" dxfId="1515" priority="1509" operator="containsText" text="MEDICO TRADICIONAL">
      <formula>NOT(ISERROR(SEARCH("MEDICO TRADICIONAL",IS79)))</formula>
    </cfRule>
    <cfRule type="containsText" dxfId="1514" priority="1510" operator="containsText" text="PARTERA">
      <formula>NOT(ISERROR(SEARCH("PARTERA",IS79)))</formula>
    </cfRule>
    <cfRule type="containsText" dxfId="1513" priority="1511" operator="containsText" text="TÉCNICO">
      <formula>NOT(ISERROR(SEARCH("TÉCNICO",IS79)))</formula>
    </cfRule>
    <cfRule type="containsText" dxfId="1512" priority="1512" operator="containsText" text="PROFESIONAL">
      <formula>NOT(ISERROR(SEARCH("PROFESIONAL",IS79)))</formula>
    </cfRule>
  </conditionalFormatting>
  <conditionalFormatting sqref="IT79">
    <cfRule type="containsText" dxfId="1511" priority="1503" operator="containsText" text="LE HACEN CESÁREA SIN INICIO TRABAJO DE PARTO">
      <formula>NOT(ISERROR(SEARCH("LE HACEN CESÁREA SIN INICIO TRABAJO DE PARTO",IT79)))</formula>
    </cfRule>
    <cfRule type="containsText" dxfId="1510" priority="1504" operator="containsText" text="LE HACEN INDUCCIÓN">
      <formula>NOT(ISERROR(SEARCH("LE HACEN INDUCCIÓN",IT79)))</formula>
    </cfRule>
    <cfRule type="containsText" dxfId="1509" priority="1505" operator="containsText" text="ESPONTÁNEO">
      <formula>NOT(ISERROR(SEARCH("ESPONTÁNEO",IT79)))</formula>
    </cfRule>
  </conditionalFormatting>
  <conditionalFormatting sqref="JI79">
    <cfRule type="containsText" dxfId="1508" priority="1499" operator="containsText" text="NO APLICA">
      <formula>NOT(ISERROR(SEARCH("NO APLICA",JI79)))</formula>
    </cfRule>
    <cfRule type="containsText" dxfId="1507" priority="1500" operator="containsText" text="SIN DATO">
      <formula>NOT(ISERROR(SEARCH("SIN DATO",JI79)))</formula>
    </cfRule>
    <cfRule type="containsText" dxfId="1506" priority="1501" operator="containsText" text="NO">
      <formula>NOT(ISERROR(SEARCH("NO",JI79)))</formula>
    </cfRule>
    <cfRule type="containsText" dxfId="1505" priority="1502" operator="containsText" text="SI">
      <formula>NOT(ISERROR(SEARCH("SI",JI79)))</formula>
    </cfRule>
  </conditionalFormatting>
  <conditionalFormatting sqref="JI79">
    <cfRule type="containsText" dxfId="1504" priority="1495" operator="containsText" text="NO APLICA">
      <formula>NOT(ISERROR(SEARCH("NO APLICA",JI79)))</formula>
    </cfRule>
    <cfRule type="containsText" dxfId="1503" priority="1496" operator="containsText" text="SIN DATO">
      <formula>NOT(ISERROR(SEARCH("SIN DATO",JI79)))</formula>
    </cfRule>
    <cfRule type="containsText" dxfId="1502" priority="1497" operator="containsText" text="NO">
      <formula>NOT(ISERROR(SEARCH("NO",JI79)))</formula>
    </cfRule>
    <cfRule type="containsText" dxfId="1501" priority="1498" operator="containsText" text="SI">
      <formula>NOT(ISERROR(SEARCH("SI",JI79)))</formula>
    </cfRule>
  </conditionalFormatting>
  <conditionalFormatting sqref="IR80">
    <cfRule type="containsText" dxfId="1500" priority="1491" operator="containsText" text="NO APLICA">
      <formula>NOT(ISERROR(SEARCH("NO APLICA",IR80)))</formula>
    </cfRule>
    <cfRule type="containsText" dxfId="1499" priority="1492" operator="containsText" text="ALTA">
      <formula>NOT(ISERROR(SEARCH("ALTA",IR80)))</formula>
    </cfRule>
    <cfRule type="containsText" dxfId="1498" priority="1493" operator="containsText" text="MEDIANA">
      <formula>NOT(ISERROR(SEARCH("MEDIANA",IR80)))</formula>
    </cfRule>
    <cfRule type="containsText" dxfId="1497" priority="1494" operator="containsText" text="BAJA">
      <formula>NOT(ISERROR(SEARCH("BAJA",IR80)))</formula>
    </cfRule>
  </conditionalFormatting>
  <conditionalFormatting sqref="IS80:IT80">
    <cfRule type="containsText" dxfId="1496" priority="1484" operator="containsText" text="NO APLICA">
      <formula>NOT(ISERROR(SEARCH("NO APLICA",IS80)))</formula>
    </cfRule>
    <cfRule type="containsText" dxfId="1495" priority="1485" operator="containsText" text="SIN">
      <formula>NOT(ISERROR(SEARCH("SIN",IS80)))</formula>
    </cfRule>
    <cfRule type="containsText" dxfId="1494" priority="1486" operator="containsText" text="EQUIPO">
      <formula>NOT(ISERROR(SEARCH("EQUIPO",IS80)))</formula>
    </cfRule>
    <cfRule type="containsText" dxfId="1493" priority="1487" operator="containsText" text="MEDICO TRADICIONAL">
      <formula>NOT(ISERROR(SEARCH("MEDICO TRADICIONAL",IS80)))</formula>
    </cfRule>
    <cfRule type="containsText" dxfId="1492" priority="1488" operator="containsText" text="PARTERA">
      <formula>NOT(ISERROR(SEARCH("PARTERA",IS80)))</formula>
    </cfRule>
    <cfRule type="containsText" dxfId="1491" priority="1489" operator="containsText" text="TÉCNICO">
      <formula>NOT(ISERROR(SEARCH("TÉCNICO",IS80)))</formula>
    </cfRule>
    <cfRule type="containsText" dxfId="1490" priority="1490" operator="containsText" text="PROFESIONAL">
      <formula>NOT(ISERROR(SEARCH("PROFESIONAL",IS80)))</formula>
    </cfRule>
  </conditionalFormatting>
  <conditionalFormatting sqref="IT80">
    <cfRule type="containsText" dxfId="1489" priority="1481" operator="containsText" text="LE HACEN CESÁREA SIN INICIO TRABAJO DE PARTO">
      <formula>NOT(ISERROR(SEARCH("LE HACEN CESÁREA SIN INICIO TRABAJO DE PARTO",IT80)))</formula>
    </cfRule>
    <cfRule type="containsText" dxfId="1488" priority="1482" operator="containsText" text="LE HACEN INDUCCIÓN">
      <formula>NOT(ISERROR(SEARCH("LE HACEN INDUCCIÓN",IT80)))</formula>
    </cfRule>
    <cfRule type="containsText" dxfId="1487" priority="1483" operator="containsText" text="ESPONTÁNEO">
      <formula>NOT(ISERROR(SEARCH("ESPONTÁNEO",IT80)))</formula>
    </cfRule>
  </conditionalFormatting>
  <conditionalFormatting sqref="IR81">
    <cfRule type="containsText" dxfId="1486" priority="1477" operator="containsText" text="NO APLICA">
      <formula>NOT(ISERROR(SEARCH("NO APLICA",IR81)))</formula>
    </cfRule>
    <cfRule type="containsText" dxfId="1485" priority="1478" operator="containsText" text="ALTA">
      <formula>NOT(ISERROR(SEARCH("ALTA",IR81)))</formula>
    </cfRule>
    <cfRule type="containsText" dxfId="1484" priority="1479" operator="containsText" text="MEDIANA">
      <formula>NOT(ISERROR(SEARCH("MEDIANA",IR81)))</formula>
    </cfRule>
    <cfRule type="containsText" dxfId="1483" priority="1480" operator="containsText" text="BAJA">
      <formula>NOT(ISERROR(SEARCH("BAJA",IR81)))</formula>
    </cfRule>
  </conditionalFormatting>
  <conditionalFormatting sqref="IS81:IT81">
    <cfRule type="containsText" dxfId="1482" priority="1470" operator="containsText" text="NO APLICA">
      <formula>NOT(ISERROR(SEARCH("NO APLICA",IS81)))</formula>
    </cfRule>
    <cfRule type="containsText" dxfId="1481" priority="1471" operator="containsText" text="SIN">
      <formula>NOT(ISERROR(SEARCH("SIN",IS81)))</formula>
    </cfRule>
    <cfRule type="containsText" dxfId="1480" priority="1472" operator="containsText" text="EQUIPO">
      <formula>NOT(ISERROR(SEARCH("EQUIPO",IS81)))</formula>
    </cfRule>
    <cfRule type="containsText" dxfId="1479" priority="1473" operator="containsText" text="MEDICO TRADICIONAL">
      <formula>NOT(ISERROR(SEARCH("MEDICO TRADICIONAL",IS81)))</formula>
    </cfRule>
    <cfRule type="containsText" dxfId="1478" priority="1474" operator="containsText" text="PARTERA">
      <formula>NOT(ISERROR(SEARCH("PARTERA",IS81)))</formula>
    </cfRule>
    <cfRule type="containsText" dxfId="1477" priority="1475" operator="containsText" text="TÉCNICO">
      <formula>NOT(ISERROR(SEARCH("TÉCNICO",IS81)))</formula>
    </cfRule>
    <cfRule type="containsText" dxfId="1476" priority="1476" operator="containsText" text="PROFESIONAL">
      <formula>NOT(ISERROR(SEARCH("PROFESIONAL",IS81)))</formula>
    </cfRule>
  </conditionalFormatting>
  <conditionalFormatting sqref="IT81">
    <cfRule type="containsText" dxfId="1475" priority="1467" operator="containsText" text="LE HACEN CESÁREA SIN INICIO TRABAJO DE PARTO">
      <formula>NOT(ISERROR(SEARCH("LE HACEN CESÁREA SIN INICIO TRABAJO DE PARTO",IT81)))</formula>
    </cfRule>
    <cfRule type="containsText" dxfId="1474" priority="1468" operator="containsText" text="LE HACEN INDUCCIÓN">
      <formula>NOT(ISERROR(SEARCH("LE HACEN INDUCCIÓN",IT81)))</formula>
    </cfRule>
    <cfRule type="containsText" dxfId="1473" priority="1469" operator="containsText" text="ESPONTÁNEO">
      <formula>NOT(ISERROR(SEARCH("ESPONTÁNEO",IT81)))</formula>
    </cfRule>
  </conditionalFormatting>
  <conditionalFormatting sqref="IR82">
    <cfRule type="containsText" dxfId="1472" priority="1463" operator="containsText" text="NO APLICA">
      <formula>NOT(ISERROR(SEARCH("NO APLICA",IR82)))</formula>
    </cfRule>
    <cfRule type="containsText" dxfId="1471" priority="1464" operator="containsText" text="ALTA">
      <formula>NOT(ISERROR(SEARCH("ALTA",IR82)))</formula>
    </cfRule>
    <cfRule type="containsText" dxfId="1470" priority="1465" operator="containsText" text="MEDIANA">
      <formula>NOT(ISERROR(SEARCH("MEDIANA",IR82)))</formula>
    </cfRule>
    <cfRule type="containsText" dxfId="1469" priority="1466" operator="containsText" text="BAJA">
      <formula>NOT(ISERROR(SEARCH("BAJA",IR82)))</formula>
    </cfRule>
  </conditionalFormatting>
  <conditionalFormatting sqref="IS82:IT82">
    <cfRule type="containsText" dxfId="1468" priority="1456" operator="containsText" text="NO APLICA">
      <formula>NOT(ISERROR(SEARCH("NO APLICA",IS82)))</formula>
    </cfRule>
    <cfRule type="containsText" dxfId="1467" priority="1457" operator="containsText" text="SIN">
      <formula>NOT(ISERROR(SEARCH("SIN",IS82)))</formula>
    </cfRule>
    <cfRule type="containsText" dxfId="1466" priority="1458" operator="containsText" text="EQUIPO">
      <formula>NOT(ISERROR(SEARCH("EQUIPO",IS82)))</formula>
    </cfRule>
    <cfRule type="containsText" dxfId="1465" priority="1459" operator="containsText" text="MEDICO TRADICIONAL">
      <formula>NOT(ISERROR(SEARCH("MEDICO TRADICIONAL",IS82)))</formula>
    </cfRule>
    <cfRule type="containsText" dxfId="1464" priority="1460" operator="containsText" text="PARTERA">
      <formula>NOT(ISERROR(SEARCH("PARTERA",IS82)))</formula>
    </cfRule>
    <cfRule type="containsText" dxfId="1463" priority="1461" operator="containsText" text="TÉCNICO">
      <formula>NOT(ISERROR(SEARCH("TÉCNICO",IS82)))</formula>
    </cfRule>
    <cfRule type="containsText" dxfId="1462" priority="1462" operator="containsText" text="PROFESIONAL">
      <formula>NOT(ISERROR(SEARCH("PROFESIONAL",IS82)))</formula>
    </cfRule>
  </conditionalFormatting>
  <conditionalFormatting sqref="IT82">
    <cfRule type="containsText" dxfId="1461" priority="1453" operator="containsText" text="LE HACEN CESÁREA SIN INICIO TRABAJO DE PARTO">
      <formula>NOT(ISERROR(SEARCH("LE HACEN CESÁREA SIN INICIO TRABAJO DE PARTO",IT82)))</formula>
    </cfRule>
    <cfRule type="containsText" dxfId="1460" priority="1454" operator="containsText" text="LE HACEN INDUCCIÓN">
      <formula>NOT(ISERROR(SEARCH("LE HACEN INDUCCIÓN",IT82)))</formula>
    </cfRule>
    <cfRule type="containsText" dxfId="1459" priority="1455" operator="containsText" text="ESPONTÁNEO">
      <formula>NOT(ISERROR(SEARCH("ESPONTÁNEO",IT82)))</formula>
    </cfRule>
  </conditionalFormatting>
  <conditionalFormatting sqref="JI82">
    <cfRule type="containsText" dxfId="1458" priority="1449" operator="containsText" text="NO APLICA">
      <formula>NOT(ISERROR(SEARCH("NO APLICA",JI82)))</formula>
    </cfRule>
    <cfRule type="containsText" dxfId="1457" priority="1450" operator="containsText" text="SIN DATO">
      <formula>NOT(ISERROR(SEARCH("SIN DATO",JI82)))</formula>
    </cfRule>
    <cfRule type="containsText" dxfId="1456" priority="1451" operator="containsText" text="NO">
      <formula>NOT(ISERROR(SEARCH("NO",JI82)))</formula>
    </cfRule>
    <cfRule type="containsText" dxfId="1455" priority="1452" operator="containsText" text="SI">
      <formula>NOT(ISERROR(SEARCH("SI",JI82)))</formula>
    </cfRule>
  </conditionalFormatting>
  <conditionalFormatting sqref="JI82">
    <cfRule type="containsText" dxfId="1454" priority="1445" operator="containsText" text="NO APLICA">
      <formula>NOT(ISERROR(SEARCH("NO APLICA",JI82)))</formula>
    </cfRule>
    <cfRule type="containsText" dxfId="1453" priority="1446" operator="containsText" text="SIN DATO">
      <formula>NOT(ISERROR(SEARCH("SIN DATO",JI82)))</formula>
    </cfRule>
    <cfRule type="containsText" dxfId="1452" priority="1447" operator="containsText" text="NO">
      <formula>NOT(ISERROR(SEARCH("NO",JI82)))</formula>
    </cfRule>
    <cfRule type="containsText" dxfId="1451" priority="1448" operator="containsText" text="SI">
      <formula>NOT(ISERROR(SEARCH("SI",JI82)))</formula>
    </cfRule>
  </conditionalFormatting>
  <conditionalFormatting sqref="IR83">
    <cfRule type="containsText" dxfId="1450" priority="1441" operator="containsText" text="NO APLICA">
      <formula>NOT(ISERROR(SEARCH("NO APLICA",IR83)))</formula>
    </cfRule>
    <cfRule type="containsText" dxfId="1449" priority="1442" operator="containsText" text="ALTA">
      <formula>NOT(ISERROR(SEARCH("ALTA",IR83)))</formula>
    </cfRule>
    <cfRule type="containsText" dxfId="1448" priority="1443" operator="containsText" text="MEDIANA">
      <formula>NOT(ISERROR(SEARCH("MEDIANA",IR83)))</formula>
    </cfRule>
    <cfRule type="containsText" dxfId="1447" priority="1444" operator="containsText" text="BAJA">
      <formula>NOT(ISERROR(SEARCH("BAJA",IR83)))</formula>
    </cfRule>
  </conditionalFormatting>
  <conditionalFormatting sqref="IS83:IT83">
    <cfRule type="containsText" dxfId="1446" priority="1434" operator="containsText" text="NO APLICA">
      <formula>NOT(ISERROR(SEARCH("NO APLICA",IS83)))</formula>
    </cfRule>
    <cfRule type="containsText" dxfId="1445" priority="1435" operator="containsText" text="SIN">
      <formula>NOT(ISERROR(SEARCH("SIN",IS83)))</formula>
    </cfRule>
    <cfRule type="containsText" dxfId="1444" priority="1436" operator="containsText" text="EQUIPO">
      <formula>NOT(ISERROR(SEARCH("EQUIPO",IS83)))</formula>
    </cfRule>
    <cfRule type="containsText" dxfId="1443" priority="1437" operator="containsText" text="MEDICO TRADICIONAL">
      <formula>NOT(ISERROR(SEARCH("MEDICO TRADICIONAL",IS83)))</formula>
    </cfRule>
    <cfRule type="containsText" dxfId="1442" priority="1438" operator="containsText" text="PARTERA">
      <formula>NOT(ISERROR(SEARCH("PARTERA",IS83)))</formula>
    </cfRule>
    <cfRule type="containsText" dxfId="1441" priority="1439" operator="containsText" text="TÉCNICO">
      <formula>NOT(ISERROR(SEARCH("TÉCNICO",IS83)))</formula>
    </cfRule>
    <cfRule type="containsText" dxfId="1440" priority="1440" operator="containsText" text="PROFESIONAL">
      <formula>NOT(ISERROR(SEARCH("PROFESIONAL",IS83)))</formula>
    </cfRule>
  </conditionalFormatting>
  <conditionalFormatting sqref="IT83">
    <cfRule type="containsText" dxfId="1439" priority="1431" operator="containsText" text="LE HACEN CESÁREA SIN INICIO TRABAJO DE PARTO">
      <formula>NOT(ISERROR(SEARCH("LE HACEN CESÁREA SIN INICIO TRABAJO DE PARTO",IT83)))</formula>
    </cfRule>
    <cfRule type="containsText" dxfId="1438" priority="1432" operator="containsText" text="LE HACEN INDUCCIÓN">
      <formula>NOT(ISERROR(SEARCH("LE HACEN INDUCCIÓN",IT83)))</formula>
    </cfRule>
    <cfRule type="containsText" dxfId="1437" priority="1433" operator="containsText" text="ESPONTÁNEO">
      <formula>NOT(ISERROR(SEARCH("ESPONTÁNEO",IT83)))</formula>
    </cfRule>
  </conditionalFormatting>
  <conditionalFormatting sqref="JI83">
    <cfRule type="containsText" dxfId="1436" priority="1427" operator="containsText" text="NO APLICA">
      <formula>NOT(ISERROR(SEARCH("NO APLICA",JI83)))</formula>
    </cfRule>
    <cfRule type="containsText" dxfId="1435" priority="1428" operator="containsText" text="SIN DATO">
      <formula>NOT(ISERROR(SEARCH("SIN DATO",JI83)))</formula>
    </cfRule>
    <cfRule type="containsText" dxfId="1434" priority="1429" operator="containsText" text="NO">
      <formula>NOT(ISERROR(SEARCH("NO",JI83)))</formula>
    </cfRule>
    <cfRule type="containsText" dxfId="1433" priority="1430" operator="containsText" text="SI">
      <formula>NOT(ISERROR(SEARCH("SI",JI83)))</formula>
    </cfRule>
  </conditionalFormatting>
  <conditionalFormatting sqref="JI83">
    <cfRule type="containsText" dxfId="1432" priority="1423" operator="containsText" text="NO APLICA">
      <formula>NOT(ISERROR(SEARCH("NO APLICA",JI83)))</formula>
    </cfRule>
    <cfRule type="containsText" dxfId="1431" priority="1424" operator="containsText" text="SIN DATO">
      <formula>NOT(ISERROR(SEARCH("SIN DATO",JI83)))</formula>
    </cfRule>
    <cfRule type="containsText" dxfId="1430" priority="1425" operator="containsText" text="NO">
      <formula>NOT(ISERROR(SEARCH("NO",JI83)))</formula>
    </cfRule>
    <cfRule type="containsText" dxfId="1429" priority="1426" operator="containsText" text="SI">
      <formula>NOT(ISERROR(SEARCH("SI",JI83)))</formula>
    </cfRule>
  </conditionalFormatting>
  <conditionalFormatting sqref="IR84">
    <cfRule type="containsText" dxfId="1428" priority="1419" operator="containsText" text="NO APLICA">
      <formula>NOT(ISERROR(SEARCH("NO APLICA",IR84)))</formula>
    </cfRule>
    <cfRule type="containsText" dxfId="1427" priority="1420" operator="containsText" text="ALTA">
      <formula>NOT(ISERROR(SEARCH("ALTA",IR84)))</formula>
    </cfRule>
    <cfRule type="containsText" dxfId="1426" priority="1421" operator="containsText" text="MEDIANA">
      <formula>NOT(ISERROR(SEARCH("MEDIANA",IR84)))</formula>
    </cfRule>
    <cfRule type="containsText" dxfId="1425" priority="1422" operator="containsText" text="BAJA">
      <formula>NOT(ISERROR(SEARCH("BAJA",IR84)))</formula>
    </cfRule>
  </conditionalFormatting>
  <conditionalFormatting sqref="IS84:IT84">
    <cfRule type="containsText" dxfId="1424" priority="1412" operator="containsText" text="NO APLICA">
      <formula>NOT(ISERROR(SEARCH("NO APLICA",IS84)))</formula>
    </cfRule>
    <cfRule type="containsText" dxfId="1423" priority="1413" operator="containsText" text="SIN">
      <formula>NOT(ISERROR(SEARCH("SIN",IS84)))</formula>
    </cfRule>
    <cfRule type="containsText" dxfId="1422" priority="1414" operator="containsText" text="EQUIPO">
      <formula>NOT(ISERROR(SEARCH("EQUIPO",IS84)))</formula>
    </cfRule>
    <cfRule type="containsText" dxfId="1421" priority="1415" operator="containsText" text="MEDICO TRADICIONAL">
      <formula>NOT(ISERROR(SEARCH("MEDICO TRADICIONAL",IS84)))</formula>
    </cfRule>
    <cfRule type="containsText" dxfId="1420" priority="1416" operator="containsText" text="PARTERA">
      <formula>NOT(ISERROR(SEARCH("PARTERA",IS84)))</formula>
    </cfRule>
    <cfRule type="containsText" dxfId="1419" priority="1417" operator="containsText" text="TÉCNICO">
      <formula>NOT(ISERROR(SEARCH("TÉCNICO",IS84)))</formula>
    </cfRule>
    <cfRule type="containsText" dxfId="1418" priority="1418" operator="containsText" text="PROFESIONAL">
      <formula>NOT(ISERROR(SEARCH("PROFESIONAL",IS84)))</formula>
    </cfRule>
  </conditionalFormatting>
  <conditionalFormatting sqref="IT84">
    <cfRule type="containsText" dxfId="1417" priority="1409" operator="containsText" text="LE HACEN CESÁREA SIN INICIO TRABAJO DE PARTO">
      <formula>NOT(ISERROR(SEARCH("LE HACEN CESÁREA SIN INICIO TRABAJO DE PARTO",IT84)))</formula>
    </cfRule>
    <cfRule type="containsText" dxfId="1416" priority="1410" operator="containsText" text="LE HACEN INDUCCIÓN">
      <formula>NOT(ISERROR(SEARCH("LE HACEN INDUCCIÓN",IT84)))</formula>
    </cfRule>
    <cfRule type="containsText" dxfId="1415" priority="1411" operator="containsText" text="ESPONTÁNEO">
      <formula>NOT(ISERROR(SEARCH("ESPONTÁNEO",IT84)))</formula>
    </cfRule>
  </conditionalFormatting>
  <conditionalFormatting sqref="IR86">
    <cfRule type="containsText" dxfId="1414" priority="1405" operator="containsText" text="NO APLICA">
      <formula>NOT(ISERROR(SEARCH("NO APLICA",IR86)))</formula>
    </cfRule>
    <cfRule type="containsText" dxfId="1413" priority="1406" operator="containsText" text="ALTA">
      <formula>NOT(ISERROR(SEARCH("ALTA",IR86)))</formula>
    </cfRule>
    <cfRule type="containsText" dxfId="1412" priority="1407" operator="containsText" text="MEDIANA">
      <formula>NOT(ISERROR(SEARCH("MEDIANA",IR86)))</formula>
    </cfRule>
    <cfRule type="containsText" dxfId="1411" priority="1408" operator="containsText" text="BAJA">
      <formula>NOT(ISERROR(SEARCH("BAJA",IR86)))</formula>
    </cfRule>
  </conditionalFormatting>
  <conditionalFormatting sqref="IS86:IT86">
    <cfRule type="containsText" dxfId="1410" priority="1398" operator="containsText" text="NO APLICA">
      <formula>NOT(ISERROR(SEARCH("NO APLICA",IS86)))</formula>
    </cfRule>
    <cfRule type="containsText" dxfId="1409" priority="1399" operator="containsText" text="SIN">
      <formula>NOT(ISERROR(SEARCH("SIN",IS86)))</formula>
    </cfRule>
    <cfRule type="containsText" dxfId="1408" priority="1400" operator="containsText" text="EQUIPO">
      <formula>NOT(ISERROR(SEARCH("EQUIPO",IS86)))</formula>
    </cfRule>
    <cfRule type="containsText" dxfId="1407" priority="1401" operator="containsText" text="MEDICO TRADICIONAL">
      <formula>NOT(ISERROR(SEARCH("MEDICO TRADICIONAL",IS86)))</formula>
    </cfRule>
    <cfRule type="containsText" dxfId="1406" priority="1402" operator="containsText" text="PARTERA">
      <formula>NOT(ISERROR(SEARCH("PARTERA",IS86)))</formula>
    </cfRule>
    <cfRule type="containsText" dxfId="1405" priority="1403" operator="containsText" text="TÉCNICO">
      <formula>NOT(ISERROR(SEARCH("TÉCNICO",IS86)))</formula>
    </cfRule>
    <cfRule type="containsText" dxfId="1404" priority="1404" operator="containsText" text="PROFESIONAL">
      <formula>NOT(ISERROR(SEARCH("PROFESIONAL",IS86)))</formula>
    </cfRule>
  </conditionalFormatting>
  <conditionalFormatting sqref="IT86">
    <cfRule type="containsText" dxfId="1403" priority="1395" operator="containsText" text="LE HACEN CESÁREA SIN INICIO TRABAJO DE PARTO">
      <formula>NOT(ISERROR(SEARCH("LE HACEN CESÁREA SIN INICIO TRABAJO DE PARTO",IT86)))</formula>
    </cfRule>
    <cfRule type="containsText" dxfId="1402" priority="1396" operator="containsText" text="LE HACEN INDUCCIÓN">
      <formula>NOT(ISERROR(SEARCH("LE HACEN INDUCCIÓN",IT86)))</formula>
    </cfRule>
    <cfRule type="containsText" dxfId="1401" priority="1397" operator="containsText" text="ESPONTÁNEO">
      <formula>NOT(ISERROR(SEARCH("ESPONTÁNEO",IT86)))</formula>
    </cfRule>
  </conditionalFormatting>
  <conditionalFormatting sqref="JI86">
    <cfRule type="containsText" dxfId="1400" priority="1391" operator="containsText" text="NO APLICA">
      <formula>NOT(ISERROR(SEARCH("NO APLICA",JI86)))</formula>
    </cfRule>
    <cfRule type="containsText" dxfId="1399" priority="1392" operator="containsText" text="SIN DATO">
      <formula>NOT(ISERROR(SEARCH("SIN DATO",JI86)))</formula>
    </cfRule>
    <cfRule type="containsText" dxfId="1398" priority="1393" operator="containsText" text="NO">
      <formula>NOT(ISERROR(SEARCH("NO",JI86)))</formula>
    </cfRule>
    <cfRule type="containsText" dxfId="1397" priority="1394" operator="containsText" text="SI">
      <formula>NOT(ISERROR(SEARCH("SI",JI86)))</formula>
    </cfRule>
  </conditionalFormatting>
  <conditionalFormatting sqref="JI86">
    <cfRule type="containsText" dxfId="1396" priority="1387" operator="containsText" text="NO APLICA">
      <formula>NOT(ISERROR(SEARCH("NO APLICA",JI86)))</formula>
    </cfRule>
    <cfRule type="containsText" dxfId="1395" priority="1388" operator="containsText" text="SIN DATO">
      <formula>NOT(ISERROR(SEARCH("SIN DATO",JI86)))</formula>
    </cfRule>
    <cfRule type="containsText" dxfId="1394" priority="1389" operator="containsText" text="NO">
      <formula>NOT(ISERROR(SEARCH("NO",JI86)))</formula>
    </cfRule>
    <cfRule type="containsText" dxfId="1393" priority="1390" operator="containsText" text="SI">
      <formula>NOT(ISERROR(SEARCH("SI",JI86)))</formula>
    </cfRule>
  </conditionalFormatting>
  <conditionalFormatting sqref="IR87">
    <cfRule type="containsText" dxfId="1392" priority="1383" operator="containsText" text="NO APLICA">
      <formula>NOT(ISERROR(SEARCH("NO APLICA",IR87)))</formula>
    </cfRule>
    <cfRule type="containsText" dxfId="1391" priority="1384" operator="containsText" text="ALTA">
      <formula>NOT(ISERROR(SEARCH("ALTA",IR87)))</formula>
    </cfRule>
    <cfRule type="containsText" dxfId="1390" priority="1385" operator="containsText" text="MEDIANA">
      <formula>NOT(ISERROR(SEARCH("MEDIANA",IR87)))</formula>
    </cfRule>
    <cfRule type="containsText" dxfId="1389" priority="1386" operator="containsText" text="BAJA">
      <formula>NOT(ISERROR(SEARCH("BAJA",IR87)))</formula>
    </cfRule>
  </conditionalFormatting>
  <conditionalFormatting sqref="IS87:IT87">
    <cfRule type="containsText" dxfId="1388" priority="1376" operator="containsText" text="NO APLICA">
      <formula>NOT(ISERROR(SEARCH("NO APLICA",IS87)))</formula>
    </cfRule>
    <cfRule type="containsText" dxfId="1387" priority="1377" operator="containsText" text="SIN">
      <formula>NOT(ISERROR(SEARCH("SIN",IS87)))</formula>
    </cfRule>
    <cfRule type="containsText" dxfId="1386" priority="1378" operator="containsText" text="EQUIPO">
      <formula>NOT(ISERROR(SEARCH("EQUIPO",IS87)))</formula>
    </cfRule>
    <cfRule type="containsText" dxfId="1385" priority="1379" operator="containsText" text="MEDICO TRADICIONAL">
      <formula>NOT(ISERROR(SEARCH("MEDICO TRADICIONAL",IS87)))</formula>
    </cfRule>
    <cfRule type="containsText" dxfId="1384" priority="1380" operator="containsText" text="PARTERA">
      <formula>NOT(ISERROR(SEARCH("PARTERA",IS87)))</formula>
    </cfRule>
    <cfRule type="containsText" dxfId="1383" priority="1381" operator="containsText" text="TÉCNICO">
      <formula>NOT(ISERROR(SEARCH("TÉCNICO",IS87)))</formula>
    </cfRule>
    <cfRule type="containsText" dxfId="1382" priority="1382" operator="containsText" text="PROFESIONAL">
      <formula>NOT(ISERROR(SEARCH("PROFESIONAL",IS87)))</formula>
    </cfRule>
  </conditionalFormatting>
  <conditionalFormatting sqref="IT87">
    <cfRule type="containsText" dxfId="1381" priority="1373" operator="containsText" text="LE HACEN CESÁREA SIN INICIO TRABAJO DE PARTO">
      <formula>NOT(ISERROR(SEARCH("LE HACEN CESÁREA SIN INICIO TRABAJO DE PARTO",IT87)))</formula>
    </cfRule>
    <cfRule type="containsText" dxfId="1380" priority="1374" operator="containsText" text="LE HACEN INDUCCIÓN">
      <formula>NOT(ISERROR(SEARCH("LE HACEN INDUCCIÓN",IT87)))</formula>
    </cfRule>
    <cfRule type="containsText" dxfId="1379" priority="1375" operator="containsText" text="ESPONTÁNEO">
      <formula>NOT(ISERROR(SEARCH("ESPONTÁNEO",IT87)))</formula>
    </cfRule>
  </conditionalFormatting>
  <conditionalFormatting sqref="JI87">
    <cfRule type="containsText" dxfId="1378" priority="1369" operator="containsText" text="NO APLICA">
      <formula>NOT(ISERROR(SEARCH("NO APLICA",JI87)))</formula>
    </cfRule>
    <cfRule type="containsText" dxfId="1377" priority="1370" operator="containsText" text="SIN DATO">
      <formula>NOT(ISERROR(SEARCH("SIN DATO",JI87)))</formula>
    </cfRule>
    <cfRule type="containsText" dxfId="1376" priority="1371" operator="containsText" text="NO">
      <formula>NOT(ISERROR(SEARCH("NO",JI87)))</formula>
    </cfRule>
    <cfRule type="containsText" dxfId="1375" priority="1372" operator="containsText" text="SI">
      <formula>NOT(ISERROR(SEARCH("SI",JI87)))</formula>
    </cfRule>
  </conditionalFormatting>
  <conditionalFormatting sqref="JI87">
    <cfRule type="containsText" dxfId="1374" priority="1365" operator="containsText" text="NO APLICA">
      <formula>NOT(ISERROR(SEARCH("NO APLICA",JI87)))</formula>
    </cfRule>
    <cfRule type="containsText" dxfId="1373" priority="1366" operator="containsText" text="SIN DATO">
      <formula>NOT(ISERROR(SEARCH("SIN DATO",JI87)))</formula>
    </cfRule>
    <cfRule type="containsText" dxfId="1372" priority="1367" operator="containsText" text="NO">
      <formula>NOT(ISERROR(SEARCH("NO",JI87)))</formula>
    </cfRule>
    <cfRule type="containsText" dxfId="1371" priority="1368" operator="containsText" text="SI">
      <formula>NOT(ISERROR(SEARCH("SI",JI87)))</formula>
    </cfRule>
  </conditionalFormatting>
  <conditionalFormatting sqref="JI90">
    <cfRule type="containsText" dxfId="1370" priority="1361" operator="containsText" text="NO APLICA">
      <formula>NOT(ISERROR(SEARCH("NO APLICA",JI90)))</formula>
    </cfRule>
    <cfRule type="containsText" dxfId="1369" priority="1362" operator="containsText" text="SIN DATO">
      <formula>NOT(ISERROR(SEARCH("SIN DATO",JI90)))</formula>
    </cfRule>
    <cfRule type="containsText" dxfId="1368" priority="1363" operator="containsText" text="NO">
      <formula>NOT(ISERROR(SEARCH("NO",JI90)))</formula>
    </cfRule>
    <cfRule type="containsText" dxfId="1367" priority="1364" operator="containsText" text="SI">
      <formula>NOT(ISERROR(SEARCH("SI",JI90)))</formula>
    </cfRule>
  </conditionalFormatting>
  <conditionalFormatting sqref="JI90">
    <cfRule type="containsText" dxfId="1366" priority="1357" operator="containsText" text="NO APLICA">
      <formula>NOT(ISERROR(SEARCH("NO APLICA",JI90)))</formula>
    </cfRule>
    <cfRule type="containsText" dxfId="1365" priority="1358" operator="containsText" text="SIN DATO">
      <formula>NOT(ISERROR(SEARCH("SIN DATO",JI90)))</formula>
    </cfRule>
    <cfRule type="containsText" dxfId="1364" priority="1359" operator="containsText" text="NO">
      <formula>NOT(ISERROR(SEARCH("NO",JI90)))</formula>
    </cfRule>
    <cfRule type="containsText" dxfId="1363" priority="1360" operator="containsText" text="SI">
      <formula>NOT(ISERROR(SEARCH("SI",JI90)))</formula>
    </cfRule>
  </conditionalFormatting>
  <conditionalFormatting sqref="IR89">
    <cfRule type="containsText" dxfId="1362" priority="1353" operator="containsText" text="NO APLICA">
      <formula>NOT(ISERROR(SEARCH("NO APLICA",IR89)))</formula>
    </cfRule>
    <cfRule type="containsText" dxfId="1361" priority="1354" operator="containsText" text="ALTA">
      <formula>NOT(ISERROR(SEARCH("ALTA",IR89)))</formula>
    </cfRule>
    <cfRule type="containsText" dxfId="1360" priority="1355" operator="containsText" text="MEDIANA">
      <formula>NOT(ISERROR(SEARCH("MEDIANA",IR89)))</formula>
    </cfRule>
    <cfRule type="containsText" dxfId="1359" priority="1356" operator="containsText" text="BAJA">
      <formula>NOT(ISERROR(SEARCH("BAJA",IR89)))</formula>
    </cfRule>
  </conditionalFormatting>
  <conditionalFormatting sqref="IS89:IT89">
    <cfRule type="containsText" dxfId="1358" priority="1346" operator="containsText" text="NO APLICA">
      <formula>NOT(ISERROR(SEARCH("NO APLICA",IS89)))</formula>
    </cfRule>
    <cfRule type="containsText" dxfId="1357" priority="1347" operator="containsText" text="SIN">
      <formula>NOT(ISERROR(SEARCH("SIN",IS89)))</formula>
    </cfRule>
    <cfRule type="containsText" dxfId="1356" priority="1348" operator="containsText" text="EQUIPO">
      <formula>NOT(ISERROR(SEARCH("EQUIPO",IS89)))</formula>
    </cfRule>
    <cfRule type="containsText" dxfId="1355" priority="1349" operator="containsText" text="MEDICO TRADICIONAL">
      <formula>NOT(ISERROR(SEARCH("MEDICO TRADICIONAL",IS89)))</formula>
    </cfRule>
    <cfRule type="containsText" dxfId="1354" priority="1350" operator="containsText" text="PARTERA">
      <formula>NOT(ISERROR(SEARCH("PARTERA",IS89)))</formula>
    </cfRule>
    <cfRule type="containsText" dxfId="1353" priority="1351" operator="containsText" text="TÉCNICO">
      <formula>NOT(ISERROR(SEARCH("TÉCNICO",IS89)))</formula>
    </cfRule>
    <cfRule type="containsText" dxfId="1352" priority="1352" operator="containsText" text="PROFESIONAL">
      <formula>NOT(ISERROR(SEARCH("PROFESIONAL",IS89)))</formula>
    </cfRule>
  </conditionalFormatting>
  <conditionalFormatting sqref="IT89">
    <cfRule type="containsText" dxfId="1351" priority="1343" operator="containsText" text="LE HACEN CESÁREA SIN INICIO TRABAJO DE PARTO">
      <formula>NOT(ISERROR(SEARCH("LE HACEN CESÁREA SIN INICIO TRABAJO DE PARTO",IT89)))</formula>
    </cfRule>
    <cfRule type="containsText" dxfId="1350" priority="1344" operator="containsText" text="LE HACEN INDUCCIÓN">
      <formula>NOT(ISERROR(SEARCH("LE HACEN INDUCCIÓN",IT89)))</formula>
    </cfRule>
    <cfRule type="containsText" dxfId="1349" priority="1345" operator="containsText" text="ESPONTÁNEO">
      <formula>NOT(ISERROR(SEARCH("ESPONTÁNEO",IT89)))</formula>
    </cfRule>
  </conditionalFormatting>
  <conditionalFormatting sqref="JI89">
    <cfRule type="containsText" dxfId="1348" priority="1339" operator="containsText" text="NO APLICA">
      <formula>NOT(ISERROR(SEARCH("NO APLICA",JI89)))</formula>
    </cfRule>
    <cfRule type="containsText" dxfId="1347" priority="1340" operator="containsText" text="SIN DATO">
      <formula>NOT(ISERROR(SEARCH("SIN DATO",JI89)))</formula>
    </cfRule>
    <cfRule type="containsText" dxfId="1346" priority="1341" operator="containsText" text="NO">
      <formula>NOT(ISERROR(SEARCH("NO",JI89)))</formula>
    </cfRule>
    <cfRule type="containsText" dxfId="1345" priority="1342" operator="containsText" text="SI">
      <formula>NOT(ISERROR(SEARCH("SI",JI89)))</formula>
    </cfRule>
  </conditionalFormatting>
  <conditionalFormatting sqref="JI89">
    <cfRule type="containsText" dxfId="1344" priority="1335" operator="containsText" text="NO APLICA">
      <formula>NOT(ISERROR(SEARCH("NO APLICA",JI89)))</formula>
    </cfRule>
    <cfRule type="containsText" dxfId="1343" priority="1336" operator="containsText" text="SIN DATO">
      <formula>NOT(ISERROR(SEARCH("SIN DATO",JI89)))</formula>
    </cfRule>
    <cfRule type="containsText" dxfId="1342" priority="1337" operator="containsText" text="NO">
      <formula>NOT(ISERROR(SEARCH("NO",JI89)))</formula>
    </cfRule>
    <cfRule type="containsText" dxfId="1341" priority="1338" operator="containsText" text="SI">
      <formula>NOT(ISERROR(SEARCH("SI",JI89)))</formula>
    </cfRule>
  </conditionalFormatting>
  <conditionalFormatting sqref="IR93">
    <cfRule type="containsText" dxfId="1340" priority="1331" operator="containsText" text="NO APLICA">
      <formula>NOT(ISERROR(SEARCH("NO APLICA",IR93)))</formula>
    </cfRule>
    <cfRule type="containsText" dxfId="1339" priority="1332" operator="containsText" text="ALTA">
      <formula>NOT(ISERROR(SEARCH("ALTA",IR93)))</formula>
    </cfRule>
    <cfRule type="containsText" dxfId="1338" priority="1333" operator="containsText" text="MEDIANA">
      <formula>NOT(ISERROR(SEARCH("MEDIANA",IR93)))</formula>
    </cfRule>
    <cfRule type="containsText" dxfId="1337" priority="1334" operator="containsText" text="BAJA">
      <formula>NOT(ISERROR(SEARCH("BAJA",IR93)))</formula>
    </cfRule>
  </conditionalFormatting>
  <conditionalFormatting sqref="IS93:IT93">
    <cfRule type="containsText" dxfId="1336" priority="1324" operator="containsText" text="NO APLICA">
      <formula>NOT(ISERROR(SEARCH("NO APLICA",IS93)))</formula>
    </cfRule>
    <cfRule type="containsText" dxfId="1335" priority="1325" operator="containsText" text="SIN">
      <formula>NOT(ISERROR(SEARCH("SIN",IS93)))</formula>
    </cfRule>
    <cfRule type="containsText" dxfId="1334" priority="1326" operator="containsText" text="EQUIPO">
      <formula>NOT(ISERROR(SEARCH("EQUIPO",IS93)))</formula>
    </cfRule>
    <cfRule type="containsText" dxfId="1333" priority="1327" operator="containsText" text="MEDICO TRADICIONAL">
      <formula>NOT(ISERROR(SEARCH("MEDICO TRADICIONAL",IS93)))</formula>
    </cfRule>
    <cfRule type="containsText" dxfId="1332" priority="1328" operator="containsText" text="PARTERA">
      <formula>NOT(ISERROR(SEARCH("PARTERA",IS93)))</formula>
    </cfRule>
    <cfRule type="containsText" dxfId="1331" priority="1329" operator="containsText" text="TÉCNICO">
      <formula>NOT(ISERROR(SEARCH("TÉCNICO",IS93)))</formula>
    </cfRule>
    <cfRule type="containsText" dxfId="1330" priority="1330" operator="containsText" text="PROFESIONAL">
      <formula>NOT(ISERROR(SEARCH("PROFESIONAL",IS93)))</formula>
    </cfRule>
  </conditionalFormatting>
  <conditionalFormatting sqref="IT93">
    <cfRule type="containsText" dxfId="1329" priority="1321" operator="containsText" text="LE HACEN CESÁREA SIN INICIO TRABAJO DE PARTO">
      <formula>NOT(ISERROR(SEARCH("LE HACEN CESÁREA SIN INICIO TRABAJO DE PARTO",IT93)))</formula>
    </cfRule>
    <cfRule type="containsText" dxfId="1328" priority="1322" operator="containsText" text="LE HACEN INDUCCIÓN">
      <formula>NOT(ISERROR(SEARCH("LE HACEN INDUCCIÓN",IT93)))</formula>
    </cfRule>
    <cfRule type="containsText" dxfId="1327" priority="1323" operator="containsText" text="ESPONTÁNEO">
      <formula>NOT(ISERROR(SEARCH("ESPONTÁNEO",IT93)))</formula>
    </cfRule>
  </conditionalFormatting>
  <conditionalFormatting sqref="JI93">
    <cfRule type="containsText" dxfId="1326" priority="1317" operator="containsText" text="NO APLICA">
      <formula>NOT(ISERROR(SEARCH("NO APLICA",JI93)))</formula>
    </cfRule>
    <cfRule type="containsText" dxfId="1325" priority="1318" operator="containsText" text="SIN DATO">
      <formula>NOT(ISERROR(SEARCH("SIN DATO",JI93)))</formula>
    </cfRule>
    <cfRule type="containsText" dxfId="1324" priority="1319" operator="containsText" text="NO">
      <formula>NOT(ISERROR(SEARCH("NO",JI93)))</formula>
    </cfRule>
    <cfRule type="containsText" dxfId="1323" priority="1320" operator="containsText" text="SI">
      <formula>NOT(ISERROR(SEARCH("SI",JI93)))</formula>
    </cfRule>
  </conditionalFormatting>
  <conditionalFormatting sqref="JI93">
    <cfRule type="containsText" dxfId="1322" priority="1313" operator="containsText" text="NO APLICA">
      <formula>NOT(ISERROR(SEARCH("NO APLICA",JI93)))</formula>
    </cfRule>
    <cfRule type="containsText" dxfId="1321" priority="1314" operator="containsText" text="SIN DATO">
      <formula>NOT(ISERROR(SEARCH("SIN DATO",JI93)))</formula>
    </cfRule>
    <cfRule type="containsText" dxfId="1320" priority="1315" operator="containsText" text="NO">
      <formula>NOT(ISERROR(SEARCH("NO",JI93)))</formula>
    </cfRule>
    <cfRule type="containsText" dxfId="1319" priority="1316" operator="containsText" text="SI">
      <formula>NOT(ISERROR(SEARCH("SI",JI93)))</formula>
    </cfRule>
  </conditionalFormatting>
  <conditionalFormatting sqref="IT97">
    <cfRule type="containsText" dxfId="1318" priority="1306" operator="containsText" text="NO APLICA">
      <formula>NOT(ISERROR(SEARCH("NO APLICA",IT97)))</formula>
    </cfRule>
    <cfRule type="containsText" dxfId="1317" priority="1307" operator="containsText" text="SIN">
      <formula>NOT(ISERROR(SEARCH("SIN",IT97)))</formula>
    </cfRule>
    <cfRule type="containsText" dxfId="1316" priority="1308" operator="containsText" text="EQUIPO">
      <formula>NOT(ISERROR(SEARCH("EQUIPO",IT97)))</formula>
    </cfRule>
    <cfRule type="containsText" dxfId="1315" priority="1309" operator="containsText" text="MEDICO TRADICIONAL">
      <formula>NOT(ISERROR(SEARCH("MEDICO TRADICIONAL",IT97)))</formula>
    </cfRule>
    <cfRule type="containsText" dxfId="1314" priority="1310" operator="containsText" text="PARTERA">
      <formula>NOT(ISERROR(SEARCH("PARTERA",IT97)))</formula>
    </cfRule>
    <cfRule type="containsText" dxfId="1313" priority="1311" operator="containsText" text="TÉCNICO">
      <formula>NOT(ISERROR(SEARCH("TÉCNICO",IT97)))</formula>
    </cfRule>
    <cfRule type="containsText" dxfId="1312" priority="1312" operator="containsText" text="PROFESIONAL">
      <formula>NOT(ISERROR(SEARCH("PROFESIONAL",IT97)))</formula>
    </cfRule>
  </conditionalFormatting>
  <conditionalFormatting sqref="IT97">
    <cfRule type="containsText" dxfId="1311" priority="1303" operator="containsText" text="LE HACEN CESÁREA SIN INICIO TRABAJO DE PARTO">
      <formula>NOT(ISERROR(SEARCH("LE HACEN CESÁREA SIN INICIO TRABAJO DE PARTO",IT97)))</formula>
    </cfRule>
    <cfRule type="containsText" dxfId="1310" priority="1304" operator="containsText" text="LE HACEN INDUCCIÓN">
      <formula>NOT(ISERROR(SEARCH("LE HACEN INDUCCIÓN",IT97)))</formula>
    </cfRule>
    <cfRule type="containsText" dxfId="1309" priority="1305" operator="containsText" text="ESPONTÁNEO">
      <formula>NOT(ISERROR(SEARCH("ESPONTÁNEO",IT97)))</formula>
    </cfRule>
  </conditionalFormatting>
  <conditionalFormatting sqref="IT98">
    <cfRule type="containsText" dxfId="1308" priority="1296" operator="containsText" text="NO APLICA">
      <formula>NOT(ISERROR(SEARCH("NO APLICA",IT98)))</formula>
    </cfRule>
    <cfRule type="containsText" dxfId="1307" priority="1297" operator="containsText" text="SIN">
      <formula>NOT(ISERROR(SEARCH("SIN",IT98)))</formula>
    </cfRule>
    <cfRule type="containsText" dxfId="1306" priority="1298" operator="containsText" text="EQUIPO">
      <formula>NOT(ISERROR(SEARCH("EQUIPO",IT98)))</formula>
    </cfRule>
    <cfRule type="containsText" dxfId="1305" priority="1299" operator="containsText" text="MEDICO TRADICIONAL">
      <formula>NOT(ISERROR(SEARCH("MEDICO TRADICIONAL",IT98)))</formula>
    </cfRule>
    <cfRule type="containsText" dxfId="1304" priority="1300" operator="containsText" text="PARTERA">
      <formula>NOT(ISERROR(SEARCH("PARTERA",IT98)))</formula>
    </cfRule>
    <cfRule type="containsText" dxfId="1303" priority="1301" operator="containsText" text="TÉCNICO">
      <formula>NOT(ISERROR(SEARCH("TÉCNICO",IT98)))</formula>
    </cfRule>
    <cfRule type="containsText" dxfId="1302" priority="1302" operator="containsText" text="PROFESIONAL">
      <formula>NOT(ISERROR(SEARCH("PROFESIONAL",IT98)))</formula>
    </cfRule>
  </conditionalFormatting>
  <conditionalFormatting sqref="IT98">
    <cfRule type="containsText" dxfId="1301" priority="1293" operator="containsText" text="LE HACEN CESÁREA SIN INICIO TRABAJO DE PARTO">
      <formula>NOT(ISERROR(SEARCH("LE HACEN CESÁREA SIN INICIO TRABAJO DE PARTO",IT98)))</formula>
    </cfRule>
    <cfRule type="containsText" dxfId="1300" priority="1294" operator="containsText" text="LE HACEN INDUCCIÓN">
      <formula>NOT(ISERROR(SEARCH("LE HACEN INDUCCIÓN",IT98)))</formula>
    </cfRule>
    <cfRule type="containsText" dxfId="1299" priority="1295" operator="containsText" text="ESPONTÁNEO">
      <formula>NOT(ISERROR(SEARCH("ESPONTÁNEO",IT98)))</formula>
    </cfRule>
  </conditionalFormatting>
  <conditionalFormatting sqref="IR109">
    <cfRule type="containsText" dxfId="1298" priority="1289" operator="containsText" text="NO APLICA">
      <formula>NOT(ISERROR(SEARCH("NO APLICA",IR109)))</formula>
    </cfRule>
    <cfRule type="containsText" dxfId="1297" priority="1290" operator="containsText" text="ALTA">
      <formula>NOT(ISERROR(SEARCH("ALTA",IR109)))</formula>
    </cfRule>
    <cfRule type="containsText" dxfId="1296" priority="1291" operator="containsText" text="MEDIANA">
      <formula>NOT(ISERROR(SEARCH("MEDIANA",IR109)))</formula>
    </cfRule>
    <cfRule type="containsText" dxfId="1295" priority="1292" operator="containsText" text="BAJA">
      <formula>NOT(ISERROR(SEARCH("BAJA",IR109)))</formula>
    </cfRule>
  </conditionalFormatting>
  <conditionalFormatting sqref="IS109:IT109">
    <cfRule type="containsText" dxfId="1294" priority="1282" operator="containsText" text="NO APLICA">
      <formula>NOT(ISERROR(SEARCH("NO APLICA",IS109)))</formula>
    </cfRule>
    <cfRule type="containsText" dxfId="1293" priority="1283" operator="containsText" text="SIN">
      <formula>NOT(ISERROR(SEARCH("SIN",IS109)))</formula>
    </cfRule>
    <cfRule type="containsText" dxfId="1292" priority="1284" operator="containsText" text="EQUIPO">
      <formula>NOT(ISERROR(SEARCH("EQUIPO",IS109)))</formula>
    </cfRule>
    <cfRule type="containsText" dxfId="1291" priority="1285" operator="containsText" text="MEDICO TRADICIONAL">
      <formula>NOT(ISERROR(SEARCH("MEDICO TRADICIONAL",IS109)))</formula>
    </cfRule>
    <cfRule type="containsText" dxfId="1290" priority="1286" operator="containsText" text="PARTERA">
      <formula>NOT(ISERROR(SEARCH("PARTERA",IS109)))</formula>
    </cfRule>
    <cfRule type="containsText" dxfId="1289" priority="1287" operator="containsText" text="TÉCNICO">
      <formula>NOT(ISERROR(SEARCH("TÉCNICO",IS109)))</formula>
    </cfRule>
    <cfRule type="containsText" dxfId="1288" priority="1288" operator="containsText" text="PROFESIONAL">
      <formula>NOT(ISERROR(SEARCH("PROFESIONAL",IS109)))</formula>
    </cfRule>
  </conditionalFormatting>
  <conditionalFormatting sqref="IT109">
    <cfRule type="containsText" dxfId="1287" priority="1279" operator="containsText" text="LE HACEN CESÁREA SIN INICIO TRABAJO DE PARTO">
      <formula>NOT(ISERROR(SEARCH("LE HACEN CESÁREA SIN INICIO TRABAJO DE PARTO",IT109)))</formula>
    </cfRule>
    <cfRule type="containsText" dxfId="1286" priority="1280" operator="containsText" text="LE HACEN INDUCCIÓN">
      <formula>NOT(ISERROR(SEARCH("LE HACEN INDUCCIÓN",IT109)))</formula>
    </cfRule>
    <cfRule type="containsText" dxfId="1285" priority="1281" operator="containsText" text="ESPONTÁNEO">
      <formula>NOT(ISERROR(SEARCH("ESPONTÁNEO",IT109)))</formula>
    </cfRule>
  </conditionalFormatting>
  <conditionalFormatting sqref="IR105">
    <cfRule type="containsText" dxfId="1284" priority="1275" operator="containsText" text="NO APLICA">
      <formula>NOT(ISERROR(SEARCH("NO APLICA",IR105)))</formula>
    </cfRule>
    <cfRule type="containsText" dxfId="1283" priority="1276" operator="containsText" text="ALTA">
      <formula>NOT(ISERROR(SEARCH("ALTA",IR105)))</formula>
    </cfRule>
    <cfRule type="containsText" dxfId="1282" priority="1277" operator="containsText" text="MEDIANA">
      <formula>NOT(ISERROR(SEARCH("MEDIANA",IR105)))</formula>
    </cfRule>
    <cfRule type="containsText" dxfId="1281" priority="1278" operator="containsText" text="BAJA">
      <formula>NOT(ISERROR(SEARCH("BAJA",IR105)))</formula>
    </cfRule>
  </conditionalFormatting>
  <conditionalFormatting sqref="IS105:IT105">
    <cfRule type="containsText" dxfId="1280" priority="1268" operator="containsText" text="NO APLICA">
      <formula>NOT(ISERROR(SEARCH("NO APLICA",IS105)))</formula>
    </cfRule>
    <cfRule type="containsText" dxfId="1279" priority="1269" operator="containsText" text="SIN">
      <formula>NOT(ISERROR(SEARCH("SIN",IS105)))</formula>
    </cfRule>
    <cfRule type="containsText" dxfId="1278" priority="1270" operator="containsText" text="EQUIPO">
      <formula>NOT(ISERROR(SEARCH("EQUIPO",IS105)))</formula>
    </cfRule>
    <cfRule type="containsText" dxfId="1277" priority="1271" operator="containsText" text="MEDICO TRADICIONAL">
      <formula>NOT(ISERROR(SEARCH("MEDICO TRADICIONAL",IS105)))</formula>
    </cfRule>
    <cfRule type="containsText" dxfId="1276" priority="1272" operator="containsText" text="PARTERA">
      <formula>NOT(ISERROR(SEARCH("PARTERA",IS105)))</formula>
    </cfRule>
    <cfRule type="containsText" dxfId="1275" priority="1273" operator="containsText" text="TÉCNICO">
      <formula>NOT(ISERROR(SEARCH("TÉCNICO",IS105)))</formula>
    </cfRule>
    <cfRule type="containsText" dxfId="1274" priority="1274" operator="containsText" text="PROFESIONAL">
      <formula>NOT(ISERROR(SEARCH("PROFESIONAL",IS105)))</formula>
    </cfRule>
  </conditionalFormatting>
  <conditionalFormatting sqref="IT105">
    <cfRule type="containsText" dxfId="1273" priority="1265" operator="containsText" text="LE HACEN CESÁREA SIN INICIO TRABAJO DE PARTO">
      <formula>NOT(ISERROR(SEARCH("LE HACEN CESÁREA SIN INICIO TRABAJO DE PARTO",IT105)))</formula>
    </cfRule>
    <cfRule type="containsText" dxfId="1272" priority="1266" operator="containsText" text="LE HACEN INDUCCIÓN">
      <formula>NOT(ISERROR(SEARCH("LE HACEN INDUCCIÓN",IT105)))</formula>
    </cfRule>
    <cfRule type="containsText" dxfId="1271" priority="1267" operator="containsText" text="ESPONTÁNEO">
      <formula>NOT(ISERROR(SEARCH("ESPONTÁNEO",IT105)))</formula>
    </cfRule>
  </conditionalFormatting>
  <conditionalFormatting sqref="JK113:JL113">
    <cfRule type="containsText" dxfId="1270" priority="1254" operator="containsText" text="NO APLICA">
      <formula>NOT(ISERROR(SEARCH("NO APLICA",JK113)))</formula>
    </cfRule>
    <cfRule type="containsText" dxfId="1269" priority="1255" operator="containsText" text="SIN">
      <formula>NOT(ISERROR(SEARCH("SIN",JK113)))</formula>
    </cfRule>
    <cfRule type="containsText" dxfId="1268" priority="1256" operator="containsText" text="EQUIPO">
      <formula>NOT(ISERROR(SEARCH("EQUIPO",JK113)))</formula>
    </cfRule>
    <cfRule type="containsText" dxfId="1267" priority="1257" operator="containsText" text="MEDICO TRADICIONAL">
      <formula>NOT(ISERROR(SEARCH("MEDICO TRADICIONAL",JK113)))</formula>
    </cfRule>
    <cfRule type="containsText" dxfId="1266" priority="1258" operator="containsText" text="PARTERA">
      <formula>NOT(ISERROR(SEARCH("PARTERA",JK113)))</formula>
    </cfRule>
    <cfRule type="containsText" dxfId="1265" priority="1259" operator="containsText" text="TÉCNICO">
      <formula>NOT(ISERROR(SEARCH("TÉCNICO",JK113)))</formula>
    </cfRule>
    <cfRule type="containsText" dxfId="1264" priority="1260" operator="containsText" text="PROFESIONAL">
      <formula>NOT(ISERROR(SEARCH("PROFESIONAL",JK113)))</formula>
    </cfRule>
  </conditionalFormatting>
  <conditionalFormatting sqref="JL113">
    <cfRule type="containsText" dxfId="1263" priority="1251" operator="containsText" text="LE HACEN CESÁREA SIN INICIO TRABAJO DE PARTO">
      <formula>NOT(ISERROR(SEARCH("LE HACEN CESÁREA SIN INICIO TRABAJO DE PARTO",JL113)))</formula>
    </cfRule>
    <cfRule type="containsText" dxfId="1262" priority="1252" operator="containsText" text="LE HACEN INDUCCIÓN">
      <formula>NOT(ISERROR(SEARCH("LE HACEN INDUCCIÓN",JL113)))</formula>
    </cfRule>
    <cfRule type="containsText" dxfId="1261" priority="1253" operator="containsText" text="ESPONTÁNEO">
      <formula>NOT(ISERROR(SEARCH("ESPONTÁNEO",JL113)))</formula>
    </cfRule>
  </conditionalFormatting>
  <conditionalFormatting sqref="JI113">
    <cfRule type="containsText" dxfId="1260" priority="1247" operator="containsText" text="NO APLICA">
      <formula>NOT(ISERROR(SEARCH("NO APLICA",JI113)))</formula>
    </cfRule>
    <cfRule type="containsText" dxfId="1259" priority="1248" operator="containsText" text="SIN DATO">
      <formula>NOT(ISERROR(SEARCH("SIN DATO",JI113)))</formula>
    </cfRule>
    <cfRule type="containsText" dxfId="1258" priority="1249" operator="containsText" text="NO">
      <formula>NOT(ISERROR(SEARCH("NO",JI113)))</formula>
    </cfRule>
    <cfRule type="containsText" dxfId="1257" priority="1250" operator="containsText" text="SI">
      <formula>NOT(ISERROR(SEARCH("SI",JI113)))</formula>
    </cfRule>
  </conditionalFormatting>
  <conditionalFormatting sqref="IR120">
    <cfRule type="containsText" dxfId="1256" priority="1243" operator="containsText" text="NO APLICA">
      <formula>NOT(ISERROR(SEARCH("NO APLICA",IR120)))</formula>
    </cfRule>
    <cfRule type="containsText" dxfId="1255" priority="1244" operator="containsText" text="ALTA">
      <formula>NOT(ISERROR(SEARCH("ALTA",IR120)))</formula>
    </cfRule>
    <cfRule type="containsText" dxfId="1254" priority="1245" operator="containsText" text="MEDIANA">
      <formula>NOT(ISERROR(SEARCH("MEDIANA",IR120)))</formula>
    </cfRule>
    <cfRule type="containsText" dxfId="1253" priority="1246" operator="containsText" text="BAJA">
      <formula>NOT(ISERROR(SEARCH("BAJA",IR120)))</formula>
    </cfRule>
  </conditionalFormatting>
  <conditionalFormatting sqref="IS120:IT120">
    <cfRule type="containsText" dxfId="1252" priority="1236" operator="containsText" text="NO APLICA">
      <formula>NOT(ISERROR(SEARCH("NO APLICA",IS120)))</formula>
    </cfRule>
    <cfRule type="containsText" dxfId="1251" priority="1237" operator="containsText" text="SIN">
      <formula>NOT(ISERROR(SEARCH("SIN",IS120)))</formula>
    </cfRule>
    <cfRule type="containsText" dxfId="1250" priority="1238" operator="containsText" text="EQUIPO">
      <formula>NOT(ISERROR(SEARCH("EQUIPO",IS120)))</formula>
    </cfRule>
    <cfRule type="containsText" dxfId="1249" priority="1239" operator="containsText" text="MEDICO TRADICIONAL">
      <formula>NOT(ISERROR(SEARCH("MEDICO TRADICIONAL",IS120)))</formula>
    </cfRule>
    <cfRule type="containsText" dxfId="1248" priority="1240" operator="containsText" text="PARTERA">
      <formula>NOT(ISERROR(SEARCH("PARTERA",IS120)))</formula>
    </cfRule>
    <cfRule type="containsText" dxfId="1247" priority="1241" operator="containsText" text="TÉCNICO">
      <formula>NOT(ISERROR(SEARCH("TÉCNICO",IS120)))</formula>
    </cfRule>
    <cfRule type="containsText" dxfId="1246" priority="1242" operator="containsText" text="PROFESIONAL">
      <formula>NOT(ISERROR(SEARCH("PROFESIONAL",IS120)))</formula>
    </cfRule>
  </conditionalFormatting>
  <conditionalFormatting sqref="IT120">
    <cfRule type="containsText" dxfId="1245" priority="1233" operator="containsText" text="LE HACEN CESÁREA SIN INICIO TRABAJO DE PARTO">
      <formula>NOT(ISERROR(SEARCH("LE HACEN CESÁREA SIN INICIO TRABAJO DE PARTO",IT120)))</formula>
    </cfRule>
    <cfRule type="containsText" dxfId="1244" priority="1234" operator="containsText" text="LE HACEN INDUCCIÓN">
      <formula>NOT(ISERROR(SEARCH("LE HACEN INDUCCIÓN",IT120)))</formula>
    </cfRule>
    <cfRule type="containsText" dxfId="1243" priority="1235" operator="containsText" text="ESPONTÁNEO">
      <formula>NOT(ISERROR(SEARCH("ESPONTÁNEO",IT120)))</formula>
    </cfRule>
  </conditionalFormatting>
  <conditionalFormatting sqref="JI120">
    <cfRule type="containsText" dxfId="1242" priority="1229" operator="containsText" text="NO APLICA">
      <formula>NOT(ISERROR(SEARCH("NO APLICA",JI120)))</formula>
    </cfRule>
    <cfRule type="containsText" dxfId="1241" priority="1230" operator="containsText" text="SIN DATO">
      <formula>NOT(ISERROR(SEARCH("SIN DATO",JI120)))</formula>
    </cfRule>
    <cfRule type="containsText" dxfId="1240" priority="1231" operator="containsText" text="NO">
      <formula>NOT(ISERROR(SEARCH("NO",JI120)))</formula>
    </cfRule>
    <cfRule type="containsText" dxfId="1239" priority="1232" operator="containsText" text="SI">
      <formula>NOT(ISERROR(SEARCH("SI",JI120)))</formula>
    </cfRule>
  </conditionalFormatting>
  <conditionalFormatting sqref="IR127">
    <cfRule type="containsText" dxfId="1238" priority="1225" operator="containsText" text="NO APLICA">
      <formula>NOT(ISERROR(SEARCH("NO APLICA",IR127)))</formula>
    </cfRule>
    <cfRule type="containsText" dxfId="1237" priority="1226" operator="containsText" text="ALTA">
      <formula>NOT(ISERROR(SEARCH("ALTA",IR127)))</formula>
    </cfRule>
    <cfRule type="containsText" dxfId="1236" priority="1227" operator="containsText" text="MEDIANA">
      <formula>NOT(ISERROR(SEARCH("MEDIANA",IR127)))</formula>
    </cfRule>
    <cfRule type="containsText" dxfId="1235" priority="1228" operator="containsText" text="BAJA">
      <formula>NOT(ISERROR(SEARCH("BAJA",IR127)))</formula>
    </cfRule>
  </conditionalFormatting>
  <conditionalFormatting sqref="IS127:IT127">
    <cfRule type="containsText" dxfId="1234" priority="1218" operator="containsText" text="NO APLICA">
      <formula>NOT(ISERROR(SEARCH("NO APLICA",IS127)))</formula>
    </cfRule>
    <cfRule type="containsText" dxfId="1233" priority="1219" operator="containsText" text="SIN">
      <formula>NOT(ISERROR(SEARCH("SIN",IS127)))</formula>
    </cfRule>
    <cfRule type="containsText" dxfId="1232" priority="1220" operator="containsText" text="EQUIPO">
      <formula>NOT(ISERROR(SEARCH("EQUIPO",IS127)))</formula>
    </cfRule>
    <cfRule type="containsText" dxfId="1231" priority="1221" operator="containsText" text="MEDICO TRADICIONAL">
      <formula>NOT(ISERROR(SEARCH("MEDICO TRADICIONAL",IS127)))</formula>
    </cfRule>
    <cfRule type="containsText" dxfId="1230" priority="1222" operator="containsText" text="PARTERA">
      <formula>NOT(ISERROR(SEARCH("PARTERA",IS127)))</formula>
    </cfRule>
    <cfRule type="containsText" dxfId="1229" priority="1223" operator="containsText" text="TÉCNICO">
      <formula>NOT(ISERROR(SEARCH("TÉCNICO",IS127)))</formula>
    </cfRule>
    <cfRule type="containsText" dxfId="1228" priority="1224" operator="containsText" text="PROFESIONAL">
      <formula>NOT(ISERROR(SEARCH("PROFESIONAL",IS127)))</formula>
    </cfRule>
  </conditionalFormatting>
  <conditionalFormatting sqref="IT127">
    <cfRule type="containsText" dxfId="1227" priority="1215" operator="containsText" text="LE HACEN CESÁREA SIN INICIO TRABAJO DE PARTO">
      <formula>NOT(ISERROR(SEARCH("LE HACEN CESÁREA SIN INICIO TRABAJO DE PARTO",IT127)))</formula>
    </cfRule>
    <cfRule type="containsText" dxfId="1226" priority="1216" operator="containsText" text="LE HACEN INDUCCIÓN">
      <formula>NOT(ISERROR(SEARCH("LE HACEN INDUCCIÓN",IT127)))</formula>
    </cfRule>
    <cfRule type="containsText" dxfId="1225" priority="1217" operator="containsText" text="ESPONTÁNEO">
      <formula>NOT(ISERROR(SEARCH("ESPONTÁNEO",IT127)))</formula>
    </cfRule>
  </conditionalFormatting>
  <conditionalFormatting sqref="IR131">
    <cfRule type="containsText" dxfId="1224" priority="1211" operator="containsText" text="NO APLICA">
      <formula>NOT(ISERROR(SEARCH("NO APLICA",IR131)))</formula>
    </cfRule>
    <cfRule type="containsText" dxfId="1223" priority="1212" operator="containsText" text="ALTA">
      <formula>NOT(ISERROR(SEARCH("ALTA",IR131)))</formula>
    </cfRule>
    <cfRule type="containsText" dxfId="1222" priority="1213" operator="containsText" text="MEDIANA">
      <formula>NOT(ISERROR(SEARCH("MEDIANA",IR131)))</formula>
    </cfRule>
    <cfRule type="containsText" dxfId="1221" priority="1214" operator="containsText" text="BAJA">
      <formula>NOT(ISERROR(SEARCH("BAJA",IR131)))</formula>
    </cfRule>
  </conditionalFormatting>
  <conditionalFormatting sqref="IS131:IT131">
    <cfRule type="containsText" dxfId="1220" priority="1204" operator="containsText" text="NO APLICA">
      <formula>NOT(ISERROR(SEARCH("NO APLICA",IS131)))</formula>
    </cfRule>
    <cfRule type="containsText" dxfId="1219" priority="1205" operator="containsText" text="SIN">
      <formula>NOT(ISERROR(SEARCH("SIN",IS131)))</formula>
    </cfRule>
    <cfRule type="containsText" dxfId="1218" priority="1206" operator="containsText" text="EQUIPO">
      <formula>NOT(ISERROR(SEARCH("EQUIPO",IS131)))</formula>
    </cfRule>
    <cfRule type="containsText" dxfId="1217" priority="1207" operator="containsText" text="MEDICO TRADICIONAL">
      <formula>NOT(ISERROR(SEARCH("MEDICO TRADICIONAL",IS131)))</formula>
    </cfRule>
    <cfRule type="containsText" dxfId="1216" priority="1208" operator="containsText" text="PARTERA">
      <formula>NOT(ISERROR(SEARCH("PARTERA",IS131)))</formula>
    </cfRule>
    <cfRule type="containsText" dxfId="1215" priority="1209" operator="containsText" text="TÉCNICO">
      <formula>NOT(ISERROR(SEARCH("TÉCNICO",IS131)))</formula>
    </cfRule>
    <cfRule type="containsText" dxfId="1214" priority="1210" operator="containsText" text="PROFESIONAL">
      <formula>NOT(ISERROR(SEARCH("PROFESIONAL",IS131)))</formula>
    </cfRule>
  </conditionalFormatting>
  <conditionalFormatting sqref="IT131">
    <cfRule type="containsText" dxfId="1213" priority="1201" operator="containsText" text="LE HACEN CESÁREA SIN INICIO TRABAJO DE PARTO">
      <formula>NOT(ISERROR(SEARCH("LE HACEN CESÁREA SIN INICIO TRABAJO DE PARTO",IT131)))</formula>
    </cfRule>
    <cfRule type="containsText" dxfId="1212" priority="1202" operator="containsText" text="LE HACEN INDUCCIÓN">
      <formula>NOT(ISERROR(SEARCH("LE HACEN INDUCCIÓN",IT131)))</formula>
    </cfRule>
    <cfRule type="containsText" dxfId="1211" priority="1203" operator="containsText" text="ESPONTÁNEO">
      <formula>NOT(ISERROR(SEARCH("ESPONTÁNEO",IT131)))</formula>
    </cfRule>
  </conditionalFormatting>
  <conditionalFormatting sqref="JI136">
    <cfRule type="containsText" dxfId="1210" priority="1197" operator="containsText" text="NO APLICA">
      <formula>NOT(ISERROR(SEARCH("NO APLICA",JI136)))</formula>
    </cfRule>
    <cfRule type="containsText" dxfId="1209" priority="1198" operator="containsText" text="SIN DATO">
      <formula>NOT(ISERROR(SEARCH("SIN DATO",JI136)))</formula>
    </cfRule>
    <cfRule type="containsText" dxfId="1208" priority="1199" operator="containsText" text="NO">
      <formula>NOT(ISERROR(SEARCH("NO",JI136)))</formula>
    </cfRule>
    <cfRule type="containsText" dxfId="1207" priority="1200" operator="containsText" text="SI">
      <formula>NOT(ISERROR(SEARCH("SI",JI136)))</formula>
    </cfRule>
  </conditionalFormatting>
  <conditionalFormatting sqref="IR146">
    <cfRule type="containsText" dxfId="1206" priority="1193" operator="containsText" text="NO APLICA">
      <formula>NOT(ISERROR(SEARCH("NO APLICA",IR146)))</formula>
    </cfRule>
    <cfRule type="containsText" dxfId="1205" priority="1194" operator="containsText" text="ALTA">
      <formula>NOT(ISERROR(SEARCH("ALTA",IR146)))</formula>
    </cfRule>
    <cfRule type="containsText" dxfId="1204" priority="1195" operator="containsText" text="MEDIANA">
      <formula>NOT(ISERROR(SEARCH("MEDIANA",IR146)))</formula>
    </cfRule>
    <cfRule type="containsText" dxfId="1203" priority="1196" operator="containsText" text="BAJA">
      <formula>NOT(ISERROR(SEARCH("BAJA",IR146)))</formula>
    </cfRule>
  </conditionalFormatting>
  <conditionalFormatting sqref="IS146:IT146">
    <cfRule type="containsText" dxfId="1202" priority="1186" operator="containsText" text="NO APLICA">
      <formula>NOT(ISERROR(SEARCH("NO APLICA",IS146)))</formula>
    </cfRule>
    <cfRule type="containsText" dxfId="1201" priority="1187" operator="containsText" text="SIN">
      <formula>NOT(ISERROR(SEARCH("SIN",IS146)))</formula>
    </cfRule>
    <cfRule type="containsText" dxfId="1200" priority="1188" operator="containsText" text="EQUIPO">
      <formula>NOT(ISERROR(SEARCH("EQUIPO",IS146)))</formula>
    </cfRule>
    <cfRule type="containsText" dxfId="1199" priority="1189" operator="containsText" text="MEDICO TRADICIONAL">
      <formula>NOT(ISERROR(SEARCH("MEDICO TRADICIONAL",IS146)))</formula>
    </cfRule>
    <cfRule type="containsText" dxfId="1198" priority="1190" operator="containsText" text="PARTERA">
      <formula>NOT(ISERROR(SEARCH("PARTERA",IS146)))</formula>
    </cfRule>
    <cfRule type="containsText" dxfId="1197" priority="1191" operator="containsText" text="TÉCNICO">
      <formula>NOT(ISERROR(SEARCH("TÉCNICO",IS146)))</formula>
    </cfRule>
    <cfRule type="containsText" dxfId="1196" priority="1192" operator="containsText" text="PROFESIONAL">
      <formula>NOT(ISERROR(SEARCH("PROFESIONAL",IS146)))</formula>
    </cfRule>
  </conditionalFormatting>
  <conditionalFormatting sqref="IT146">
    <cfRule type="containsText" dxfId="1195" priority="1183" operator="containsText" text="LE HACEN CESÁREA SIN INICIO TRABAJO DE PARTO">
      <formula>NOT(ISERROR(SEARCH("LE HACEN CESÁREA SIN INICIO TRABAJO DE PARTO",IT146)))</formula>
    </cfRule>
    <cfRule type="containsText" dxfId="1194" priority="1184" operator="containsText" text="LE HACEN INDUCCIÓN">
      <formula>NOT(ISERROR(SEARCH("LE HACEN INDUCCIÓN",IT146)))</formula>
    </cfRule>
    <cfRule type="containsText" dxfId="1193" priority="1185" operator="containsText" text="ESPONTÁNEO">
      <formula>NOT(ISERROR(SEARCH("ESPONTÁNEO",IT146)))</formula>
    </cfRule>
  </conditionalFormatting>
  <conditionalFormatting sqref="JI146">
    <cfRule type="containsText" dxfId="1192" priority="1179" operator="containsText" text="NO APLICA">
      <formula>NOT(ISERROR(SEARCH("NO APLICA",JI146)))</formula>
    </cfRule>
    <cfRule type="containsText" dxfId="1191" priority="1180" operator="containsText" text="SIN DATO">
      <formula>NOT(ISERROR(SEARCH("SIN DATO",JI146)))</formula>
    </cfRule>
    <cfRule type="containsText" dxfId="1190" priority="1181" operator="containsText" text="NO">
      <formula>NOT(ISERROR(SEARCH("NO",JI146)))</formula>
    </cfRule>
    <cfRule type="containsText" dxfId="1189" priority="1182" operator="containsText" text="SI">
      <formula>NOT(ISERROR(SEARCH("SI",JI146)))</formula>
    </cfRule>
  </conditionalFormatting>
  <conditionalFormatting sqref="IR155">
    <cfRule type="containsText" dxfId="1188" priority="1175" operator="containsText" text="NO APLICA">
      <formula>NOT(ISERROR(SEARCH("NO APLICA",IR155)))</formula>
    </cfRule>
    <cfRule type="containsText" dxfId="1187" priority="1176" operator="containsText" text="ALTA">
      <formula>NOT(ISERROR(SEARCH("ALTA",IR155)))</formula>
    </cfRule>
    <cfRule type="containsText" dxfId="1186" priority="1177" operator="containsText" text="MEDIANA">
      <formula>NOT(ISERROR(SEARCH("MEDIANA",IR155)))</formula>
    </cfRule>
    <cfRule type="containsText" dxfId="1185" priority="1178" operator="containsText" text="BAJA">
      <formula>NOT(ISERROR(SEARCH("BAJA",IR155)))</formula>
    </cfRule>
  </conditionalFormatting>
  <conditionalFormatting sqref="IS155:IT155">
    <cfRule type="containsText" dxfId="1184" priority="1168" operator="containsText" text="NO APLICA">
      <formula>NOT(ISERROR(SEARCH("NO APLICA",IS155)))</formula>
    </cfRule>
    <cfRule type="containsText" dxfId="1183" priority="1169" operator="containsText" text="SIN">
      <formula>NOT(ISERROR(SEARCH("SIN",IS155)))</formula>
    </cfRule>
    <cfRule type="containsText" dxfId="1182" priority="1170" operator="containsText" text="EQUIPO">
      <formula>NOT(ISERROR(SEARCH("EQUIPO",IS155)))</formula>
    </cfRule>
    <cfRule type="containsText" dxfId="1181" priority="1171" operator="containsText" text="MEDICO TRADICIONAL">
      <formula>NOT(ISERROR(SEARCH("MEDICO TRADICIONAL",IS155)))</formula>
    </cfRule>
    <cfRule type="containsText" dxfId="1180" priority="1172" operator="containsText" text="PARTERA">
      <formula>NOT(ISERROR(SEARCH("PARTERA",IS155)))</formula>
    </cfRule>
    <cfRule type="containsText" dxfId="1179" priority="1173" operator="containsText" text="TÉCNICO">
      <formula>NOT(ISERROR(SEARCH("TÉCNICO",IS155)))</formula>
    </cfRule>
    <cfRule type="containsText" dxfId="1178" priority="1174" operator="containsText" text="PROFESIONAL">
      <formula>NOT(ISERROR(SEARCH("PROFESIONAL",IS155)))</formula>
    </cfRule>
  </conditionalFormatting>
  <conditionalFormatting sqref="IT155">
    <cfRule type="containsText" dxfId="1177" priority="1165" operator="containsText" text="LE HACEN CESÁREA SIN INICIO TRABAJO DE PARTO">
      <formula>NOT(ISERROR(SEARCH("LE HACEN CESÁREA SIN INICIO TRABAJO DE PARTO",IT155)))</formula>
    </cfRule>
    <cfRule type="containsText" dxfId="1176" priority="1166" operator="containsText" text="LE HACEN INDUCCIÓN">
      <formula>NOT(ISERROR(SEARCH("LE HACEN INDUCCIÓN",IT155)))</formula>
    </cfRule>
    <cfRule type="containsText" dxfId="1175" priority="1167" operator="containsText" text="ESPONTÁNEO">
      <formula>NOT(ISERROR(SEARCH("ESPONTÁNEO",IT155)))</formula>
    </cfRule>
  </conditionalFormatting>
  <conditionalFormatting sqref="JI155">
    <cfRule type="containsText" dxfId="1174" priority="1157" operator="containsText" text="NO APLICA">
      <formula>NOT(ISERROR(SEARCH("NO APLICA",JI155)))</formula>
    </cfRule>
    <cfRule type="containsText" dxfId="1173" priority="1158" operator="containsText" text="SIN DATO">
      <formula>NOT(ISERROR(SEARCH("SIN DATO",JI155)))</formula>
    </cfRule>
    <cfRule type="containsText" dxfId="1172" priority="1159" operator="containsText" text="NO">
      <formula>NOT(ISERROR(SEARCH("NO",JI155)))</formula>
    </cfRule>
    <cfRule type="containsText" dxfId="1171" priority="1160" operator="containsText" text="SI">
      <formula>NOT(ISERROR(SEARCH("SI",JI155)))</formula>
    </cfRule>
  </conditionalFormatting>
  <conditionalFormatting sqref="IR158">
    <cfRule type="containsText" dxfId="1170" priority="1153" operator="containsText" text="NO APLICA">
      <formula>NOT(ISERROR(SEARCH("NO APLICA",IR158)))</formula>
    </cfRule>
    <cfRule type="containsText" dxfId="1169" priority="1154" operator="containsText" text="ALTA">
      <formula>NOT(ISERROR(SEARCH("ALTA",IR158)))</formula>
    </cfRule>
    <cfRule type="containsText" dxfId="1168" priority="1155" operator="containsText" text="MEDIANA">
      <formula>NOT(ISERROR(SEARCH("MEDIANA",IR158)))</formula>
    </cfRule>
    <cfRule type="containsText" dxfId="1167" priority="1156" operator="containsText" text="BAJA">
      <formula>NOT(ISERROR(SEARCH("BAJA",IR158)))</formula>
    </cfRule>
  </conditionalFormatting>
  <conditionalFormatting sqref="IS158:IT158">
    <cfRule type="containsText" dxfId="1166" priority="1146" operator="containsText" text="NO APLICA">
      <formula>NOT(ISERROR(SEARCH("NO APLICA",IS158)))</formula>
    </cfRule>
    <cfRule type="containsText" dxfId="1165" priority="1147" operator="containsText" text="SIN">
      <formula>NOT(ISERROR(SEARCH("SIN",IS158)))</formula>
    </cfRule>
    <cfRule type="containsText" dxfId="1164" priority="1148" operator="containsText" text="EQUIPO">
      <formula>NOT(ISERROR(SEARCH("EQUIPO",IS158)))</formula>
    </cfRule>
    <cfRule type="containsText" dxfId="1163" priority="1149" operator="containsText" text="MEDICO TRADICIONAL">
      <formula>NOT(ISERROR(SEARCH("MEDICO TRADICIONAL",IS158)))</formula>
    </cfRule>
    <cfRule type="containsText" dxfId="1162" priority="1150" operator="containsText" text="PARTERA">
      <formula>NOT(ISERROR(SEARCH("PARTERA",IS158)))</formula>
    </cfRule>
    <cfRule type="containsText" dxfId="1161" priority="1151" operator="containsText" text="TÉCNICO">
      <formula>NOT(ISERROR(SEARCH("TÉCNICO",IS158)))</formula>
    </cfRule>
    <cfRule type="containsText" dxfId="1160" priority="1152" operator="containsText" text="PROFESIONAL">
      <formula>NOT(ISERROR(SEARCH("PROFESIONAL",IS158)))</formula>
    </cfRule>
  </conditionalFormatting>
  <conditionalFormatting sqref="IT158">
    <cfRule type="containsText" dxfId="1159" priority="1143" operator="containsText" text="LE HACEN CESÁREA SIN INICIO TRABAJO DE PARTO">
      <formula>NOT(ISERROR(SEARCH("LE HACEN CESÁREA SIN INICIO TRABAJO DE PARTO",IT158)))</formula>
    </cfRule>
    <cfRule type="containsText" dxfId="1158" priority="1144" operator="containsText" text="LE HACEN INDUCCIÓN">
      <formula>NOT(ISERROR(SEARCH("LE HACEN INDUCCIÓN",IT158)))</formula>
    </cfRule>
    <cfRule type="containsText" dxfId="1157" priority="1145" operator="containsText" text="ESPONTÁNEO">
      <formula>NOT(ISERROR(SEARCH("ESPONTÁNEO",IT158)))</formula>
    </cfRule>
  </conditionalFormatting>
  <conditionalFormatting sqref="JI158">
    <cfRule type="containsText" dxfId="1156" priority="1139" operator="containsText" text="NO APLICA">
      <formula>NOT(ISERROR(SEARCH("NO APLICA",JI158)))</formula>
    </cfRule>
    <cfRule type="containsText" dxfId="1155" priority="1140" operator="containsText" text="SIN DATO">
      <formula>NOT(ISERROR(SEARCH("SIN DATO",JI158)))</formula>
    </cfRule>
    <cfRule type="containsText" dxfId="1154" priority="1141" operator="containsText" text="NO">
      <formula>NOT(ISERROR(SEARCH("NO",JI158)))</formula>
    </cfRule>
    <cfRule type="containsText" dxfId="1153" priority="1142" operator="containsText" text="SI">
      <formula>NOT(ISERROR(SEARCH("SI",JI158)))</formula>
    </cfRule>
  </conditionalFormatting>
  <conditionalFormatting sqref="IR166">
    <cfRule type="containsText" dxfId="1152" priority="1135" operator="containsText" text="NO APLICA">
      <formula>NOT(ISERROR(SEARCH("NO APLICA",IR166)))</formula>
    </cfRule>
    <cfRule type="containsText" dxfId="1151" priority="1136" operator="containsText" text="ALTA">
      <formula>NOT(ISERROR(SEARCH("ALTA",IR166)))</formula>
    </cfRule>
    <cfRule type="containsText" dxfId="1150" priority="1137" operator="containsText" text="MEDIANA">
      <formula>NOT(ISERROR(SEARCH("MEDIANA",IR166)))</formula>
    </cfRule>
    <cfRule type="containsText" dxfId="1149" priority="1138" operator="containsText" text="BAJA">
      <formula>NOT(ISERROR(SEARCH("BAJA",IR166)))</formula>
    </cfRule>
  </conditionalFormatting>
  <conditionalFormatting sqref="IS166:IT166">
    <cfRule type="containsText" dxfId="1148" priority="1128" operator="containsText" text="NO APLICA">
      <formula>NOT(ISERROR(SEARCH("NO APLICA",IS166)))</formula>
    </cfRule>
    <cfRule type="containsText" dxfId="1147" priority="1129" operator="containsText" text="SIN">
      <formula>NOT(ISERROR(SEARCH("SIN",IS166)))</formula>
    </cfRule>
    <cfRule type="containsText" dxfId="1146" priority="1130" operator="containsText" text="EQUIPO">
      <formula>NOT(ISERROR(SEARCH("EQUIPO",IS166)))</formula>
    </cfRule>
    <cfRule type="containsText" dxfId="1145" priority="1131" operator="containsText" text="MEDICO TRADICIONAL">
      <formula>NOT(ISERROR(SEARCH("MEDICO TRADICIONAL",IS166)))</formula>
    </cfRule>
    <cfRule type="containsText" dxfId="1144" priority="1132" operator="containsText" text="PARTERA">
      <formula>NOT(ISERROR(SEARCH("PARTERA",IS166)))</formula>
    </cfRule>
    <cfRule type="containsText" dxfId="1143" priority="1133" operator="containsText" text="TÉCNICO">
      <formula>NOT(ISERROR(SEARCH("TÉCNICO",IS166)))</formula>
    </cfRule>
    <cfRule type="containsText" dxfId="1142" priority="1134" operator="containsText" text="PROFESIONAL">
      <formula>NOT(ISERROR(SEARCH("PROFESIONAL",IS166)))</formula>
    </cfRule>
  </conditionalFormatting>
  <conditionalFormatting sqref="IT166">
    <cfRule type="containsText" dxfId="1141" priority="1125" operator="containsText" text="LE HACEN CESÁREA SIN INICIO TRABAJO DE PARTO">
      <formula>NOT(ISERROR(SEARCH("LE HACEN CESÁREA SIN INICIO TRABAJO DE PARTO",IT166)))</formula>
    </cfRule>
    <cfRule type="containsText" dxfId="1140" priority="1126" operator="containsText" text="LE HACEN INDUCCIÓN">
      <formula>NOT(ISERROR(SEARCH("LE HACEN INDUCCIÓN",IT166)))</formula>
    </cfRule>
    <cfRule type="containsText" dxfId="1139" priority="1127" operator="containsText" text="ESPONTÁNEO">
      <formula>NOT(ISERROR(SEARCH("ESPONTÁNEO",IT166)))</formula>
    </cfRule>
  </conditionalFormatting>
  <conditionalFormatting sqref="JI166">
    <cfRule type="containsText" dxfId="1138" priority="1121" operator="containsText" text="NO APLICA">
      <formula>NOT(ISERROR(SEARCH("NO APLICA",JI166)))</formula>
    </cfRule>
    <cfRule type="containsText" dxfId="1137" priority="1122" operator="containsText" text="SIN DATO">
      <formula>NOT(ISERROR(SEARCH("SIN DATO",JI166)))</formula>
    </cfRule>
    <cfRule type="containsText" dxfId="1136" priority="1123" operator="containsText" text="NO">
      <formula>NOT(ISERROR(SEARCH("NO",JI166)))</formula>
    </cfRule>
    <cfRule type="containsText" dxfId="1135" priority="1124" operator="containsText" text="SI">
      <formula>NOT(ISERROR(SEARCH("SI",JI166)))</formula>
    </cfRule>
  </conditionalFormatting>
  <conditionalFormatting sqref="IR167">
    <cfRule type="containsText" dxfId="1134" priority="1117" operator="containsText" text="NO APLICA">
      <formula>NOT(ISERROR(SEARCH("NO APLICA",IR167)))</formula>
    </cfRule>
    <cfRule type="containsText" dxfId="1133" priority="1118" operator="containsText" text="ALTA">
      <formula>NOT(ISERROR(SEARCH("ALTA",IR167)))</formula>
    </cfRule>
    <cfRule type="containsText" dxfId="1132" priority="1119" operator="containsText" text="MEDIANA">
      <formula>NOT(ISERROR(SEARCH("MEDIANA",IR167)))</formula>
    </cfRule>
    <cfRule type="containsText" dxfId="1131" priority="1120" operator="containsText" text="BAJA">
      <formula>NOT(ISERROR(SEARCH("BAJA",IR167)))</formula>
    </cfRule>
  </conditionalFormatting>
  <conditionalFormatting sqref="IS167:IT167">
    <cfRule type="containsText" dxfId="1130" priority="1110" operator="containsText" text="NO APLICA">
      <formula>NOT(ISERROR(SEARCH("NO APLICA",IS167)))</formula>
    </cfRule>
    <cfRule type="containsText" dxfId="1129" priority="1111" operator="containsText" text="SIN">
      <formula>NOT(ISERROR(SEARCH("SIN",IS167)))</formula>
    </cfRule>
    <cfRule type="containsText" dxfId="1128" priority="1112" operator="containsText" text="EQUIPO">
      <formula>NOT(ISERROR(SEARCH("EQUIPO",IS167)))</formula>
    </cfRule>
    <cfRule type="containsText" dxfId="1127" priority="1113" operator="containsText" text="MEDICO TRADICIONAL">
      <formula>NOT(ISERROR(SEARCH("MEDICO TRADICIONAL",IS167)))</formula>
    </cfRule>
    <cfRule type="containsText" dxfId="1126" priority="1114" operator="containsText" text="PARTERA">
      <formula>NOT(ISERROR(SEARCH("PARTERA",IS167)))</formula>
    </cfRule>
    <cfRule type="containsText" dxfId="1125" priority="1115" operator="containsText" text="TÉCNICO">
      <formula>NOT(ISERROR(SEARCH("TÉCNICO",IS167)))</formula>
    </cfRule>
    <cfRule type="containsText" dxfId="1124" priority="1116" operator="containsText" text="PROFESIONAL">
      <formula>NOT(ISERROR(SEARCH("PROFESIONAL",IS167)))</formula>
    </cfRule>
  </conditionalFormatting>
  <conditionalFormatting sqref="IT167">
    <cfRule type="containsText" dxfId="1123" priority="1107" operator="containsText" text="LE HACEN CESÁREA SIN INICIO TRABAJO DE PARTO">
      <formula>NOT(ISERROR(SEARCH("LE HACEN CESÁREA SIN INICIO TRABAJO DE PARTO",IT167)))</formula>
    </cfRule>
    <cfRule type="containsText" dxfId="1122" priority="1108" operator="containsText" text="LE HACEN INDUCCIÓN">
      <formula>NOT(ISERROR(SEARCH("LE HACEN INDUCCIÓN",IT167)))</formula>
    </cfRule>
    <cfRule type="containsText" dxfId="1121" priority="1109" operator="containsText" text="ESPONTÁNEO">
      <formula>NOT(ISERROR(SEARCH("ESPONTÁNEO",IT167)))</formula>
    </cfRule>
  </conditionalFormatting>
  <conditionalFormatting sqref="JI167">
    <cfRule type="containsText" dxfId="1120" priority="1103" operator="containsText" text="NO APLICA">
      <formula>NOT(ISERROR(SEARCH("NO APLICA",JI167)))</formula>
    </cfRule>
    <cfRule type="containsText" dxfId="1119" priority="1104" operator="containsText" text="SIN DATO">
      <formula>NOT(ISERROR(SEARCH("SIN DATO",JI167)))</formula>
    </cfRule>
    <cfRule type="containsText" dxfId="1118" priority="1105" operator="containsText" text="NO">
      <formula>NOT(ISERROR(SEARCH("NO",JI167)))</formula>
    </cfRule>
    <cfRule type="containsText" dxfId="1117" priority="1106" operator="containsText" text="SI">
      <formula>NOT(ISERROR(SEARCH("SI",JI167)))</formula>
    </cfRule>
  </conditionalFormatting>
  <conditionalFormatting sqref="L237">
    <cfRule type="containsText" dxfId="1116" priority="1094" operator="containsText" text="Empleo informal">
      <formula>NOT(ISERROR(SEARCH("Empleo informal",L237)))</formula>
    </cfRule>
    <cfRule type="containsText" dxfId="1115" priority="1095" operator="containsText" text="Empleada formalmente con riesgo a tóxicos">
      <formula>NOT(ISERROR(SEARCH("Empleada formalmente con riesgo a tóxicos",L237)))</formula>
    </cfRule>
    <cfRule type="containsText" dxfId="1114" priority="1096" operator="containsText" text="Empleada formalmente con riesgo de accidente laboral">
      <formula>NOT(ISERROR(SEARCH("Empleada formalmente con riesgo de accidente laboral",L237)))</formula>
    </cfRule>
    <cfRule type="containsText" dxfId="1113" priority="1097" operator="containsText" text="Empleada formalmente por jornada laboral extensa">
      <formula>NOT(ISERROR(SEARCH("Empleada formalmente por jornada laboral extensa",L237)))</formula>
    </cfRule>
    <cfRule type="containsText" dxfId="1112" priority="1098" operator="containsText" text="Empleada formalmente sin riesgo">
      <formula>NOT(ISERROR(SEARCH("Empleada formalmente sin riesgo",L237)))</formula>
    </cfRule>
    <cfRule type="containsText" dxfId="1111" priority="1099" operator="containsText" text="Actualmente desempleada">
      <formula>NOT(ISERROR(SEARCH("Actualmente desempleada",L237)))</formula>
    </cfRule>
    <cfRule type="containsText" dxfId="1110" priority="1100" operator="containsText" text="Hogar sin apoyo">
      <formula>NOT(ISERROR(SEARCH("Hogar sin apoyo",L237)))</formula>
    </cfRule>
    <cfRule type="containsText" dxfId="1109" priority="1101" operator="containsText" text="Empleada formalmente sin riesgo">
      <formula>NOT(ISERROR(SEARCH("Empleada formalmente sin riesgo",L237)))</formula>
    </cfRule>
    <cfRule type="containsText" dxfId="1108" priority="1102" operator="containsText" text="Hogar Con apoyo">
      <formula>NOT(ISERROR(SEARCH("Hogar Con apoyo",L237)))</formula>
    </cfRule>
  </conditionalFormatting>
  <conditionalFormatting sqref="AL237:AR237">
    <cfRule type="cellIs" dxfId="1107" priority="1091" operator="equal">
      <formula>"SD"</formula>
    </cfRule>
    <cfRule type="cellIs" dxfId="1106" priority="1092" operator="equal">
      <formula>"NO"</formula>
    </cfRule>
    <cfRule type="cellIs" dxfId="1105" priority="1093" operator="equal">
      <formula>"SI"</formula>
    </cfRule>
  </conditionalFormatting>
  <conditionalFormatting sqref="AK237">
    <cfRule type="containsText" dxfId="1104" priority="1088" operator="containsText" text="COMPLETAR EVALUACIÓN">
      <formula>NOT(ISERROR(SEARCH("COMPLETAR EVALUACIÓN",AK237)))</formula>
    </cfRule>
    <cfRule type="containsText" dxfId="1103" priority="1089" operator="containsText" text="CON RIESGO">
      <formula>NOT(ISERROR(SEARCH("CON RIESGO",AK237)))</formula>
    </cfRule>
    <cfRule type="containsText" dxfId="1102" priority="1090" operator="containsText" text="SIN RIESGO">
      <formula>NOT(ISERROR(SEARCH("SIN RIESGO",AK237)))</formula>
    </cfRule>
  </conditionalFormatting>
  <conditionalFormatting sqref="AG237:AH237">
    <cfRule type="cellIs" dxfId="1101" priority="1085" operator="equal">
      <formula>"SD"</formula>
    </cfRule>
    <cfRule type="cellIs" dxfId="1100" priority="1086" operator="equal">
      <formula>"NO"</formula>
    </cfRule>
    <cfRule type="cellIs" dxfId="1099" priority="1087" operator="equal">
      <formula>"SI"</formula>
    </cfRule>
  </conditionalFormatting>
  <conditionalFormatting sqref="AI237">
    <cfRule type="containsText" dxfId="1098" priority="1080" operator="containsText" text="HABITANTE DE CALLE">
      <formula>NOT(ISERROR(SEARCH("HABITANTE DE CALLE",AI237)))</formula>
    </cfRule>
    <cfRule type="containsText" dxfId="1097" priority="1081" operator="containsText" text="NINGUNO">
      <formula>NOT(ISERROR(SEARCH("NINGUNO",AI237)))</formula>
    </cfRule>
    <cfRule type="containsText" dxfId="1096" priority="1082" operator="containsText" text="MIGRATORIA">
      <formula>NOT(ISERROR(SEARCH("MIGRATORIA",AI237)))</formula>
    </cfRule>
    <cfRule type="containsText" dxfId="1095" priority="1083" operator="containsText" text="DISCAPACIDAD">
      <formula>NOT(ISERROR(SEARCH("DISCAPACIDAD",AI237)))</formula>
    </cfRule>
    <cfRule type="containsText" dxfId="1094" priority="1084" operator="containsText" text="DESPLAZADA">
      <formula>NOT(ISERROR(SEARCH("DESPLAZADA",AI237)))</formula>
    </cfRule>
  </conditionalFormatting>
  <conditionalFormatting sqref="AJ237">
    <cfRule type="cellIs" dxfId="1093" priority="1077" operator="equal">
      <formula>"SD"</formula>
    </cfRule>
    <cfRule type="cellIs" dxfId="1092" priority="1078" operator="equal">
      <formula>"NO"</formula>
    </cfRule>
    <cfRule type="cellIs" dxfId="1091" priority="1079" operator="equal">
      <formula>"SI"</formula>
    </cfRule>
  </conditionalFormatting>
  <conditionalFormatting sqref="AX237 BA237">
    <cfRule type="cellIs" dxfId="1090" priority="1074" operator="equal">
      <formula>"SD"</formula>
    </cfRule>
    <cfRule type="cellIs" dxfId="1089" priority="1075" operator="equal">
      <formula>"NO"</formula>
    </cfRule>
    <cfRule type="cellIs" dxfId="1088" priority="1076" operator="equal">
      <formula>"SI"</formula>
    </cfRule>
  </conditionalFormatting>
  <conditionalFormatting sqref="AY237">
    <cfRule type="containsText" dxfId="1087" priority="1069" operator="containsText" text="SD">
      <formula>NOT(ISERROR(SEARCH("SD",AY237)))</formula>
    </cfRule>
    <cfRule type="containsText" dxfId="1086" priority="1070" operator="containsText" text="SI, NO CONTROLADA">
      <formula>NOT(ISERROR(SEARCH("SI, NO CONTROLADA",AY237)))</formula>
    </cfRule>
    <cfRule type="containsText" dxfId="1085" priority="1071" operator="containsText" text="SI, SIN MANEJO">
      <formula>NOT(ISERROR(SEARCH("SI, SIN MANEJO",AY237)))</formula>
    </cfRule>
    <cfRule type="containsText" dxfId="1084" priority="1072" operator="containsText" text="SI, CONTROLADA">
      <formula>NOT(ISERROR(SEARCH("SI, CONTROLADA",AY237)))</formula>
    </cfRule>
    <cfRule type="containsText" dxfId="1083" priority="1073" operator="containsText" text="NO">
      <formula>NOT(ISERROR(SEARCH("NO",AY237)))</formula>
    </cfRule>
  </conditionalFormatting>
  <conditionalFormatting sqref="AZ237">
    <cfRule type="containsText" dxfId="1082" priority="1064" operator="containsText" text="SD">
      <formula>NOT(ISERROR(SEARCH("SD",AZ237)))</formula>
    </cfRule>
    <cfRule type="containsText" dxfId="1081" priority="1065" operator="containsText" text="SI, NO CONTROLADA">
      <formula>NOT(ISERROR(SEARCH("SI, NO CONTROLADA",AZ237)))</formula>
    </cfRule>
    <cfRule type="containsText" dxfId="1080" priority="1066" operator="containsText" text="SI, SIN MANEJO">
      <formula>NOT(ISERROR(SEARCH("SI, SIN MANEJO",AZ237)))</formula>
    </cfRule>
    <cfRule type="containsText" dxfId="1079" priority="1067" operator="containsText" text="SI, CONTROLADA">
      <formula>NOT(ISERROR(SEARCH("SI, CONTROLADA",AZ237)))</formula>
    </cfRule>
    <cfRule type="containsText" dxfId="1078" priority="1068" operator="containsText" text="NO">
      <formula>NOT(ISERROR(SEARCH("NO",AZ237)))</formula>
    </cfRule>
  </conditionalFormatting>
  <conditionalFormatting sqref="BB237">
    <cfRule type="cellIs" dxfId="1077" priority="1061" operator="equal">
      <formula>"SD"</formula>
    </cfRule>
    <cfRule type="cellIs" dxfId="1076" priority="1062" operator="equal">
      <formula>"NO"</formula>
    </cfRule>
    <cfRule type="cellIs" dxfId="1075" priority="1063" operator="equal">
      <formula>"SI"</formula>
    </cfRule>
  </conditionalFormatting>
  <conditionalFormatting sqref="BC237">
    <cfRule type="cellIs" dxfId="1074" priority="1058" operator="equal">
      <formula>"SD"</formula>
    </cfRule>
    <cfRule type="cellIs" dxfId="1073" priority="1059" operator="equal">
      <formula>"NO"</formula>
    </cfRule>
    <cfRule type="cellIs" dxfId="1072" priority="1060" operator="equal">
      <formula>"SI"</formula>
    </cfRule>
  </conditionalFormatting>
  <conditionalFormatting sqref="BF237">
    <cfRule type="cellIs" dxfId="1071" priority="1055" operator="equal">
      <formula>"SD"</formula>
    </cfRule>
    <cfRule type="cellIs" dxfId="1070" priority="1056" operator="equal">
      <formula>"NO"</formula>
    </cfRule>
    <cfRule type="cellIs" dxfId="1069" priority="1057" operator="equal">
      <formula>"SI"</formula>
    </cfRule>
  </conditionalFormatting>
  <conditionalFormatting sqref="BD237:BE237">
    <cfRule type="cellIs" dxfId="1068" priority="1052" operator="equal">
      <formula>"SD"</formula>
    </cfRule>
    <cfRule type="cellIs" dxfId="1067" priority="1053" operator="equal">
      <formula>"NO"</formula>
    </cfRule>
    <cfRule type="cellIs" dxfId="1066" priority="1054" operator="equal">
      <formula>"SI"</formula>
    </cfRule>
  </conditionalFormatting>
  <conditionalFormatting sqref="BE237">
    <cfRule type="expression" dxfId="1065" priority="1051">
      <formula>IF(AND(FA237&gt;=126,FC237&lt;24),1,0)</formula>
    </cfRule>
  </conditionalFormatting>
  <conditionalFormatting sqref="BG237">
    <cfRule type="cellIs" dxfId="1064" priority="1048" operator="equal">
      <formula>"SD"</formula>
    </cfRule>
    <cfRule type="cellIs" dxfId="1063" priority="1049" operator="equal">
      <formula>"NO"</formula>
    </cfRule>
    <cfRule type="cellIs" dxfId="1062" priority="1050" operator="equal">
      <formula>"SI"</formula>
    </cfRule>
  </conditionalFormatting>
  <conditionalFormatting sqref="BH237">
    <cfRule type="cellIs" dxfId="1061" priority="1045" operator="equal">
      <formula>"SD"</formula>
    </cfRule>
    <cfRule type="cellIs" dxfId="1060" priority="1046" operator="equal">
      <formula>"NO"</formula>
    </cfRule>
    <cfRule type="cellIs" dxfId="1059" priority="1047" operator="equal">
      <formula>"SI"</formula>
    </cfRule>
  </conditionalFormatting>
  <conditionalFormatting sqref="BI237">
    <cfRule type="cellIs" dxfId="1058" priority="1042" operator="equal">
      <formula>"SD"</formula>
    </cfRule>
    <cfRule type="cellIs" dxfId="1057" priority="1043" operator="equal">
      <formula>"NO"</formula>
    </cfRule>
    <cfRule type="cellIs" dxfId="1056" priority="1044" operator="equal">
      <formula>"SI"</formula>
    </cfRule>
  </conditionalFormatting>
  <conditionalFormatting sqref="BJ237">
    <cfRule type="cellIs" dxfId="1055" priority="1039" operator="equal">
      <formula>"SD"</formula>
    </cfRule>
    <cfRule type="cellIs" dxfId="1054" priority="1040" operator="equal">
      <formula>"NO"</formula>
    </cfRule>
    <cfRule type="cellIs" dxfId="1053" priority="1041" operator="equal">
      <formula>"SI"</formula>
    </cfRule>
  </conditionalFormatting>
  <conditionalFormatting sqref="BL237:BM237">
    <cfRule type="cellIs" dxfId="1052" priority="1036" operator="equal">
      <formula>"SD"</formula>
    </cfRule>
    <cfRule type="cellIs" dxfId="1051" priority="1037" operator="equal">
      <formula>"NO"</formula>
    </cfRule>
    <cfRule type="cellIs" dxfId="1050" priority="1038" operator="equal">
      <formula>"SI"</formula>
    </cfRule>
  </conditionalFormatting>
  <conditionalFormatting sqref="BK237">
    <cfRule type="cellIs" dxfId="1049" priority="1033" operator="equal">
      <formula>"SD"</formula>
    </cfRule>
    <cfRule type="cellIs" dxfId="1048" priority="1034" operator="equal">
      <formula>"NO"</formula>
    </cfRule>
    <cfRule type="cellIs" dxfId="1047" priority="1035" operator="equal">
      <formula>"SI"</formula>
    </cfRule>
  </conditionalFormatting>
  <conditionalFormatting sqref="L238">
    <cfRule type="containsText" dxfId="1046" priority="1024" operator="containsText" text="Empleo informal">
      <formula>NOT(ISERROR(SEARCH("Empleo informal",L238)))</formula>
    </cfRule>
    <cfRule type="containsText" dxfId="1045" priority="1025" operator="containsText" text="Empleada formalmente con riesgo a tóxicos">
      <formula>NOT(ISERROR(SEARCH("Empleada formalmente con riesgo a tóxicos",L238)))</formula>
    </cfRule>
    <cfRule type="containsText" dxfId="1044" priority="1026" operator="containsText" text="Empleada formalmente con riesgo de accidente laboral">
      <formula>NOT(ISERROR(SEARCH("Empleada formalmente con riesgo de accidente laboral",L238)))</formula>
    </cfRule>
    <cfRule type="containsText" dxfId="1043" priority="1027" operator="containsText" text="Empleada formalmente por jornada laboral extensa">
      <formula>NOT(ISERROR(SEARCH("Empleada formalmente por jornada laboral extensa",L238)))</formula>
    </cfRule>
    <cfRule type="containsText" dxfId="1042" priority="1028" operator="containsText" text="Empleada formalmente sin riesgo">
      <formula>NOT(ISERROR(SEARCH("Empleada formalmente sin riesgo",L238)))</formula>
    </cfRule>
    <cfRule type="containsText" dxfId="1041" priority="1029" operator="containsText" text="Actualmente desempleada">
      <formula>NOT(ISERROR(SEARCH("Actualmente desempleada",L238)))</formula>
    </cfRule>
    <cfRule type="containsText" dxfId="1040" priority="1030" operator="containsText" text="Hogar sin apoyo">
      <formula>NOT(ISERROR(SEARCH("Hogar sin apoyo",L238)))</formula>
    </cfRule>
    <cfRule type="containsText" dxfId="1039" priority="1031" operator="containsText" text="Empleada formalmente sin riesgo">
      <formula>NOT(ISERROR(SEARCH("Empleada formalmente sin riesgo",L238)))</formula>
    </cfRule>
    <cfRule type="containsText" dxfId="1038" priority="1032" operator="containsText" text="Hogar Con apoyo">
      <formula>NOT(ISERROR(SEARCH("Hogar Con apoyo",L238)))</formula>
    </cfRule>
  </conditionalFormatting>
  <conditionalFormatting sqref="AE238:AF238">
    <cfRule type="containsText" dxfId="1037" priority="1022" operator="containsText" text="NO">
      <formula>NOT(ISERROR(SEARCH("NO",AE238)))</formula>
    </cfRule>
    <cfRule type="containsText" dxfId="1036" priority="1023" operator="containsText" text="SI">
      <formula>NOT(ISERROR(SEARCH("SI",AE238)))</formula>
    </cfRule>
  </conditionalFormatting>
  <conditionalFormatting sqref="AK238">
    <cfRule type="containsText" dxfId="1035" priority="1019" operator="containsText" text="COMPLETAR EVALUACIÓN">
      <formula>NOT(ISERROR(SEARCH("COMPLETAR EVALUACIÓN",AK238)))</formula>
    </cfRule>
    <cfRule type="containsText" dxfId="1034" priority="1020" operator="containsText" text="CON RIESGO">
      <formula>NOT(ISERROR(SEARCH("CON RIESGO",AK238)))</formula>
    </cfRule>
    <cfRule type="containsText" dxfId="1033" priority="1021" operator="containsText" text="SIN RIESGO">
      <formula>NOT(ISERROR(SEARCH("SIN RIESGO",AK238)))</formula>
    </cfRule>
  </conditionalFormatting>
  <conditionalFormatting sqref="AG238:AH238">
    <cfRule type="cellIs" dxfId="1032" priority="1016" operator="equal">
      <formula>"SD"</formula>
    </cfRule>
    <cfRule type="cellIs" dxfId="1031" priority="1017" operator="equal">
      <formula>"NO"</formula>
    </cfRule>
    <cfRule type="cellIs" dxfId="1030" priority="1018" operator="equal">
      <formula>"SI"</formula>
    </cfRule>
  </conditionalFormatting>
  <conditionalFormatting sqref="AI238">
    <cfRule type="containsText" dxfId="1029" priority="1011" operator="containsText" text="HABITANTE DE CALLE">
      <formula>NOT(ISERROR(SEARCH("HABITANTE DE CALLE",AI238)))</formula>
    </cfRule>
    <cfRule type="containsText" dxfId="1028" priority="1012" operator="containsText" text="NINGUNO">
      <formula>NOT(ISERROR(SEARCH("NINGUNO",AI238)))</formula>
    </cfRule>
    <cfRule type="containsText" dxfId="1027" priority="1013" operator="containsText" text="MIGRATORIA">
      <formula>NOT(ISERROR(SEARCH("MIGRATORIA",AI238)))</formula>
    </cfRule>
    <cfRule type="containsText" dxfId="1026" priority="1014" operator="containsText" text="DISCAPACIDAD">
      <formula>NOT(ISERROR(SEARCH("DISCAPACIDAD",AI238)))</formula>
    </cfRule>
    <cfRule type="containsText" dxfId="1025" priority="1015" operator="containsText" text="DESPLAZADA">
      <formula>NOT(ISERROR(SEARCH("DESPLAZADA",AI238)))</formula>
    </cfRule>
  </conditionalFormatting>
  <conditionalFormatting sqref="AJ238">
    <cfRule type="cellIs" dxfId="1024" priority="1008" operator="equal">
      <formula>"SD"</formula>
    </cfRule>
    <cfRule type="cellIs" dxfId="1023" priority="1009" operator="equal">
      <formula>"NO"</formula>
    </cfRule>
    <cfRule type="cellIs" dxfId="1022" priority="1010" operator="equal">
      <formula>"SI"</formula>
    </cfRule>
  </conditionalFormatting>
  <conditionalFormatting sqref="AL238:AR238">
    <cfRule type="cellIs" dxfId="1021" priority="989" operator="equal">
      <formula>"SD"</formula>
    </cfRule>
    <cfRule type="cellIs" dxfId="1020" priority="990" operator="equal">
      <formula>"NO"</formula>
    </cfRule>
    <cfRule type="cellIs" dxfId="1019" priority="991" operator="equal">
      <formula>"SI"</formula>
    </cfRule>
  </conditionalFormatting>
  <conditionalFormatting sqref="AX238 BA238">
    <cfRule type="cellIs" dxfId="1018" priority="986" operator="equal">
      <formula>"SD"</formula>
    </cfRule>
    <cfRule type="cellIs" dxfId="1017" priority="987" operator="equal">
      <formula>"NO"</formula>
    </cfRule>
    <cfRule type="cellIs" dxfId="1016" priority="988" operator="equal">
      <formula>"SI"</formula>
    </cfRule>
  </conditionalFormatting>
  <conditionalFormatting sqref="AY238">
    <cfRule type="containsText" dxfId="1015" priority="981" operator="containsText" text="SD">
      <formula>NOT(ISERROR(SEARCH("SD",AY238)))</formula>
    </cfRule>
    <cfRule type="containsText" dxfId="1014" priority="982" operator="containsText" text="SI, NO CONTROLADA">
      <formula>NOT(ISERROR(SEARCH("SI, NO CONTROLADA",AY238)))</formula>
    </cfRule>
    <cfRule type="containsText" dxfId="1013" priority="983" operator="containsText" text="SI, SIN MANEJO">
      <formula>NOT(ISERROR(SEARCH("SI, SIN MANEJO",AY238)))</formula>
    </cfRule>
    <cfRule type="containsText" dxfId="1012" priority="984" operator="containsText" text="SI, CONTROLADA">
      <formula>NOT(ISERROR(SEARCH("SI, CONTROLADA",AY238)))</formula>
    </cfRule>
    <cfRule type="containsText" dxfId="1011" priority="985" operator="containsText" text="NO">
      <formula>NOT(ISERROR(SEARCH("NO",AY238)))</formula>
    </cfRule>
  </conditionalFormatting>
  <conditionalFormatting sqref="AZ238">
    <cfRule type="containsText" dxfId="1010" priority="976" operator="containsText" text="SD">
      <formula>NOT(ISERROR(SEARCH("SD",AZ238)))</formula>
    </cfRule>
    <cfRule type="containsText" dxfId="1009" priority="977" operator="containsText" text="SI, NO CONTROLADA">
      <formula>NOT(ISERROR(SEARCH("SI, NO CONTROLADA",AZ238)))</formula>
    </cfRule>
    <cfRule type="containsText" dxfId="1008" priority="978" operator="containsText" text="SI, SIN MANEJO">
      <formula>NOT(ISERROR(SEARCH("SI, SIN MANEJO",AZ238)))</formula>
    </cfRule>
    <cfRule type="containsText" dxfId="1007" priority="979" operator="containsText" text="SI, CONTROLADA">
      <formula>NOT(ISERROR(SEARCH("SI, CONTROLADA",AZ238)))</formula>
    </cfRule>
    <cfRule type="containsText" dxfId="1006" priority="980" operator="containsText" text="NO">
      <formula>NOT(ISERROR(SEARCH("NO",AZ238)))</formula>
    </cfRule>
  </conditionalFormatting>
  <conditionalFormatting sqref="BB238">
    <cfRule type="cellIs" dxfId="1005" priority="973" operator="equal">
      <formula>"SD"</formula>
    </cfRule>
    <cfRule type="cellIs" dxfId="1004" priority="974" operator="equal">
      <formula>"NO"</formula>
    </cfRule>
    <cfRule type="cellIs" dxfId="1003" priority="975" operator="equal">
      <formula>"SI"</formula>
    </cfRule>
  </conditionalFormatting>
  <conditionalFormatting sqref="BC238">
    <cfRule type="cellIs" dxfId="1002" priority="970" operator="equal">
      <formula>"SD"</formula>
    </cfRule>
    <cfRule type="cellIs" dxfId="1001" priority="971" operator="equal">
      <formula>"NO"</formula>
    </cfRule>
    <cfRule type="cellIs" dxfId="1000" priority="972" operator="equal">
      <formula>"SI"</formula>
    </cfRule>
  </conditionalFormatting>
  <conditionalFormatting sqref="BF238">
    <cfRule type="cellIs" dxfId="999" priority="967" operator="equal">
      <formula>"SD"</formula>
    </cfRule>
    <cfRule type="cellIs" dxfId="998" priority="968" operator="equal">
      <formula>"NO"</formula>
    </cfRule>
    <cfRule type="cellIs" dxfId="997" priority="969" operator="equal">
      <formula>"SI"</formula>
    </cfRule>
  </conditionalFormatting>
  <conditionalFormatting sqref="BD238:BE238">
    <cfRule type="cellIs" dxfId="996" priority="964" operator="equal">
      <formula>"SD"</formula>
    </cfRule>
    <cfRule type="cellIs" dxfId="995" priority="965" operator="equal">
      <formula>"NO"</formula>
    </cfRule>
    <cfRule type="cellIs" dxfId="994" priority="966" operator="equal">
      <formula>"SI"</formula>
    </cfRule>
  </conditionalFormatting>
  <conditionalFormatting sqref="BE238">
    <cfRule type="expression" dxfId="993" priority="963">
      <formula>IF(AND(FA238&gt;=126,FC238&lt;24),1,0)</formula>
    </cfRule>
  </conditionalFormatting>
  <conditionalFormatting sqref="BG238">
    <cfRule type="cellIs" dxfId="992" priority="960" operator="equal">
      <formula>"SD"</formula>
    </cfRule>
    <cfRule type="cellIs" dxfId="991" priority="961" operator="equal">
      <formula>"NO"</formula>
    </cfRule>
    <cfRule type="cellIs" dxfId="990" priority="962" operator="equal">
      <formula>"SI"</formula>
    </cfRule>
  </conditionalFormatting>
  <conditionalFormatting sqref="BH238">
    <cfRule type="cellIs" dxfId="989" priority="957" operator="equal">
      <formula>"SD"</formula>
    </cfRule>
    <cfRule type="cellIs" dxfId="988" priority="958" operator="equal">
      <formula>"NO"</formula>
    </cfRule>
    <cfRule type="cellIs" dxfId="987" priority="959" operator="equal">
      <formula>"SI"</formula>
    </cfRule>
  </conditionalFormatting>
  <conditionalFormatting sqref="BI238">
    <cfRule type="cellIs" dxfId="986" priority="954" operator="equal">
      <formula>"SD"</formula>
    </cfRule>
    <cfRule type="cellIs" dxfId="985" priority="955" operator="equal">
      <formula>"NO"</formula>
    </cfRule>
    <cfRule type="cellIs" dxfId="984" priority="956" operator="equal">
      <formula>"SI"</formula>
    </cfRule>
  </conditionalFormatting>
  <conditionalFormatting sqref="BJ238">
    <cfRule type="cellIs" dxfId="983" priority="951" operator="equal">
      <formula>"SD"</formula>
    </cfRule>
    <cfRule type="cellIs" dxfId="982" priority="952" operator="equal">
      <formula>"NO"</formula>
    </cfRule>
    <cfRule type="cellIs" dxfId="981" priority="953" operator="equal">
      <formula>"SI"</formula>
    </cfRule>
  </conditionalFormatting>
  <conditionalFormatting sqref="BL238:BM238">
    <cfRule type="cellIs" dxfId="980" priority="948" operator="equal">
      <formula>"SD"</formula>
    </cfRule>
    <cfRule type="cellIs" dxfId="979" priority="949" operator="equal">
      <formula>"NO"</formula>
    </cfRule>
    <cfRule type="cellIs" dxfId="978" priority="950" operator="equal">
      <formula>"SI"</formula>
    </cfRule>
  </conditionalFormatting>
  <conditionalFormatting sqref="BK238">
    <cfRule type="cellIs" dxfId="977" priority="945" operator="equal">
      <formula>"SD"</formula>
    </cfRule>
    <cfRule type="cellIs" dxfId="976" priority="946" operator="equal">
      <formula>"NO"</formula>
    </cfRule>
    <cfRule type="cellIs" dxfId="975" priority="947" operator="equal">
      <formula>"SI"</formula>
    </cfRule>
  </conditionalFormatting>
  <conditionalFormatting sqref="FB238">
    <cfRule type="containsText" dxfId="974" priority="941" operator="containsText" text="RH NEGATIVO SIN COOMB">
      <formula>NOT(ISERROR(SEARCH("RH NEGATIVO SIN COOMB",FB238)))</formula>
    </cfRule>
    <cfRule type="containsText" dxfId="973" priority="942" operator="containsText" text="RH NEGATIVO CON COOMBS POSITIVO">
      <formula>NOT(ISERROR(SEARCH("RH NEGATIVO CON COOMBS POSITIVO",FB238)))</formula>
    </cfRule>
    <cfRule type="containsText" dxfId="972" priority="943" operator="containsText" text="RH NEGATIVO CON COOMBS NEGATIVO">
      <formula>NOT(ISERROR(SEARCH("RH NEGATIVO CON COOMBS NEGATIVO",FB238)))</formula>
    </cfRule>
    <cfRule type="containsText" dxfId="971" priority="944" operator="containsText" text="RH POSITIVO">
      <formula>NOT(ISERROR(SEARCH("RH POSITIVO",FB238)))</formula>
    </cfRule>
  </conditionalFormatting>
  <conditionalFormatting sqref="FK238">
    <cfRule type="containsText" dxfId="970" priority="937" operator="containsText" text="RH NEGATIVO SIN COOMB">
      <formula>NOT(ISERROR(SEARCH("RH NEGATIVO SIN COOMB",FK238)))</formula>
    </cfRule>
    <cfRule type="containsText" dxfId="969" priority="938" operator="containsText" text="RH NEGATIVO CON COOMBS POSITIVO">
      <formula>NOT(ISERROR(SEARCH("RH NEGATIVO CON COOMBS POSITIVO",FK238)))</formula>
    </cfRule>
    <cfRule type="containsText" dxfId="968" priority="939" operator="containsText" text="RH NEGATIVO CON COOMBS NEGATIVO">
      <formula>NOT(ISERROR(SEARCH("RH NEGATIVO CON COOMBS NEGATIVO",FK238)))</formula>
    </cfRule>
    <cfRule type="containsText" dxfId="967" priority="940" operator="containsText" text="RH POSITIVO">
      <formula>NOT(ISERROR(SEARCH("RH POSITIVO",FK238)))</formula>
    </cfRule>
  </conditionalFormatting>
  <conditionalFormatting sqref="FN238">
    <cfRule type="containsText" dxfId="966" priority="933" operator="containsText" text="RH NEGATIVO SIN COOMB">
      <formula>NOT(ISERROR(SEARCH("RH NEGATIVO SIN COOMB",FN238)))</formula>
    </cfRule>
    <cfRule type="containsText" dxfId="965" priority="934" operator="containsText" text="RH NEGATIVO CON COOMBS POSITIVO">
      <formula>NOT(ISERROR(SEARCH("RH NEGATIVO CON COOMBS POSITIVO",FN238)))</formula>
    </cfRule>
    <cfRule type="containsText" dxfId="964" priority="935" operator="containsText" text="RH NEGATIVO CON COOMBS NEGATIVO">
      <formula>NOT(ISERROR(SEARCH("RH NEGATIVO CON COOMBS NEGATIVO",FN238)))</formula>
    </cfRule>
    <cfRule type="containsText" dxfId="963" priority="936" operator="containsText" text="RH POSITIVO">
      <formula>NOT(ISERROR(SEARCH("RH POSITIVO",FN238)))</formula>
    </cfRule>
  </conditionalFormatting>
  <conditionalFormatting sqref="HV238">
    <cfRule type="containsText" dxfId="962" priority="929" operator="containsText" text="NO SE FORMULA">
      <formula>NOT(ISERROR(SEARCH("NO SE FORMULA",HV238)))</formula>
    </cfRule>
    <cfRule type="containsText" dxfId="961" priority="930" operator="containsText" text="OTRO">
      <formula>NOT(ISERROR(SEARCH("OTRO",HV238)))</formula>
    </cfRule>
    <cfRule type="containsText" dxfId="960" priority="931" operator="containsText" text="IRREGULAR">
      <formula>NOT(ISERROR(SEARCH("IRREGULAR",HV238)))</formula>
    </cfRule>
    <cfRule type="containsText" dxfId="959" priority="932" operator="containsText" text="ADECUADO">
      <formula>NOT(ISERROR(SEARCH("ADECUADO",HV238)))</formula>
    </cfRule>
  </conditionalFormatting>
  <conditionalFormatting sqref="L239">
    <cfRule type="containsText" dxfId="958" priority="920" operator="containsText" text="Empleo informal">
      <formula>NOT(ISERROR(SEARCH("Empleo informal",L239)))</formula>
    </cfRule>
    <cfRule type="containsText" dxfId="957" priority="921" operator="containsText" text="Empleada formalmente con riesgo a tóxicos">
      <formula>NOT(ISERROR(SEARCH("Empleada formalmente con riesgo a tóxicos",L239)))</formula>
    </cfRule>
    <cfRule type="containsText" dxfId="956" priority="922" operator="containsText" text="Empleada formalmente con riesgo de accidente laboral">
      <formula>NOT(ISERROR(SEARCH("Empleada formalmente con riesgo de accidente laboral",L239)))</formula>
    </cfRule>
    <cfRule type="containsText" dxfId="955" priority="923" operator="containsText" text="Empleada formalmente por jornada laboral extensa">
      <formula>NOT(ISERROR(SEARCH("Empleada formalmente por jornada laboral extensa",L239)))</formula>
    </cfRule>
    <cfRule type="containsText" dxfId="954" priority="924" operator="containsText" text="Empleada formalmente sin riesgo">
      <formula>NOT(ISERROR(SEARCH("Empleada formalmente sin riesgo",L239)))</formula>
    </cfRule>
    <cfRule type="containsText" dxfId="953" priority="925" operator="containsText" text="Actualmente desempleada">
      <formula>NOT(ISERROR(SEARCH("Actualmente desempleada",L239)))</formula>
    </cfRule>
    <cfRule type="containsText" dxfId="952" priority="926" operator="containsText" text="Hogar sin apoyo">
      <formula>NOT(ISERROR(SEARCH("Hogar sin apoyo",L239)))</formula>
    </cfRule>
    <cfRule type="containsText" dxfId="951" priority="927" operator="containsText" text="Empleada formalmente sin riesgo">
      <formula>NOT(ISERROR(SEARCH("Empleada formalmente sin riesgo",L239)))</formula>
    </cfRule>
    <cfRule type="containsText" dxfId="950" priority="928" operator="containsText" text="Hogar Con apoyo">
      <formula>NOT(ISERROR(SEARCH("Hogar Con apoyo",L239)))</formula>
    </cfRule>
  </conditionalFormatting>
  <conditionalFormatting sqref="AS239:AW239">
    <cfRule type="cellIs" dxfId="949" priority="917" operator="equal">
      <formula>"SD"</formula>
    </cfRule>
    <cfRule type="cellIs" dxfId="948" priority="918" operator="equal">
      <formula>"NO"</formula>
    </cfRule>
    <cfRule type="cellIs" dxfId="947" priority="919" operator="equal">
      <formula>"SI"</formula>
    </cfRule>
  </conditionalFormatting>
  <conditionalFormatting sqref="AW239">
    <cfRule type="cellIs" dxfId="946" priority="914" operator="equal">
      <formula>1</formula>
    </cfRule>
    <cfRule type="cellIs" dxfId="945" priority="915" operator="equal">
      <formula>"3 O MAS"</formula>
    </cfRule>
    <cfRule type="cellIs" dxfId="944" priority="916" operator="equal">
      <formula>2</formula>
    </cfRule>
  </conditionalFormatting>
  <conditionalFormatting sqref="AE239:AF239">
    <cfRule type="containsText" dxfId="943" priority="912" operator="containsText" text="NO">
      <formula>NOT(ISERROR(SEARCH("NO",AE239)))</formula>
    </cfRule>
    <cfRule type="containsText" dxfId="942" priority="913" operator="containsText" text="SI">
      <formula>NOT(ISERROR(SEARCH("SI",AE239)))</formula>
    </cfRule>
  </conditionalFormatting>
  <conditionalFormatting sqref="AL239:AR239">
    <cfRule type="cellIs" dxfId="941" priority="909" operator="equal">
      <formula>"SD"</formula>
    </cfRule>
    <cfRule type="cellIs" dxfId="940" priority="910" operator="equal">
      <formula>"NO"</formula>
    </cfRule>
    <cfRule type="cellIs" dxfId="939" priority="911" operator="equal">
      <formula>"SI"</formula>
    </cfRule>
  </conditionalFormatting>
  <conditionalFormatting sqref="AK239">
    <cfRule type="containsText" dxfId="938" priority="906" operator="containsText" text="COMPLETAR EVALUACIÓN">
      <formula>NOT(ISERROR(SEARCH("COMPLETAR EVALUACIÓN",AK239)))</formula>
    </cfRule>
    <cfRule type="containsText" dxfId="937" priority="907" operator="containsText" text="CON RIESGO">
      <formula>NOT(ISERROR(SEARCH("CON RIESGO",AK239)))</formula>
    </cfRule>
    <cfRule type="containsText" dxfId="936" priority="908" operator="containsText" text="SIN RIESGO">
      <formula>NOT(ISERROR(SEARCH("SIN RIESGO",AK239)))</formula>
    </cfRule>
  </conditionalFormatting>
  <conditionalFormatting sqref="AG239:AH239">
    <cfRule type="cellIs" dxfId="935" priority="903" operator="equal">
      <formula>"SD"</formula>
    </cfRule>
    <cfRule type="cellIs" dxfId="934" priority="904" operator="equal">
      <formula>"NO"</formula>
    </cfRule>
    <cfRule type="cellIs" dxfId="933" priority="905" operator="equal">
      <formula>"SI"</formula>
    </cfRule>
  </conditionalFormatting>
  <conditionalFormatting sqref="AI239">
    <cfRule type="containsText" dxfId="932" priority="898" operator="containsText" text="HABITANTE DE CALLE">
      <formula>NOT(ISERROR(SEARCH("HABITANTE DE CALLE",AI239)))</formula>
    </cfRule>
    <cfRule type="containsText" dxfId="931" priority="899" operator="containsText" text="NINGUNO">
      <formula>NOT(ISERROR(SEARCH("NINGUNO",AI239)))</formula>
    </cfRule>
    <cfRule type="containsText" dxfId="930" priority="900" operator="containsText" text="MIGRATORIA">
      <formula>NOT(ISERROR(SEARCH("MIGRATORIA",AI239)))</formula>
    </cfRule>
    <cfRule type="containsText" dxfId="929" priority="901" operator="containsText" text="DISCAPACIDAD">
      <formula>NOT(ISERROR(SEARCH("DISCAPACIDAD",AI239)))</formula>
    </cfRule>
    <cfRule type="containsText" dxfId="928" priority="902" operator="containsText" text="DESPLAZADA">
      <formula>NOT(ISERROR(SEARCH("DESPLAZADA",AI239)))</formula>
    </cfRule>
  </conditionalFormatting>
  <conditionalFormatting sqref="AJ239">
    <cfRule type="cellIs" dxfId="927" priority="895" operator="equal">
      <formula>"SD"</formula>
    </cfRule>
    <cfRule type="cellIs" dxfId="926" priority="896" operator="equal">
      <formula>"NO"</formula>
    </cfRule>
    <cfRule type="cellIs" dxfId="925" priority="897" operator="equal">
      <formula>"SI"</formula>
    </cfRule>
  </conditionalFormatting>
  <conditionalFormatting sqref="AX239 BA239">
    <cfRule type="cellIs" dxfId="924" priority="892" operator="equal">
      <formula>"SD"</formula>
    </cfRule>
    <cfRule type="cellIs" dxfId="923" priority="893" operator="equal">
      <formula>"NO"</formula>
    </cfRule>
    <cfRule type="cellIs" dxfId="922" priority="894" operator="equal">
      <formula>"SI"</formula>
    </cfRule>
  </conditionalFormatting>
  <conditionalFormatting sqref="AY239">
    <cfRule type="containsText" dxfId="921" priority="887" operator="containsText" text="SD">
      <formula>NOT(ISERROR(SEARCH("SD",AY239)))</formula>
    </cfRule>
    <cfRule type="containsText" dxfId="920" priority="888" operator="containsText" text="SI, NO CONTROLADA">
      <formula>NOT(ISERROR(SEARCH("SI, NO CONTROLADA",AY239)))</formula>
    </cfRule>
    <cfRule type="containsText" dxfId="919" priority="889" operator="containsText" text="SI, SIN MANEJO">
      <formula>NOT(ISERROR(SEARCH("SI, SIN MANEJO",AY239)))</formula>
    </cfRule>
    <cfRule type="containsText" dxfId="918" priority="890" operator="containsText" text="SI, CONTROLADA">
      <formula>NOT(ISERROR(SEARCH("SI, CONTROLADA",AY239)))</formula>
    </cfRule>
    <cfRule type="containsText" dxfId="917" priority="891" operator="containsText" text="NO">
      <formula>NOT(ISERROR(SEARCH("NO",AY239)))</formula>
    </cfRule>
  </conditionalFormatting>
  <conditionalFormatting sqref="AZ239">
    <cfRule type="containsText" dxfId="916" priority="882" operator="containsText" text="SD">
      <formula>NOT(ISERROR(SEARCH("SD",AZ239)))</formula>
    </cfRule>
    <cfRule type="containsText" dxfId="915" priority="883" operator="containsText" text="SI, NO CONTROLADA">
      <formula>NOT(ISERROR(SEARCH("SI, NO CONTROLADA",AZ239)))</formula>
    </cfRule>
    <cfRule type="containsText" dxfId="914" priority="884" operator="containsText" text="SI, SIN MANEJO">
      <formula>NOT(ISERROR(SEARCH("SI, SIN MANEJO",AZ239)))</formula>
    </cfRule>
    <cfRule type="containsText" dxfId="913" priority="885" operator="containsText" text="SI, CONTROLADA">
      <formula>NOT(ISERROR(SEARCH("SI, CONTROLADA",AZ239)))</formula>
    </cfRule>
    <cfRule type="containsText" dxfId="912" priority="886" operator="containsText" text="NO">
      <formula>NOT(ISERROR(SEARCH("NO",AZ239)))</formula>
    </cfRule>
  </conditionalFormatting>
  <conditionalFormatting sqref="BB239">
    <cfRule type="cellIs" dxfId="911" priority="879" operator="equal">
      <formula>"SD"</formula>
    </cfRule>
    <cfRule type="cellIs" dxfId="910" priority="880" operator="equal">
      <formula>"NO"</formula>
    </cfRule>
    <cfRule type="cellIs" dxfId="909" priority="881" operator="equal">
      <formula>"SI"</formula>
    </cfRule>
  </conditionalFormatting>
  <conditionalFormatting sqref="BC239">
    <cfRule type="cellIs" dxfId="908" priority="876" operator="equal">
      <formula>"SD"</formula>
    </cfRule>
    <cfRule type="cellIs" dxfId="907" priority="877" operator="equal">
      <formula>"NO"</formula>
    </cfRule>
    <cfRule type="cellIs" dxfId="906" priority="878" operator="equal">
      <formula>"SI"</formula>
    </cfRule>
  </conditionalFormatting>
  <conditionalFormatting sqref="BF239">
    <cfRule type="cellIs" dxfId="905" priority="873" operator="equal">
      <formula>"SD"</formula>
    </cfRule>
    <cfRule type="cellIs" dxfId="904" priority="874" operator="equal">
      <formula>"NO"</formula>
    </cfRule>
    <cfRule type="cellIs" dxfId="903" priority="875" operator="equal">
      <formula>"SI"</formula>
    </cfRule>
  </conditionalFormatting>
  <conditionalFormatting sqref="BD239:BE239">
    <cfRule type="cellIs" dxfId="902" priority="870" operator="equal">
      <formula>"SD"</formula>
    </cfRule>
    <cfRule type="cellIs" dxfId="901" priority="871" operator="equal">
      <formula>"NO"</formula>
    </cfRule>
    <cfRule type="cellIs" dxfId="900" priority="872" operator="equal">
      <formula>"SI"</formula>
    </cfRule>
  </conditionalFormatting>
  <conditionalFormatting sqref="BE239">
    <cfRule type="expression" dxfId="899" priority="869">
      <formula>IF(AND(FA239&gt;=126,FC239&lt;24),1,0)</formula>
    </cfRule>
  </conditionalFormatting>
  <conditionalFormatting sqref="BG239">
    <cfRule type="cellIs" dxfId="898" priority="866" operator="equal">
      <formula>"SD"</formula>
    </cfRule>
    <cfRule type="cellIs" dxfId="897" priority="867" operator="equal">
      <formula>"NO"</formula>
    </cfRule>
    <cfRule type="cellIs" dxfId="896" priority="868" operator="equal">
      <formula>"SI"</formula>
    </cfRule>
  </conditionalFormatting>
  <conditionalFormatting sqref="BH239">
    <cfRule type="cellIs" dxfId="895" priority="863" operator="equal">
      <formula>"SD"</formula>
    </cfRule>
    <cfRule type="cellIs" dxfId="894" priority="864" operator="equal">
      <formula>"NO"</formula>
    </cfRule>
    <cfRule type="cellIs" dxfId="893" priority="865" operator="equal">
      <formula>"SI"</formula>
    </cfRule>
  </conditionalFormatting>
  <conditionalFormatting sqref="BI239">
    <cfRule type="cellIs" dxfId="892" priority="860" operator="equal">
      <formula>"SD"</formula>
    </cfRule>
    <cfRule type="cellIs" dxfId="891" priority="861" operator="equal">
      <formula>"NO"</formula>
    </cfRule>
    <cfRule type="cellIs" dxfId="890" priority="862" operator="equal">
      <formula>"SI"</formula>
    </cfRule>
  </conditionalFormatting>
  <conditionalFormatting sqref="BJ239">
    <cfRule type="cellIs" dxfId="889" priority="857" operator="equal">
      <formula>"SD"</formula>
    </cfRule>
    <cfRule type="cellIs" dxfId="888" priority="858" operator="equal">
      <formula>"NO"</formula>
    </cfRule>
    <cfRule type="cellIs" dxfId="887" priority="859" operator="equal">
      <formula>"SI"</formula>
    </cfRule>
  </conditionalFormatting>
  <conditionalFormatting sqref="BL239:BM239">
    <cfRule type="cellIs" dxfId="886" priority="854" operator="equal">
      <formula>"SD"</formula>
    </cfRule>
    <cfRule type="cellIs" dxfId="885" priority="855" operator="equal">
      <formula>"NO"</formula>
    </cfRule>
    <cfRule type="cellIs" dxfId="884" priority="856" operator="equal">
      <formula>"SI"</formula>
    </cfRule>
  </conditionalFormatting>
  <conditionalFormatting sqref="BK239">
    <cfRule type="cellIs" dxfId="883" priority="851" operator="equal">
      <formula>"SD"</formula>
    </cfRule>
    <cfRule type="cellIs" dxfId="882" priority="852" operator="equal">
      <formula>"NO"</formula>
    </cfRule>
    <cfRule type="cellIs" dxfId="881" priority="853" operator="equal">
      <formula>"SI"</formula>
    </cfRule>
  </conditionalFormatting>
  <conditionalFormatting sqref="L240">
    <cfRule type="containsText" dxfId="880" priority="842" operator="containsText" text="Empleo informal">
      <formula>NOT(ISERROR(SEARCH("Empleo informal",L240)))</formula>
    </cfRule>
    <cfRule type="containsText" dxfId="879" priority="843" operator="containsText" text="Empleada formalmente con riesgo a tóxicos">
      <formula>NOT(ISERROR(SEARCH("Empleada formalmente con riesgo a tóxicos",L240)))</formula>
    </cfRule>
    <cfRule type="containsText" dxfId="878" priority="844" operator="containsText" text="Empleada formalmente con riesgo de accidente laboral">
      <formula>NOT(ISERROR(SEARCH("Empleada formalmente con riesgo de accidente laboral",L240)))</formula>
    </cfRule>
    <cfRule type="containsText" dxfId="877" priority="845" operator="containsText" text="Empleada formalmente por jornada laboral extensa">
      <formula>NOT(ISERROR(SEARCH("Empleada formalmente por jornada laboral extensa",L240)))</formula>
    </cfRule>
    <cfRule type="containsText" dxfId="876" priority="846" operator="containsText" text="Empleada formalmente sin riesgo">
      <formula>NOT(ISERROR(SEARCH("Empleada formalmente sin riesgo",L240)))</formula>
    </cfRule>
    <cfRule type="containsText" dxfId="875" priority="847" operator="containsText" text="Actualmente desempleada">
      <formula>NOT(ISERROR(SEARCH("Actualmente desempleada",L240)))</formula>
    </cfRule>
    <cfRule type="containsText" dxfId="874" priority="848" operator="containsText" text="Hogar sin apoyo">
      <formula>NOT(ISERROR(SEARCH("Hogar sin apoyo",L240)))</formula>
    </cfRule>
    <cfRule type="containsText" dxfId="873" priority="849" operator="containsText" text="Empleada formalmente sin riesgo">
      <formula>NOT(ISERROR(SEARCH("Empleada formalmente sin riesgo",L240)))</formula>
    </cfRule>
    <cfRule type="containsText" dxfId="872" priority="850" operator="containsText" text="Hogar Con apoyo">
      <formula>NOT(ISERROR(SEARCH("Hogar Con apoyo",L240)))</formula>
    </cfRule>
  </conditionalFormatting>
  <conditionalFormatting sqref="AC240">
    <cfRule type="containsText" dxfId="871" priority="838" operator="containsText" text="SABE">
      <formula>NOT(ISERROR(SEARCH("SABE",AC240)))</formula>
    </cfRule>
    <cfRule type="containsText" dxfId="870" priority="839" operator="containsText" text="SECUNDARIA">
      <formula>NOT(ISERROR(SEARCH("SECUNDARIA",AC240)))</formula>
    </cfRule>
    <cfRule type="containsText" dxfId="869" priority="840" operator="containsText" text="PRIMARIA INCOMPLETA">
      <formula>NOT(ISERROR(SEARCH("PRIMARIA INCOMPLETA",AC240)))</formula>
    </cfRule>
    <cfRule type="cellIs" dxfId="868" priority="841" operator="equal">
      <formula>"ANALFABETA"</formula>
    </cfRule>
  </conditionalFormatting>
  <conditionalFormatting sqref="AD240">
    <cfRule type="containsText" dxfId="867" priority="835" operator="containsText" text="No Consume">
      <formula>NOT(ISERROR(SEARCH("No Consume",AD240)))</formula>
    </cfRule>
    <cfRule type="containsText" dxfId="866" priority="836" operator="containsText" text="Hasta Antes de la Gestación">
      <formula>NOT(ISERROR(SEARCH("Hasta Antes de la Gestación",AD240)))</formula>
    </cfRule>
    <cfRule type="containsText" dxfId="865" priority="837" operator="containsText" text="Consumo Actual">
      <formula>NOT(ISERROR(SEARCH("Consumo Actual",AD240)))</formula>
    </cfRule>
  </conditionalFormatting>
  <conditionalFormatting sqref="AE240:AF240">
    <cfRule type="containsText" dxfId="864" priority="833" operator="containsText" text="NO">
      <formula>NOT(ISERROR(SEARCH("NO",AE240)))</formula>
    </cfRule>
    <cfRule type="containsText" dxfId="863" priority="834" operator="containsText" text="SI">
      <formula>NOT(ISERROR(SEARCH("SI",AE240)))</formula>
    </cfRule>
  </conditionalFormatting>
  <conditionalFormatting sqref="AL240:AR240">
    <cfRule type="cellIs" dxfId="862" priority="830" operator="equal">
      <formula>"SD"</formula>
    </cfRule>
    <cfRule type="cellIs" dxfId="861" priority="831" operator="equal">
      <formula>"NO"</formula>
    </cfRule>
    <cfRule type="cellIs" dxfId="860" priority="832" operator="equal">
      <formula>"SI"</formula>
    </cfRule>
  </conditionalFormatting>
  <conditionalFormatting sqref="AK240">
    <cfRule type="containsText" dxfId="859" priority="827" operator="containsText" text="COMPLETAR EVALUACIÓN">
      <formula>NOT(ISERROR(SEARCH("COMPLETAR EVALUACIÓN",AK240)))</formula>
    </cfRule>
    <cfRule type="containsText" dxfId="858" priority="828" operator="containsText" text="CON RIESGO">
      <formula>NOT(ISERROR(SEARCH("CON RIESGO",AK240)))</formula>
    </cfRule>
    <cfRule type="containsText" dxfId="857" priority="829" operator="containsText" text="SIN RIESGO">
      <formula>NOT(ISERROR(SEARCH("SIN RIESGO",AK240)))</formula>
    </cfRule>
  </conditionalFormatting>
  <conditionalFormatting sqref="AG240:AH240">
    <cfRule type="cellIs" dxfId="856" priority="824" operator="equal">
      <formula>"SD"</formula>
    </cfRule>
    <cfRule type="cellIs" dxfId="855" priority="825" operator="equal">
      <formula>"NO"</formula>
    </cfRule>
    <cfRule type="cellIs" dxfId="854" priority="826" operator="equal">
      <formula>"SI"</formula>
    </cfRule>
  </conditionalFormatting>
  <conditionalFormatting sqref="AI240">
    <cfRule type="containsText" dxfId="853" priority="819" operator="containsText" text="HABITANTE DE CALLE">
      <formula>NOT(ISERROR(SEARCH("HABITANTE DE CALLE",AI240)))</formula>
    </cfRule>
    <cfRule type="containsText" dxfId="852" priority="820" operator="containsText" text="NINGUNO">
      <formula>NOT(ISERROR(SEARCH("NINGUNO",AI240)))</formula>
    </cfRule>
    <cfRule type="containsText" dxfId="851" priority="821" operator="containsText" text="MIGRATORIA">
      <formula>NOT(ISERROR(SEARCH("MIGRATORIA",AI240)))</formula>
    </cfRule>
    <cfRule type="containsText" dxfId="850" priority="822" operator="containsText" text="DISCAPACIDAD">
      <formula>NOT(ISERROR(SEARCH("DISCAPACIDAD",AI240)))</formula>
    </cfRule>
    <cfRule type="containsText" dxfId="849" priority="823" operator="containsText" text="DESPLAZADA">
      <formula>NOT(ISERROR(SEARCH("DESPLAZADA",AI240)))</formula>
    </cfRule>
  </conditionalFormatting>
  <conditionalFormatting sqref="AJ240">
    <cfRule type="cellIs" dxfId="848" priority="816" operator="equal">
      <formula>"SD"</formula>
    </cfRule>
    <cfRule type="cellIs" dxfId="847" priority="817" operator="equal">
      <formula>"NO"</formula>
    </cfRule>
    <cfRule type="cellIs" dxfId="846" priority="818" operator="equal">
      <formula>"SI"</formula>
    </cfRule>
  </conditionalFormatting>
  <conditionalFormatting sqref="AS240:AW240">
    <cfRule type="cellIs" dxfId="845" priority="813" operator="equal">
      <formula>"SD"</formula>
    </cfRule>
    <cfRule type="cellIs" dxfId="844" priority="814" operator="equal">
      <formula>"NO"</formula>
    </cfRule>
    <cfRule type="cellIs" dxfId="843" priority="815" operator="equal">
      <formula>"SI"</formula>
    </cfRule>
  </conditionalFormatting>
  <conditionalFormatting sqref="AW240">
    <cfRule type="cellIs" dxfId="842" priority="810" operator="equal">
      <formula>1</formula>
    </cfRule>
    <cfRule type="cellIs" dxfId="841" priority="811" operator="equal">
      <formula>"3 O MAS"</formula>
    </cfRule>
    <cfRule type="cellIs" dxfId="840" priority="812" operator="equal">
      <formula>2</formula>
    </cfRule>
  </conditionalFormatting>
  <conditionalFormatting sqref="AX240 BA240">
    <cfRule type="cellIs" dxfId="839" priority="807" operator="equal">
      <formula>"SD"</formula>
    </cfRule>
    <cfRule type="cellIs" dxfId="838" priority="808" operator="equal">
      <formula>"NO"</formula>
    </cfRule>
    <cfRule type="cellIs" dxfId="837" priority="809" operator="equal">
      <formula>"SI"</formula>
    </cfRule>
  </conditionalFormatting>
  <conditionalFormatting sqref="AY240">
    <cfRule type="containsText" dxfId="836" priority="802" operator="containsText" text="SD">
      <formula>NOT(ISERROR(SEARCH("SD",AY240)))</formula>
    </cfRule>
    <cfRule type="containsText" dxfId="835" priority="803" operator="containsText" text="SI, NO CONTROLADA">
      <formula>NOT(ISERROR(SEARCH("SI, NO CONTROLADA",AY240)))</formula>
    </cfRule>
    <cfRule type="containsText" dxfId="834" priority="804" operator="containsText" text="SI, SIN MANEJO">
      <formula>NOT(ISERROR(SEARCH("SI, SIN MANEJO",AY240)))</formula>
    </cfRule>
    <cfRule type="containsText" dxfId="833" priority="805" operator="containsText" text="SI, CONTROLADA">
      <formula>NOT(ISERROR(SEARCH("SI, CONTROLADA",AY240)))</formula>
    </cfRule>
    <cfRule type="containsText" dxfId="832" priority="806" operator="containsText" text="NO">
      <formula>NOT(ISERROR(SEARCH("NO",AY240)))</formula>
    </cfRule>
  </conditionalFormatting>
  <conditionalFormatting sqref="AZ240">
    <cfRule type="containsText" dxfId="831" priority="797" operator="containsText" text="SD">
      <formula>NOT(ISERROR(SEARCH("SD",AZ240)))</formula>
    </cfRule>
    <cfRule type="containsText" dxfId="830" priority="798" operator="containsText" text="SI, NO CONTROLADA">
      <formula>NOT(ISERROR(SEARCH("SI, NO CONTROLADA",AZ240)))</formula>
    </cfRule>
    <cfRule type="containsText" dxfId="829" priority="799" operator="containsText" text="SI, SIN MANEJO">
      <formula>NOT(ISERROR(SEARCH("SI, SIN MANEJO",AZ240)))</formula>
    </cfRule>
    <cfRule type="containsText" dxfId="828" priority="800" operator="containsText" text="SI, CONTROLADA">
      <formula>NOT(ISERROR(SEARCH("SI, CONTROLADA",AZ240)))</formula>
    </cfRule>
    <cfRule type="containsText" dxfId="827" priority="801" operator="containsText" text="NO">
      <formula>NOT(ISERROR(SEARCH("NO",AZ240)))</formula>
    </cfRule>
  </conditionalFormatting>
  <conditionalFormatting sqref="BB240">
    <cfRule type="cellIs" dxfId="826" priority="794" operator="equal">
      <formula>"SD"</formula>
    </cfRule>
    <cfRule type="cellIs" dxfId="825" priority="795" operator="equal">
      <formula>"NO"</formula>
    </cfRule>
    <cfRule type="cellIs" dxfId="824" priority="796" operator="equal">
      <formula>"SI"</formula>
    </cfRule>
  </conditionalFormatting>
  <conditionalFormatting sqref="BC240">
    <cfRule type="cellIs" dxfId="823" priority="791" operator="equal">
      <formula>"SD"</formula>
    </cfRule>
    <cfRule type="cellIs" dxfId="822" priority="792" operator="equal">
      <formula>"NO"</formula>
    </cfRule>
    <cfRule type="cellIs" dxfId="821" priority="793" operator="equal">
      <formula>"SI"</formula>
    </cfRule>
  </conditionalFormatting>
  <conditionalFormatting sqref="BF240">
    <cfRule type="cellIs" dxfId="820" priority="788" operator="equal">
      <formula>"SD"</formula>
    </cfRule>
    <cfRule type="cellIs" dxfId="819" priority="789" operator="equal">
      <formula>"NO"</formula>
    </cfRule>
    <cfRule type="cellIs" dxfId="818" priority="790" operator="equal">
      <formula>"SI"</formula>
    </cfRule>
  </conditionalFormatting>
  <conditionalFormatting sqref="BD240:BE240">
    <cfRule type="cellIs" dxfId="817" priority="785" operator="equal">
      <formula>"SD"</formula>
    </cfRule>
    <cfRule type="cellIs" dxfId="816" priority="786" operator="equal">
      <formula>"NO"</formula>
    </cfRule>
    <cfRule type="cellIs" dxfId="815" priority="787" operator="equal">
      <formula>"SI"</formula>
    </cfRule>
  </conditionalFormatting>
  <conditionalFormatting sqref="BE240">
    <cfRule type="expression" dxfId="814" priority="784">
      <formula>IF(AND(FA240&gt;=126,FC240&lt;24),1,0)</formula>
    </cfRule>
  </conditionalFormatting>
  <conditionalFormatting sqref="BG240">
    <cfRule type="cellIs" dxfId="813" priority="781" operator="equal">
      <formula>"SD"</formula>
    </cfRule>
    <cfRule type="cellIs" dxfId="812" priority="782" operator="equal">
      <formula>"NO"</formula>
    </cfRule>
    <cfRule type="cellIs" dxfId="811" priority="783" operator="equal">
      <formula>"SI"</formula>
    </cfRule>
  </conditionalFormatting>
  <conditionalFormatting sqref="BH240">
    <cfRule type="cellIs" dxfId="810" priority="778" operator="equal">
      <formula>"SD"</formula>
    </cfRule>
    <cfRule type="cellIs" dxfId="809" priority="779" operator="equal">
      <formula>"NO"</formula>
    </cfRule>
    <cfRule type="cellIs" dxfId="808" priority="780" operator="equal">
      <formula>"SI"</formula>
    </cfRule>
  </conditionalFormatting>
  <conditionalFormatting sqref="BI240">
    <cfRule type="cellIs" dxfId="807" priority="775" operator="equal">
      <formula>"SD"</formula>
    </cfRule>
    <cfRule type="cellIs" dxfId="806" priority="776" operator="equal">
      <formula>"NO"</formula>
    </cfRule>
    <cfRule type="cellIs" dxfId="805" priority="777" operator="equal">
      <formula>"SI"</formula>
    </cfRule>
  </conditionalFormatting>
  <conditionalFormatting sqref="BJ240">
    <cfRule type="cellIs" dxfId="804" priority="772" operator="equal">
      <formula>"SD"</formula>
    </cfRule>
    <cfRule type="cellIs" dxfId="803" priority="773" operator="equal">
      <formula>"NO"</formula>
    </cfRule>
    <cfRule type="cellIs" dxfId="802" priority="774" operator="equal">
      <formula>"SI"</formula>
    </cfRule>
  </conditionalFormatting>
  <conditionalFormatting sqref="BL240:BM240">
    <cfRule type="cellIs" dxfId="801" priority="769" operator="equal">
      <formula>"SD"</formula>
    </cfRule>
    <cfRule type="cellIs" dxfId="800" priority="770" operator="equal">
      <formula>"NO"</formula>
    </cfRule>
    <cfRule type="cellIs" dxfId="799" priority="771" operator="equal">
      <formula>"SI"</formula>
    </cfRule>
  </conditionalFormatting>
  <conditionalFormatting sqref="BK240">
    <cfRule type="cellIs" dxfId="798" priority="766" operator="equal">
      <formula>"SD"</formula>
    </cfRule>
    <cfRule type="cellIs" dxfId="797" priority="767" operator="equal">
      <formula>"NO"</formula>
    </cfRule>
    <cfRule type="cellIs" dxfId="796" priority="768" operator="equal">
      <formula>"SI"</formula>
    </cfRule>
  </conditionalFormatting>
  <conditionalFormatting sqref="L241">
    <cfRule type="containsText" dxfId="795" priority="757" operator="containsText" text="Empleo informal">
      <formula>NOT(ISERROR(SEARCH("Empleo informal",L241)))</formula>
    </cfRule>
    <cfRule type="containsText" dxfId="794" priority="758" operator="containsText" text="Empleada formalmente con riesgo a tóxicos">
      <formula>NOT(ISERROR(SEARCH("Empleada formalmente con riesgo a tóxicos",L241)))</formula>
    </cfRule>
    <cfRule type="containsText" dxfId="793" priority="759" operator="containsText" text="Empleada formalmente con riesgo de accidente laboral">
      <formula>NOT(ISERROR(SEARCH("Empleada formalmente con riesgo de accidente laboral",L241)))</formula>
    </cfRule>
    <cfRule type="containsText" dxfId="792" priority="760" operator="containsText" text="Empleada formalmente por jornada laboral extensa">
      <formula>NOT(ISERROR(SEARCH("Empleada formalmente por jornada laboral extensa",L241)))</formula>
    </cfRule>
    <cfRule type="containsText" dxfId="791" priority="761" operator="containsText" text="Empleada formalmente sin riesgo">
      <formula>NOT(ISERROR(SEARCH("Empleada formalmente sin riesgo",L241)))</formula>
    </cfRule>
    <cfRule type="containsText" dxfId="790" priority="762" operator="containsText" text="Actualmente desempleada">
      <formula>NOT(ISERROR(SEARCH("Actualmente desempleada",L241)))</formula>
    </cfRule>
    <cfRule type="containsText" dxfId="789" priority="763" operator="containsText" text="Hogar sin apoyo">
      <formula>NOT(ISERROR(SEARCH("Hogar sin apoyo",L241)))</formula>
    </cfRule>
    <cfRule type="containsText" dxfId="788" priority="764" operator="containsText" text="Empleada formalmente sin riesgo">
      <formula>NOT(ISERROR(SEARCH("Empleada formalmente sin riesgo",L241)))</formula>
    </cfRule>
    <cfRule type="containsText" dxfId="787" priority="765" operator="containsText" text="Hogar Con apoyo">
      <formula>NOT(ISERROR(SEARCH("Hogar Con apoyo",L241)))</formula>
    </cfRule>
  </conditionalFormatting>
  <conditionalFormatting sqref="AC241">
    <cfRule type="containsText" dxfId="786" priority="753" operator="containsText" text="SABE">
      <formula>NOT(ISERROR(SEARCH("SABE",AC241)))</formula>
    </cfRule>
    <cfRule type="containsText" dxfId="785" priority="754" operator="containsText" text="SECUNDARIA">
      <formula>NOT(ISERROR(SEARCH("SECUNDARIA",AC241)))</formula>
    </cfRule>
    <cfRule type="containsText" dxfId="784" priority="755" operator="containsText" text="PRIMARIA INCOMPLETA">
      <formula>NOT(ISERROR(SEARCH("PRIMARIA INCOMPLETA",AC241)))</formula>
    </cfRule>
    <cfRule type="cellIs" dxfId="783" priority="756" operator="equal">
      <formula>"ANALFABETA"</formula>
    </cfRule>
  </conditionalFormatting>
  <conditionalFormatting sqref="AD241">
    <cfRule type="containsText" dxfId="782" priority="750" operator="containsText" text="No Consume">
      <formula>NOT(ISERROR(SEARCH("No Consume",AD241)))</formula>
    </cfRule>
    <cfRule type="containsText" dxfId="781" priority="751" operator="containsText" text="Hasta Antes de la Gestación">
      <formula>NOT(ISERROR(SEARCH("Hasta Antes de la Gestación",AD241)))</formula>
    </cfRule>
    <cfRule type="containsText" dxfId="780" priority="752" operator="containsText" text="Consumo Actual">
      <formula>NOT(ISERROR(SEARCH("Consumo Actual",AD241)))</formula>
    </cfRule>
  </conditionalFormatting>
  <conditionalFormatting sqref="AE241:AF241">
    <cfRule type="containsText" dxfId="779" priority="748" operator="containsText" text="NO">
      <formula>NOT(ISERROR(SEARCH("NO",AE241)))</formula>
    </cfRule>
    <cfRule type="containsText" dxfId="778" priority="749" operator="containsText" text="SI">
      <formula>NOT(ISERROR(SEARCH("SI",AE241)))</formula>
    </cfRule>
  </conditionalFormatting>
  <conditionalFormatting sqref="AL241:AR241">
    <cfRule type="cellIs" dxfId="777" priority="745" operator="equal">
      <formula>"SD"</formula>
    </cfRule>
    <cfRule type="cellIs" dxfId="776" priority="746" operator="equal">
      <formula>"NO"</formula>
    </cfRule>
    <cfRule type="cellIs" dxfId="775" priority="747" operator="equal">
      <formula>"SI"</formula>
    </cfRule>
  </conditionalFormatting>
  <conditionalFormatting sqref="AK241">
    <cfRule type="containsText" dxfId="774" priority="742" operator="containsText" text="COMPLETAR EVALUACIÓN">
      <formula>NOT(ISERROR(SEARCH("COMPLETAR EVALUACIÓN",AK241)))</formula>
    </cfRule>
    <cfRule type="containsText" dxfId="773" priority="743" operator="containsText" text="CON RIESGO">
      <formula>NOT(ISERROR(SEARCH("CON RIESGO",AK241)))</formula>
    </cfRule>
    <cfRule type="containsText" dxfId="772" priority="744" operator="containsText" text="SIN RIESGO">
      <formula>NOT(ISERROR(SEARCH("SIN RIESGO",AK241)))</formula>
    </cfRule>
  </conditionalFormatting>
  <conditionalFormatting sqref="AG241:AH241">
    <cfRule type="cellIs" dxfId="771" priority="739" operator="equal">
      <formula>"SD"</formula>
    </cfRule>
    <cfRule type="cellIs" dxfId="770" priority="740" operator="equal">
      <formula>"NO"</formula>
    </cfRule>
    <cfRule type="cellIs" dxfId="769" priority="741" operator="equal">
      <formula>"SI"</formula>
    </cfRule>
  </conditionalFormatting>
  <conditionalFormatting sqref="AI241">
    <cfRule type="containsText" dxfId="768" priority="734" operator="containsText" text="HABITANTE DE CALLE">
      <formula>NOT(ISERROR(SEARCH("HABITANTE DE CALLE",AI241)))</formula>
    </cfRule>
    <cfRule type="containsText" dxfId="767" priority="735" operator="containsText" text="NINGUNO">
      <formula>NOT(ISERROR(SEARCH("NINGUNO",AI241)))</formula>
    </cfRule>
    <cfRule type="containsText" dxfId="766" priority="736" operator="containsText" text="MIGRATORIA">
      <formula>NOT(ISERROR(SEARCH("MIGRATORIA",AI241)))</formula>
    </cfRule>
    <cfRule type="containsText" dxfId="765" priority="737" operator="containsText" text="DISCAPACIDAD">
      <formula>NOT(ISERROR(SEARCH("DISCAPACIDAD",AI241)))</formula>
    </cfRule>
    <cfRule type="containsText" dxfId="764" priority="738" operator="containsText" text="DESPLAZADA">
      <formula>NOT(ISERROR(SEARCH("DESPLAZADA",AI241)))</formula>
    </cfRule>
  </conditionalFormatting>
  <conditionalFormatting sqref="AJ241">
    <cfRule type="cellIs" dxfId="763" priority="731" operator="equal">
      <formula>"SD"</formula>
    </cfRule>
    <cfRule type="cellIs" dxfId="762" priority="732" operator="equal">
      <formula>"NO"</formula>
    </cfRule>
    <cfRule type="cellIs" dxfId="761" priority="733" operator="equal">
      <formula>"SI"</formula>
    </cfRule>
  </conditionalFormatting>
  <conditionalFormatting sqref="AT241:AW241">
    <cfRule type="cellIs" dxfId="760" priority="728" operator="equal">
      <formula>"SD"</formula>
    </cfRule>
    <cfRule type="cellIs" dxfId="759" priority="729" operator="equal">
      <formula>"NO"</formula>
    </cfRule>
    <cfRule type="cellIs" dxfId="758" priority="730" operator="equal">
      <formula>"SI"</formula>
    </cfRule>
  </conditionalFormatting>
  <conditionalFormatting sqref="AW241">
    <cfRule type="cellIs" dxfId="757" priority="725" operator="equal">
      <formula>1</formula>
    </cfRule>
    <cfRule type="cellIs" dxfId="756" priority="726" operator="equal">
      <formula>"3 O MAS"</formula>
    </cfRule>
    <cfRule type="cellIs" dxfId="755" priority="727" operator="equal">
      <formula>2</formula>
    </cfRule>
  </conditionalFormatting>
  <conditionalFormatting sqref="AX241 BA241">
    <cfRule type="cellIs" dxfId="754" priority="722" operator="equal">
      <formula>"SD"</formula>
    </cfRule>
    <cfRule type="cellIs" dxfId="753" priority="723" operator="equal">
      <formula>"NO"</formula>
    </cfRule>
    <cfRule type="cellIs" dxfId="752" priority="724" operator="equal">
      <formula>"SI"</formula>
    </cfRule>
  </conditionalFormatting>
  <conditionalFormatting sqref="AY241">
    <cfRule type="containsText" dxfId="751" priority="717" operator="containsText" text="SD">
      <formula>NOT(ISERROR(SEARCH("SD",AY241)))</formula>
    </cfRule>
    <cfRule type="containsText" dxfId="750" priority="718" operator="containsText" text="SI, NO CONTROLADA">
      <formula>NOT(ISERROR(SEARCH("SI, NO CONTROLADA",AY241)))</formula>
    </cfRule>
    <cfRule type="containsText" dxfId="749" priority="719" operator="containsText" text="SI, SIN MANEJO">
      <formula>NOT(ISERROR(SEARCH("SI, SIN MANEJO",AY241)))</formula>
    </cfRule>
    <cfRule type="containsText" dxfId="748" priority="720" operator="containsText" text="SI, CONTROLADA">
      <formula>NOT(ISERROR(SEARCH("SI, CONTROLADA",AY241)))</formula>
    </cfRule>
    <cfRule type="containsText" dxfId="747" priority="721" operator="containsText" text="NO">
      <formula>NOT(ISERROR(SEARCH("NO",AY241)))</formula>
    </cfRule>
  </conditionalFormatting>
  <conditionalFormatting sqref="AZ241">
    <cfRule type="containsText" dxfId="746" priority="712" operator="containsText" text="SD">
      <formula>NOT(ISERROR(SEARCH("SD",AZ241)))</formula>
    </cfRule>
    <cfRule type="containsText" dxfId="745" priority="713" operator="containsText" text="SI, NO CONTROLADA">
      <formula>NOT(ISERROR(SEARCH("SI, NO CONTROLADA",AZ241)))</formula>
    </cfRule>
    <cfRule type="containsText" dxfId="744" priority="714" operator="containsText" text="SI, SIN MANEJO">
      <formula>NOT(ISERROR(SEARCH("SI, SIN MANEJO",AZ241)))</formula>
    </cfRule>
    <cfRule type="containsText" dxfId="743" priority="715" operator="containsText" text="SI, CONTROLADA">
      <formula>NOT(ISERROR(SEARCH("SI, CONTROLADA",AZ241)))</formula>
    </cfRule>
    <cfRule type="containsText" dxfId="742" priority="716" operator="containsText" text="NO">
      <formula>NOT(ISERROR(SEARCH("NO",AZ241)))</formula>
    </cfRule>
  </conditionalFormatting>
  <conditionalFormatting sqref="BB241">
    <cfRule type="cellIs" dxfId="741" priority="709" operator="equal">
      <formula>"SD"</formula>
    </cfRule>
    <cfRule type="cellIs" dxfId="740" priority="710" operator="equal">
      <formula>"NO"</formula>
    </cfRule>
    <cfRule type="cellIs" dxfId="739" priority="711" operator="equal">
      <formula>"SI"</formula>
    </cfRule>
  </conditionalFormatting>
  <conditionalFormatting sqref="BC241">
    <cfRule type="cellIs" dxfId="738" priority="706" operator="equal">
      <formula>"SD"</formula>
    </cfRule>
    <cfRule type="cellIs" dxfId="737" priority="707" operator="equal">
      <formula>"NO"</formula>
    </cfRule>
    <cfRule type="cellIs" dxfId="736" priority="708" operator="equal">
      <formula>"SI"</formula>
    </cfRule>
  </conditionalFormatting>
  <conditionalFormatting sqref="BF241">
    <cfRule type="cellIs" dxfId="735" priority="703" operator="equal">
      <formula>"SD"</formula>
    </cfRule>
    <cfRule type="cellIs" dxfId="734" priority="704" operator="equal">
      <formula>"NO"</formula>
    </cfRule>
    <cfRule type="cellIs" dxfId="733" priority="705" operator="equal">
      <formula>"SI"</formula>
    </cfRule>
  </conditionalFormatting>
  <conditionalFormatting sqref="BD241:BE241">
    <cfRule type="cellIs" dxfId="732" priority="700" operator="equal">
      <formula>"SD"</formula>
    </cfRule>
    <cfRule type="cellIs" dxfId="731" priority="701" operator="equal">
      <formula>"NO"</formula>
    </cfRule>
    <cfRule type="cellIs" dxfId="730" priority="702" operator="equal">
      <formula>"SI"</formula>
    </cfRule>
  </conditionalFormatting>
  <conditionalFormatting sqref="BE241">
    <cfRule type="expression" dxfId="729" priority="699">
      <formula>IF(AND(FA241&gt;=126,FC241&lt;24),1,0)</formula>
    </cfRule>
  </conditionalFormatting>
  <conditionalFormatting sqref="BG241">
    <cfRule type="cellIs" dxfId="728" priority="696" operator="equal">
      <formula>"SD"</formula>
    </cfRule>
    <cfRule type="cellIs" dxfId="727" priority="697" operator="equal">
      <formula>"NO"</formula>
    </cfRule>
    <cfRule type="cellIs" dxfId="726" priority="698" operator="equal">
      <formula>"SI"</formula>
    </cfRule>
  </conditionalFormatting>
  <conditionalFormatting sqref="BH241">
    <cfRule type="cellIs" dxfId="725" priority="693" operator="equal">
      <formula>"SD"</formula>
    </cfRule>
    <cfRule type="cellIs" dxfId="724" priority="694" operator="equal">
      <formula>"NO"</formula>
    </cfRule>
    <cfRule type="cellIs" dxfId="723" priority="695" operator="equal">
      <formula>"SI"</formula>
    </cfRule>
  </conditionalFormatting>
  <conditionalFormatting sqref="BI241">
    <cfRule type="cellIs" dxfId="722" priority="690" operator="equal">
      <formula>"SD"</formula>
    </cfRule>
    <cfRule type="cellIs" dxfId="721" priority="691" operator="equal">
      <formula>"NO"</formula>
    </cfRule>
    <cfRule type="cellIs" dxfId="720" priority="692" operator="equal">
      <formula>"SI"</formula>
    </cfRule>
  </conditionalFormatting>
  <conditionalFormatting sqref="BJ241">
    <cfRule type="cellIs" dxfId="719" priority="687" operator="equal">
      <formula>"SD"</formula>
    </cfRule>
    <cfRule type="cellIs" dxfId="718" priority="688" operator="equal">
      <formula>"NO"</formula>
    </cfRule>
    <cfRule type="cellIs" dxfId="717" priority="689" operator="equal">
      <formula>"SI"</formula>
    </cfRule>
  </conditionalFormatting>
  <conditionalFormatting sqref="BL241:BM241">
    <cfRule type="cellIs" dxfId="716" priority="684" operator="equal">
      <formula>"SD"</formula>
    </cfRule>
    <cfRule type="cellIs" dxfId="715" priority="685" operator="equal">
      <formula>"NO"</formula>
    </cfRule>
    <cfRule type="cellIs" dxfId="714" priority="686" operator="equal">
      <formula>"SI"</formula>
    </cfRule>
  </conditionalFormatting>
  <conditionalFormatting sqref="BK241">
    <cfRule type="cellIs" dxfId="713" priority="681" operator="equal">
      <formula>"SD"</formula>
    </cfRule>
    <cfRule type="cellIs" dxfId="712" priority="682" operator="equal">
      <formula>"NO"</formula>
    </cfRule>
    <cfRule type="cellIs" dxfId="711" priority="683" operator="equal">
      <formula>"SI"</formula>
    </cfRule>
  </conditionalFormatting>
  <conditionalFormatting sqref="CD162">
    <cfRule type="cellIs" dxfId="710" priority="678" operator="equal">
      <formula>"SD"</formula>
    </cfRule>
    <cfRule type="cellIs" dxfId="709" priority="679" operator="equal">
      <formula>"NO"</formula>
    </cfRule>
    <cfRule type="cellIs" dxfId="708" priority="680" operator="equal">
      <formula>"SI"</formula>
    </cfRule>
  </conditionalFormatting>
  <conditionalFormatting sqref="L242">
    <cfRule type="containsText" dxfId="707" priority="669" operator="containsText" text="Empleo informal">
      <formula>NOT(ISERROR(SEARCH("Empleo informal",L242)))</formula>
    </cfRule>
    <cfRule type="containsText" dxfId="706" priority="670" operator="containsText" text="Empleada formalmente con riesgo a tóxicos">
      <formula>NOT(ISERROR(SEARCH("Empleada formalmente con riesgo a tóxicos",L242)))</formula>
    </cfRule>
    <cfRule type="containsText" dxfId="705" priority="671" operator="containsText" text="Empleada formalmente con riesgo de accidente laboral">
      <formula>NOT(ISERROR(SEARCH("Empleada formalmente con riesgo de accidente laboral",L242)))</formula>
    </cfRule>
    <cfRule type="containsText" dxfId="704" priority="672" operator="containsText" text="Empleada formalmente por jornada laboral extensa">
      <formula>NOT(ISERROR(SEARCH("Empleada formalmente por jornada laboral extensa",L242)))</formula>
    </cfRule>
    <cfRule type="containsText" dxfId="703" priority="673" operator="containsText" text="Empleada formalmente sin riesgo">
      <formula>NOT(ISERROR(SEARCH("Empleada formalmente sin riesgo",L242)))</formula>
    </cfRule>
    <cfRule type="containsText" dxfId="702" priority="674" operator="containsText" text="Actualmente desempleada">
      <formula>NOT(ISERROR(SEARCH("Actualmente desempleada",L242)))</formula>
    </cfRule>
    <cfRule type="containsText" dxfId="701" priority="675" operator="containsText" text="Hogar sin apoyo">
      <formula>NOT(ISERROR(SEARCH("Hogar sin apoyo",L242)))</formula>
    </cfRule>
    <cfRule type="containsText" dxfId="700" priority="676" operator="containsText" text="Empleada formalmente sin riesgo">
      <formula>NOT(ISERROR(SEARCH("Empleada formalmente sin riesgo",L242)))</formula>
    </cfRule>
    <cfRule type="containsText" dxfId="699" priority="677" operator="containsText" text="Hogar Con apoyo">
      <formula>NOT(ISERROR(SEARCH("Hogar Con apoyo",L242)))</formula>
    </cfRule>
  </conditionalFormatting>
  <conditionalFormatting sqref="AS242">
    <cfRule type="cellIs" dxfId="698" priority="666" operator="equal">
      <formula>"SD"</formula>
    </cfRule>
    <cfRule type="cellIs" dxfId="697" priority="667" operator="equal">
      <formula>"NO"</formula>
    </cfRule>
    <cfRule type="cellIs" dxfId="696" priority="668" operator="equal">
      <formula>"SI"</formula>
    </cfRule>
  </conditionalFormatting>
  <conditionalFormatting sqref="AC242">
    <cfRule type="containsText" dxfId="695" priority="662" operator="containsText" text="SABE">
      <formula>NOT(ISERROR(SEARCH("SABE",AC242)))</formula>
    </cfRule>
    <cfRule type="containsText" dxfId="694" priority="663" operator="containsText" text="SECUNDARIA">
      <formula>NOT(ISERROR(SEARCH("SECUNDARIA",AC242)))</formula>
    </cfRule>
    <cfRule type="containsText" dxfId="693" priority="664" operator="containsText" text="PRIMARIA INCOMPLETA">
      <formula>NOT(ISERROR(SEARCH("PRIMARIA INCOMPLETA",AC242)))</formula>
    </cfRule>
    <cfRule type="cellIs" dxfId="692" priority="665" operator="equal">
      <formula>"ANALFABETA"</formula>
    </cfRule>
  </conditionalFormatting>
  <conditionalFormatting sqref="AD242">
    <cfRule type="containsText" dxfId="691" priority="659" operator="containsText" text="No Consume">
      <formula>NOT(ISERROR(SEARCH("No Consume",AD242)))</formula>
    </cfRule>
    <cfRule type="containsText" dxfId="690" priority="660" operator="containsText" text="Hasta Antes de la Gestación">
      <formula>NOT(ISERROR(SEARCH("Hasta Antes de la Gestación",AD242)))</formula>
    </cfRule>
    <cfRule type="containsText" dxfId="689" priority="661" operator="containsText" text="Consumo Actual">
      <formula>NOT(ISERROR(SEARCH("Consumo Actual",AD242)))</formula>
    </cfRule>
  </conditionalFormatting>
  <conditionalFormatting sqref="AE242:AF242">
    <cfRule type="containsText" dxfId="688" priority="657" operator="containsText" text="NO">
      <formula>NOT(ISERROR(SEARCH("NO",AE242)))</formula>
    </cfRule>
    <cfRule type="containsText" dxfId="687" priority="658" operator="containsText" text="SI">
      <formula>NOT(ISERROR(SEARCH("SI",AE242)))</formula>
    </cfRule>
  </conditionalFormatting>
  <conditionalFormatting sqref="AL242:AR242">
    <cfRule type="cellIs" dxfId="686" priority="654" operator="equal">
      <formula>"SD"</formula>
    </cfRule>
    <cfRule type="cellIs" dxfId="685" priority="655" operator="equal">
      <formula>"NO"</formula>
    </cfRule>
    <cfRule type="cellIs" dxfId="684" priority="656" operator="equal">
      <formula>"SI"</formula>
    </cfRule>
  </conditionalFormatting>
  <conditionalFormatting sqref="AK242">
    <cfRule type="containsText" dxfId="683" priority="651" operator="containsText" text="COMPLETAR EVALUACIÓN">
      <formula>NOT(ISERROR(SEARCH("COMPLETAR EVALUACIÓN",AK242)))</formula>
    </cfRule>
    <cfRule type="containsText" dxfId="682" priority="652" operator="containsText" text="CON RIESGO">
      <formula>NOT(ISERROR(SEARCH("CON RIESGO",AK242)))</formula>
    </cfRule>
    <cfRule type="containsText" dxfId="681" priority="653" operator="containsText" text="SIN RIESGO">
      <formula>NOT(ISERROR(SEARCH("SIN RIESGO",AK242)))</formula>
    </cfRule>
  </conditionalFormatting>
  <conditionalFormatting sqref="AG242:AH242">
    <cfRule type="cellIs" dxfId="680" priority="648" operator="equal">
      <formula>"SD"</formula>
    </cfRule>
    <cfRule type="cellIs" dxfId="679" priority="649" operator="equal">
      <formula>"NO"</formula>
    </cfRule>
    <cfRule type="cellIs" dxfId="678" priority="650" operator="equal">
      <formula>"SI"</formula>
    </cfRule>
  </conditionalFormatting>
  <conditionalFormatting sqref="AI242">
    <cfRule type="containsText" dxfId="677" priority="643" operator="containsText" text="HABITANTE DE CALLE">
      <formula>NOT(ISERROR(SEARCH("HABITANTE DE CALLE",AI242)))</formula>
    </cfRule>
    <cfRule type="containsText" dxfId="676" priority="644" operator="containsText" text="NINGUNO">
      <formula>NOT(ISERROR(SEARCH("NINGUNO",AI242)))</formula>
    </cfRule>
    <cfRule type="containsText" dxfId="675" priority="645" operator="containsText" text="MIGRATORIA">
      <formula>NOT(ISERROR(SEARCH("MIGRATORIA",AI242)))</formula>
    </cfRule>
    <cfRule type="containsText" dxfId="674" priority="646" operator="containsText" text="DISCAPACIDAD">
      <formula>NOT(ISERROR(SEARCH("DISCAPACIDAD",AI242)))</formula>
    </cfRule>
    <cfRule type="containsText" dxfId="673" priority="647" operator="containsText" text="DESPLAZADA">
      <formula>NOT(ISERROR(SEARCH("DESPLAZADA",AI242)))</formula>
    </cfRule>
  </conditionalFormatting>
  <conditionalFormatting sqref="AJ242">
    <cfRule type="cellIs" dxfId="672" priority="640" operator="equal">
      <formula>"SD"</formula>
    </cfRule>
    <cfRule type="cellIs" dxfId="671" priority="641" operator="equal">
      <formula>"NO"</formula>
    </cfRule>
    <cfRule type="cellIs" dxfId="670" priority="642" operator="equal">
      <formula>"SI"</formula>
    </cfRule>
  </conditionalFormatting>
  <conditionalFormatting sqref="AT242:AW242">
    <cfRule type="cellIs" dxfId="669" priority="637" operator="equal">
      <formula>"SD"</formula>
    </cfRule>
    <cfRule type="cellIs" dxfId="668" priority="638" operator="equal">
      <formula>"NO"</formula>
    </cfRule>
    <cfRule type="cellIs" dxfId="667" priority="639" operator="equal">
      <formula>"SI"</formula>
    </cfRule>
  </conditionalFormatting>
  <conditionalFormatting sqref="AW242">
    <cfRule type="cellIs" dxfId="666" priority="634" operator="equal">
      <formula>1</formula>
    </cfRule>
    <cfRule type="cellIs" dxfId="665" priority="635" operator="equal">
      <formula>"3 O MAS"</formula>
    </cfRule>
    <cfRule type="cellIs" dxfId="664" priority="636" operator="equal">
      <formula>2</formula>
    </cfRule>
  </conditionalFormatting>
  <conditionalFormatting sqref="AX242 BA242">
    <cfRule type="cellIs" dxfId="663" priority="631" operator="equal">
      <formula>"SD"</formula>
    </cfRule>
    <cfRule type="cellIs" dxfId="662" priority="632" operator="equal">
      <formula>"NO"</formula>
    </cfRule>
    <cfRule type="cellIs" dxfId="661" priority="633" operator="equal">
      <formula>"SI"</formula>
    </cfRule>
  </conditionalFormatting>
  <conditionalFormatting sqref="AY242">
    <cfRule type="containsText" dxfId="660" priority="626" operator="containsText" text="SD">
      <formula>NOT(ISERROR(SEARCH("SD",AY242)))</formula>
    </cfRule>
    <cfRule type="containsText" dxfId="659" priority="627" operator="containsText" text="SI, NO CONTROLADA">
      <formula>NOT(ISERROR(SEARCH("SI, NO CONTROLADA",AY242)))</formula>
    </cfRule>
    <cfRule type="containsText" dxfId="658" priority="628" operator="containsText" text="SI, SIN MANEJO">
      <formula>NOT(ISERROR(SEARCH("SI, SIN MANEJO",AY242)))</formula>
    </cfRule>
    <cfRule type="containsText" dxfId="657" priority="629" operator="containsText" text="SI, CONTROLADA">
      <formula>NOT(ISERROR(SEARCH("SI, CONTROLADA",AY242)))</formula>
    </cfRule>
    <cfRule type="containsText" dxfId="656" priority="630" operator="containsText" text="NO">
      <formula>NOT(ISERROR(SEARCH("NO",AY242)))</formula>
    </cfRule>
  </conditionalFormatting>
  <conditionalFormatting sqref="AZ242">
    <cfRule type="containsText" dxfId="655" priority="621" operator="containsText" text="SD">
      <formula>NOT(ISERROR(SEARCH("SD",AZ242)))</formula>
    </cfRule>
    <cfRule type="containsText" dxfId="654" priority="622" operator="containsText" text="SI, NO CONTROLADA">
      <formula>NOT(ISERROR(SEARCH("SI, NO CONTROLADA",AZ242)))</formula>
    </cfRule>
    <cfRule type="containsText" dxfId="653" priority="623" operator="containsText" text="SI, SIN MANEJO">
      <formula>NOT(ISERROR(SEARCH("SI, SIN MANEJO",AZ242)))</formula>
    </cfRule>
    <cfRule type="containsText" dxfId="652" priority="624" operator="containsText" text="SI, CONTROLADA">
      <formula>NOT(ISERROR(SEARCH("SI, CONTROLADA",AZ242)))</formula>
    </cfRule>
    <cfRule type="containsText" dxfId="651" priority="625" operator="containsText" text="NO">
      <formula>NOT(ISERROR(SEARCH("NO",AZ242)))</formula>
    </cfRule>
  </conditionalFormatting>
  <conditionalFormatting sqref="BB242">
    <cfRule type="cellIs" dxfId="650" priority="618" operator="equal">
      <formula>"SD"</formula>
    </cfRule>
    <cfRule type="cellIs" dxfId="649" priority="619" operator="equal">
      <formula>"NO"</formula>
    </cfRule>
    <cfRule type="cellIs" dxfId="648" priority="620" operator="equal">
      <formula>"SI"</formula>
    </cfRule>
  </conditionalFormatting>
  <conditionalFormatting sqref="BC242">
    <cfRule type="cellIs" dxfId="647" priority="615" operator="equal">
      <formula>"SD"</formula>
    </cfRule>
    <cfRule type="cellIs" dxfId="646" priority="616" operator="equal">
      <formula>"NO"</formula>
    </cfRule>
    <cfRule type="cellIs" dxfId="645" priority="617" operator="equal">
      <formula>"SI"</formula>
    </cfRule>
  </conditionalFormatting>
  <conditionalFormatting sqref="BF242">
    <cfRule type="cellIs" dxfId="644" priority="612" operator="equal">
      <formula>"SD"</formula>
    </cfRule>
    <cfRule type="cellIs" dxfId="643" priority="613" operator="equal">
      <formula>"NO"</formula>
    </cfRule>
    <cfRule type="cellIs" dxfId="642" priority="614" operator="equal">
      <formula>"SI"</formula>
    </cfRule>
  </conditionalFormatting>
  <conditionalFormatting sqref="BD242:BE242">
    <cfRule type="cellIs" dxfId="641" priority="609" operator="equal">
      <formula>"SD"</formula>
    </cfRule>
    <cfRule type="cellIs" dxfId="640" priority="610" operator="equal">
      <formula>"NO"</formula>
    </cfRule>
    <cfRule type="cellIs" dxfId="639" priority="611" operator="equal">
      <formula>"SI"</formula>
    </cfRule>
  </conditionalFormatting>
  <conditionalFormatting sqref="BE242">
    <cfRule type="expression" dxfId="638" priority="608">
      <formula>IF(AND(FA242&gt;=126,FC242&lt;24),1,0)</formula>
    </cfRule>
  </conditionalFormatting>
  <conditionalFormatting sqref="BG242">
    <cfRule type="cellIs" dxfId="637" priority="605" operator="equal">
      <formula>"SD"</formula>
    </cfRule>
    <cfRule type="cellIs" dxfId="636" priority="606" operator="equal">
      <formula>"NO"</formula>
    </cfRule>
    <cfRule type="cellIs" dxfId="635" priority="607" operator="equal">
      <formula>"SI"</formula>
    </cfRule>
  </conditionalFormatting>
  <conditionalFormatting sqref="BH242">
    <cfRule type="cellIs" dxfId="634" priority="602" operator="equal">
      <formula>"SD"</formula>
    </cfRule>
    <cfRule type="cellIs" dxfId="633" priority="603" operator="equal">
      <formula>"NO"</formula>
    </cfRule>
    <cfRule type="cellIs" dxfId="632" priority="604" operator="equal">
      <formula>"SI"</formula>
    </cfRule>
  </conditionalFormatting>
  <conditionalFormatting sqref="BI242">
    <cfRule type="cellIs" dxfId="631" priority="599" operator="equal">
      <formula>"SD"</formula>
    </cfRule>
    <cfRule type="cellIs" dxfId="630" priority="600" operator="equal">
      <formula>"NO"</formula>
    </cfRule>
    <cfRule type="cellIs" dxfId="629" priority="601" operator="equal">
      <formula>"SI"</formula>
    </cfRule>
  </conditionalFormatting>
  <conditionalFormatting sqref="BJ242">
    <cfRule type="cellIs" dxfId="628" priority="596" operator="equal">
      <formula>"SD"</formula>
    </cfRule>
    <cfRule type="cellIs" dxfId="627" priority="597" operator="equal">
      <formula>"NO"</formula>
    </cfRule>
    <cfRule type="cellIs" dxfId="626" priority="598" operator="equal">
      <formula>"SI"</formula>
    </cfRule>
  </conditionalFormatting>
  <conditionalFormatting sqref="BL242:BM242">
    <cfRule type="cellIs" dxfId="625" priority="593" operator="equal">
      <formula>"SD"</formula>
    </cfRule>
    <cfRule type="cellIs" dxfId="624" priority="594" operator="equal">
      <formula>"NO"</formula>
    </cfRule>
    <cfRule type="cellIs" dxfId="623" priority="595" operator="equal">
      <formula>"SI"</formula>
    </cfRule>
  </conditionalFormatting>
  <conditionalFormatting sqref="BK242">
    <cfRule type="cellIs" dxfId="622" priority="590" operator="equal">
      <formula>"SD"</formula>
    </cfRule>
    <cfRule type="cellIs" dxfId="621" priority="591" operator="equal">
      <formula>"NO"</formula>
    </cfRule>
    <cfRule type="cellIs" dxfId="620" priority="592" operator="equal">
      <formula>"SI"</formula>
    </cfRule>
  </conditionalFormatting>
  <conditionalFormatting sqref="L243">
    <cfRule type="containsText" dxfId="619" priority="581" operator="containsText" text="Empleo informal">
      <formula>NOT(ISERROR(SEARCH("Empleo informal",L243)))</formula>
    </cfRule>
    <cfRule type="containsText" dxfId="618" priority="582" operator="containsText" text="Empleada formalmente con riesgo a tóxicos">
      <formula>NOT(ISERROR(SEARCH("Empleada formalmente con riesgo a tóxicos",L243)))</formula>
    </cfRule>
    <cfRule type="containsText" dxfId="617" priority="583" operator="containsText" text="Empleada formalmente con riesgo de accidente laboral">
      <formula>NOT(ISERROR(SEARCH("Empleada formalmente con riesgo de accidente laboral",L243)))</formula>
    </cfRule>
    <cfRule type="containsText" dxfId="616" priority="584" operator="containsText" text="Empleada formalmente por jornada laboral extensa">
      <formula>NOT(ISERROR(SEARCH("Empleada formalmente por jornada laboral extensa",L243)))</formula>
    </cfRule>
    <cfRule type="containsText" dxfId="615" priority="585" operator="containsText" text="Empleada formalmente sin riesgo">
      <formula>NOT(ISERROR(SEARCH("Empleada formalmente sin riesgo",L243)))</formula>
    </cfRule>
    <cfRule type="containsText" dxfId="614" priority="586" operator="containsText" text="Actualmente desempleada">
      <formula>NOT(ISERROR(SEARCH("Actualmente desempleada",L243)))</formula>
    </cfRule>
    <cfRule type="containsText" dxfId="613" priority="587" operator="containsText" text="Hogar sin apoyo">
      <formula>NOT(ISERROR(SEARCH("Hogar sin apoyo",L243)))</formula>
    </cfRule>
    <cfRule type="containsText" dxfId="612" priority="588" operator="containsText" text="Empleada formalmente sin riesgo">
      <formula>NOT(ISERROR(SEARCH("Empleada formalmente sin riesgo",L243)))</formula>
    </cfRule>
    <cfRule type="containsText" dxfId="611" priority="589" operator="containsText" text="Hogar Con apoyo">
      <formula>NOT(ISERROR(SEARCH("Hogar Con apoyo",L243)))</formula>
    </cfRule>
  </conditionalFormatting>
  <conditionalFormatting sqref="AC243">
    <cfRule type="containsText" dxfId="610" priority="577" operator="containsText" text="SABE">
      <formula>NOT(ISERROR(SEARCH("SABE",AC243)))</formula>
    </cfRule>
    <cfRule type="containsText" dxfId="609" priority="578" operator="containsText" text="SECUNDARIA">
      <formula>NOT(ISERROR(SEARCH("SECUNDARIA",AC243)))</formula>
    </cfRule>
    <cfRule type="containsText" dxfId="608" priority="579" operator="containsText" text="PRIMARIA INCOMPLETA">
      <formula>NOT(ISERROR(SEARCH("PRIMARIA INCOMPLETA",AC243)))</formula>
    </cfRule>
    <cfRule type="cellIs" dxfId="607" priority="580" operator="equal">
      <formula>"ANALFABETA"</formula>
    </cfRule>
  </conditionalFormatting>
  <conditionalFormatting sqref="AD243">
    <cfRule type="containsText" dxfId="606" priority="574" operator="containsText" text="No Consume">
      <formula>NOT(ISERROR(SEARCH("No Consume",AD243)))</formula>
    </cfRule>
    <cfRule type="containsText" dxfId="605" priority="575" operator="containsText" text="Hasta Antes de la Gestación">
      <formula>NOT(ISERROR(SEARCH("Hasta Antes de la Gestación",AD243)))</formula>
    </cfRule>
    <cfRule type="containsText" dxfId="604" priority="576" operator="containsText" text="Consumo Actual">
      <formula>NOT(ISERROR(SEARCH("Consumo Actual",AD243)))</formula>
    </cfRule>
  </conditionalFormatting>
  <conditionalFormatting sqref="AE243:AF243">
    <cfRule type="containsText" dxfId="603" priority="572" operator="containsText" text="NO">
      <formula>NOT(ISERROR(SEARCH("NO",AE243)))</formula>
    </cfRule>
    <cfRule type="containsText" dxfId="602" priority="573" operator="containsText" text="SI">
      <formula>NOT(ISERROR(SEARCH("SI",AE243)))</formula>
    </cfRule>
  </conditionalFormatting>
  <conditionalFormatting sqref="AL243:AR243">
    <cfRule type="cellIs" dxfId="601" priority="569" operator="equal">
      <formula>"SD"</formula>
    </cfRule>
    <cfRule type="cellIs" dxfId="600" priority="570" operator="equal">
      <formula>"NO"</formula>
    </cfRule>
    <cfRule type="cellIs" dxfId="599" priority="571" operator="equal">
      <formula>"SI"</formula>
    </cfRule>
  </conditionalFormatting>
  <conditionalFormatting sqref="AK243">
    <cfRule type="containsText" dxfId="598" priority="566" operator="containsText" text="COMPLETAR EVALUACIÓN">
      <formula>NOT(ISERROR(SEARCH("COMPLETAR EVALUACIÓN",AK243)))</formula>
    </cfRule>
    <cfRule type="containsText" dxfId="597" priority="567" operator="containsText" text="CON RIESGO">
      <formula>NOT(ISERROR(SEARCH("CON RIESGO",AK243)))</formula>
    </cfRule>
    <cfRule type="containsText" dxfId="596" priority="568" operator="containsText" text="SIN RIESGO">
      <formula>NOT(ISERROR(SEARCH("SIN RIESGO",AK243)))</formula>
    </cfRule>
  </conditionalFormatting>
  <conditionalFormatting sqref="AG243:AH243">
    <cfRule type="cellIs" dxfId="595" priority="563" operator="equal">
      <formula>"SD"</formula>
    </cfRule>
    <cfRule type="cellIs" dxfId="594" priority="564" operator="equal">
      <formula>"NO"</formula>
    </cfRule>
    <cfRule type="cellIs" dxfId="593" priority="565" operator="equal">
      <formula>"SI"</formula>
    </cfRule>
  </conditionalFormatting>
  <conditionalFormatting sqref="AI243">
    <cfRule type="containsText" dxfId="592" priority="558" operator="containsText" text="HABITANTE DE CALLE">
      <formula>NOT(ISERROR(SEARCH("HABITANTE DE CALLE",AI243)))</formula>
    </cfRule>
    <cfRule type="containsText" dxfId="591" priority="559" operator="containsText" text="NINGUNO">
      <formula>NOT(ISERROR(SEARCH("NINGUNO",AI243)))</formula>
    </cfRule>
    <cfRule type="containsText" dxfId="590" priority="560" operator="containsText" text="MIGRATORIA">
      <formula>NOT(ISERROR(SEARCH("MIGRATORIA",AI243)))</formula>
    </cfRule>
    <cfRule type="containsText" dxfId="589" priority="561" operator="containsText" text="DISCAPACIDAD">
      <formula>NOT(ISERROR(SEARCH("DISCAPACIDAD",AI243)))</formula>
    </cfRule>
    <cfRule type="containsText" dxfId="588" priority="562" operator="containsText" text="DESPLAZADA">
      <formula>NOT(ISERROR(SEARCH("DESPLAZADA",AI243)))</formula>
    </cfRule>
  </conditionalFormatting>
  <conditionalFormatting sqref="AJ243">
    <cfRule type="cellIs" dxfId="587" priority="555" operator="equal">
      <formula>"SD"</formula>
    </cfRule>
    <cfRule type="cellIs" dxfId="586" priority="556" operator="equal">
      <formula>"NO"</formula>
    </cfRule>
    <cfRule type="cellIs" dxfId="585" priority="557" operator="equal">
      <formula>"SI"</formula>
    </cfRule>
  </conditionalFormatting>
  <conditionalFormatting sqref="AV243">
    <cfRule type="cellIs" dxfId="584" priority="552" operator="equal">
      <formula>"SD"</formula>
    </cfRule>
    <cfRule type="cellIs" dxfId="583" priority="553" operator="equal">
      <formula>"NO"</formula>
    </cfRule>
    <cfRule type="cellIs" dxfId="582" priority="554" operator="equal">
      <formula>"SI"</formula>
    </cfRule>
  </conditionalFormatting>
  <conditionalFormatting sqref="AX243 BA243">
    <cfRule type="cellIs" dxfId="581" priority="549" operator="equal">
      <formula>"SD"</formula>
    </cfRule>
    <cfRule type="cellIs" dxfId="580" priority="550" operator="equal">
      <formula>"NO"</formula>
    </cfRule>
    <cfRule type="cellIs" dxfId="579" priority="551" operator="equal">
      <formula>"SI"</formula>
    </cfRule>
  </conditionalFormatting>
  <conditionalFormatting sqref="AY243">
    <cfRule type="containsText" dxfId="578" priority="544" operator="containsText" text="SD">
      <formula>NOT(ISERROR(SEARCH("SD",AY243)))</formula>
    </cfRule>
    <cfRule type="containsText" dxfId="577" priority="545" operator="containsText" text="SI, NO CONTROLADA">
      <formula>NOT(ISERROR(SEARCH("SI, NO CONTROLADA",AY243)))</formula>
    </cfRule>
    <cfRule type="containsText" dxfId="576" priority="546" operator="containsText" text="SI, SIN MANEJO">
      <formula>NOT(ISERROR(SEARCH("SI, SIN MANEJO",AY243)))</formula>
    </cfRule>
    <cfRule type="containsText" dxfId="575" priority="547" operator="containsText" text="SI, CONTROLADA">
      <formula>NOT(ISERROR(SEARCH("SI, CONTROLADA",AY243)))</formula>
    </cfRule>
    <cfRule type="containsText" dxfId="574" priority="548" operator="containsText" text="NO">
      <formula>NOT(ISERROR(SEARCH("NO",AY243)))</formula>
    </cfRule>
  </conditionalFormatting>
  <conditionalFormatting sqref="AZ243">
    <cfRule type="containsText" dxfId="573" priority="539" operator="containsText" text="SD">
      <formula>NOT(ISERROR(SEARCH("SD",AZ243)))</formula>
    </cfRule>
    <cfRule type="containsText" dxfId="572" priority="540" operator="containsText" text="SI, NO CONTROLADA">
      <formula>NOT(ISERROR(SEARCH("SI, NO CONTROLADA",AZ243)))</formula>
    </cfRule>
    <cfRule type="containsText" dxfId="571" priority="541" operator="containsText" text="SI, SIN MANEJO">
      <formula>NOT(ISERROR(SEARCH("SI, SIN MANEJO",AZ243)))</formula>
    </cfRule>
    <cfRule type="containsText" dxfId="570" priority="542" operator="containsText" text="SI, CONTROLADA">
      <formula>NOT(ISERROR(SEARCH("SI, CONTROLADA",AZ243)))</formula>
    </cfRule>
    <cfRule type="containsText" dxfId="569" priority="543" operator="containsText" text="NO">
      <formula>NOT(ISERROR(SEARCH("NO",AZ243)))</formula>
    </cfRule>
  </conditionalFormatting>
  <conditionalFormatting sqref="BB243">
    <cfRule type="cellIs" dxfId="568" priority="536" operator="equal">
      <formula>"SD"</formula>
    </cfRule>
    <cfRule type="cellIs" dxfId="567" priority="537" operator="equal">
      <formula>"NO"</formula>
    </cfRule>
    <cfRule type="cellIs" dxfId="566" priority="538" operator="equal">
      <formula>"SI"</formula>
    </cfRule>
  </conditionalFormatting>
  <conditionalFormatting sqref="BC243">
    <cfRule type="cellIs" dxfId="565" priority="533" operator="equal">
      <formula>"SD"</formula>
    </cfRule>
    <cfRule type="cellIs" dxfId="564" priority="534" operator="equal">
      <formula>"NO"</formula>
    </cfRule>
    <cfRule type="cellIs" dxfId="563" priority="535" operator="equal">
      <formula>"SI"</formula>
    </cfRule>
  </conditionalFormatting>
  <conditionalFormatting sqref="BF243">
    <cfRule type="cellIs" dxfId="562" priority="530" operator="equal">
      <formula>"SD"</formula>
    </cfRule>
    <cfRule type="cellIs" dxfId="561" priority="531" operator="equal">
      <formula>"NO"</formula>
    </cfRule>
    <cfRule type="cellIs" dxfId="560" priority="532" operator="equal">
      <formula>"SI"</formula>
    </cfRule>
  </conditionalFormatting>
  <conditionalFormatting sqref="BD243:BE243">
    <cfRule type="cellIs" dxfId="559" priority="527" operator="equal">
      <formula>"SD"</formula>
    </cfRule>
    <cfRule type="cellIs" dxfId="558" priority="528" operator="equal">
      <formula>"NO"</formula>
    </cfRule>
    <cfRule type="cellIs" dxfId="557" priority="529" operator="equal">
      <formula>"SI"</formula>
    </cfRule>
  </conditionalFormatting>
  <conditionalFormatting sqref="BE243">
    <cfRule type="expression" dxfId="556" priority="526">
      <formula>IF(AND(FA243&gt;=126,FC243&lt;24),1,0)</formula>
    </cfRule>
  </conditionalFormatting>
  <conditionalFormatting sqref="BG243">
    <cfRule type="cellIs" dxfId="555" priority="523" operator="equal">
      <formula>"SD"</formula>
    </cfRule>
    <cfRule type="cellIs" dxfId="554" priority="524" operator="equal">
      <formula>"NO"</formula>
    </cfRule>
    <cfRule type="cellIs" dxfId="553" priority="525" operator="equal">
      <formula>"SI"</formula>
    </cfRule>
  </conditionalFormatting>
  <conditionalFormatting sqref="BH243">
    <cfRule type="cellIs" dxfId="552" priority="520" operator="equal">
      <formula>"SD"</formula>
    </cfRule>
    <cfRule type="cellIs" dxfId="551" priority="521" operator="equal">
      <formula>"NO"</formula>
    </cfRule>
    <cfRule type="cellIs" dxfId="550" priority="522" operator="equal">
      <formula>"SI"</formula>
    </cfRule>
  </conditionalFormatting>
  <conditionalFormatting sqref="BI243">
    <cfRule type="cellIs" dxfId="549" priority="517" operator="equal">
      <formula>"SD"</formula>
    </cfRule>
    <cfRule type="cellIs" dxfId="548" priority="518" operator="equal">
      <formula>"NO"</formula>
    </cfRule>
    <cfRule type="cellIs" dxfId="547" priority="519" operator="equal">
      <formula>"SI"</formula>
    </cfRule>
  </conditionalFormatting>
  <conditionalFormatting sqref="BJ243">
    <cfRule type="cellIs" dxfId="546" priority="514" operator="equal">
      <formula>"SD"</formula>
    </cfRule>
    <cfRule type="cellIs" dxfId="545" priority="515" operator="equal">
      <formula>"NO"</formula>
    </cfRule>
    <cfRule type="cellIs" dxfId="544" priority="516" operator="equal">
      <formula>"SI"</formula>
    </cfRule>
  </conditionalFormatting>
  <conditionalFormatting sqref="BL243:BM243">
    <cfRule type="cellIs" dxfId="543" priority="511" operator="equal">
      <formula>"SD"</formula>
    </cfRule>
    <cfRule type="cellIs" dxfId="542" priority="512" operator="equal">
      <formula>"NO"</formula>
    </cfRule>
    <cfRule type="cellIs" dxfId="541" priority="513" operator="equal">
      <formula>"SI"</formula>
    </cfRule>
  </conditionalFormatting>
  <conditionalFormatting sqref="BK243">
    <cfRule type="cellIs" dxfId="540" priority="508" operator="equal">
      <formula>"SD"</formula>
    </cfRule>
    <cfRule type="cellIs" dxfId="539" priority="509" operator="equal">
      <formula>"NO"</formula>
    </cfRule>
    <cfRule type="cellIs" dxfId="538" priority="510" operator="equal">
      <formula>"SI"</formula>
    </cfRule>
  </conditionalFormatting>
  <conditionalFormatting sqref="HS243">
    <cfRule type="expression" dxfId="537" priority="507">
      <formula>IF(HT243="No Aplica para suministro de ASA",1,"")</formula>
    </cfRule>
  </conditionalFormatting>
  <conditionalFormatting sqref="HU243">
    <cfRule type="expression" dxfId="536" priority="506">
      <formula>IF(HV243="No Aplica para suministro de ASA",1,"")</formula>
    </cfRule>
  </conditionalFormatting>
  <conditionalFormatting sqref="HW243">
    <cfRule type="expression" dxfId="535" priority="505">
      <formula>IF(HX243="No Aplica para suministro de ASA",1,"")</formula>
    </cfRule>
  </conditionalFormatting>
  <conditionalFormatting sqref="HT243">
    <cfRule type="containsText" dxfId="534" priority="500" operator="containsText" text="NO SE FORMULA">
      <formula>NOT(ISERROR(SEARCH("NO SE FORMULA",HT243)))</formula>
    </cfRule>
    <cfRule type="containsText" dxfId="533" priority="501" operator="containsText" text="OTRO">
      <formula>NOT(ISERROR(SEARCH("OTRO",HT243)))</formula>
    </cfRule>
    <cfRule type="containsText" dxfId="532" priority="502" operator="containsText" text="IRREGULAR">
      <formula>NOT(ISERROR(SEARCH("IRREGULAR",HT243)))</formula>
    </cfRule>
    <cfRule type="containsText" dxfId="531" priority="503" operator="containsText" text="ADECUADO">
      <formula>NOT(ISERROR(SEARCH("ADECUADO",HT243)))</formula>
    </cfRule>
  </conditionalFormatting>
  <conditionalFormatting sqref="DA99">
    <cfRule type="expression" dxfId="530" priority="499">
      <formula>IF(DC99="NO APLICA-INGRESO TARDIO",1,"")</formula>
    </cfRule>
  </conditionalFormatting>
  <conditionalFormatting sqref="DB99">
    <cfRule type="containsText" dxfId="529" priority="494" operator="containsText" text="NORMAL">
      <formula>NOT(ISERROR(SEARCH("NORMAL",DB99)))</formula>
    </cfRule>
    <cfRule type="containsText" dxfId="528" priority="495" operator="containsText" text="VIGILAR">
      <formula>NOT(ISERROR(SEARCH("VIGILAR",DB99)))</formula>
    </cfRule>
    <cfRule type="containsText" dxfId="527" priority="496" operator="containsText" text="HTA">
      <formula>NOT(ISERROR(SEARCH("HTA",DB99)))</formula>
    </cfRule>
    <cfRule type="containsText" dxfId="526" priority="497" operator="containsText" text="ACUDE A CONTROL SEM 30 A 34- REGISTRE AHORA">
      <formula>NOT(ISERROR(SEARCH("ACUDE A CONTROL SEM 30 A 34- REGISTRE AHORA",DB99)))</formula>
    </cfRule>
    <cfRule type="containsText" dxfId="525" priority="498" operator="containsText" text="NO APLICA">
      <formula>NOT(ISERROR(SEARCH("NO APLICA",DB99)))</formula>
    </cfRule>
  </conditionalFormatting>
  <conditionalFormatting sqref="FB185">
    <cfRule type="containsText" dxfId="524" priority="490" operator="containsText" text="RH NEGATIVO SIN COOMB">
      <formula>NOT(ISERROR(SEARCH("RH NEGATIVO SIN COOMB",FB185)))</formula>
    </cfRule>
    <cfRule type="containsText" dxfId="523" priority="491" operator="containsText" text="RH NEGATIVO CON COOMBS POSITIVO">
      <formula>NOT(ISERROR(SEARCH("RH NEGATIVO CON COOMBS POSITIVO",FB185)))</formula>
    </cfRule>
    <cfRule type="containsText" dxfId="522" priority="492" operator="containsText" text="RH NEGATIVO CON COOMBS NEGATIVO">
      <formula>NOT(ISERROR(SEARCH("RH NEGATIVO CON COOMBS NEGATIVO",FB185)))</formula>
    </cfRule>
    <cfRule type="containsText" dxfId="521" priority="493" operator="containsText" text="RH POSITIVO">
      <formula>NOT(ISERROR(SEARCH("RH POSITIVO",FB185)))</formula>
    </cfRule>
  </conditionalFormatting>
  <conditionalFormatting sqref="FK185">
    <cfRule type="containsText" dxfId="520" priority="486" operator="containsText" text="RH NEGATIVO SIN COOMB">
      <formula>NOT(ISERROR(SEARCH("RH NEGATIVO SIN COOMB",FK185)))</formula>
    </cfRule>
    <cfRule type="containsText" dxfId="519" priority="487" operator="containsText" text="RH NEGATIVO CON COOMBS POSITIVO">
      <formula>NOT(ISERROR(SEARCH("RH NEGATIVO CON COOMBS POSITIVO",FK185)))</formula>
    </cfRule>
    <cfRule type="containsText" dxfId="518" priority="488" operator="containsText" text="RH NEGATIVO CON COOMBS NEGATIVO">
      <formula>NOT(ISERROR(SEARCH("RH NEGATIVO CON COOMBS NEGATIVO",FK185)))</formula>
    </cfRule>
    <cfRule type="containsText" dxfId="517" priority="489" operator="containsText" text="RH POSITIVO">
      <formula>NOT(ISERROR(SEARCH("RH POSITIVO",FK185)))</formula>
    </cfRule>
  </conditionalFormatting>
  <conditionalFormatting sqref="FZ185">
    <cfRule type="containsText" dxfId="516" priority="482" operator="containsText" text="RH NEGATIVO SIN COOMB">
      <formula>NOT(ISERROR(SEARCH("RH NEGATIVO SIN COOMB",FZ185)))</formula>
    </cfRule>
    <cfRule type="containsText" dxfId="515" priority="483" operator="containsText" text="RH NEGATIVO CON COOMBS POSITIVO">
      <formula>NOT(ISERROR(SEARCH("RH NEGATIVO CON COOMBS POSITIVO",FZ185)))</formula>
    </cfRule>
    <cfRule type="containsText" dxfId="514" priority="484" operator="containsText" text="RH NEGATIVO CON COOMBS NEGATIVO">
      <formula>NOT(ISERROR(SEARCH("RH NEGATIVO CON COOMBS NEGATIVO",FZ185)))</formula>
    </cfRule>
    <cfRule type="containsText" dxfId="513" priority="485" operator="containsText" text="RH POSITIVO">
      <formula>NOT(ISERROR(SEARCH("RH POSITIVO",FZ185)))</formula>
    </cfRule>
  </conditionalFormatting>
  <conditionalFormatting sqref="GO185">
    <cfRule type="containsText" dxfId="512" priority="478" operator="containsText" text="RH NEGATIVO SIN COOMB">
      <formula>NOT(ISERROR(SEARCH("RH NEGATIVO SIN COOMB",GO185)))</formula>
    </cfRule>
    <cfRule type="containsText" dxfId="511" priority="479" operator="containsText" text="RH NEGATIVO CON COOMBS POSITIVO">
      <formula>NOT(ISERROR(SEARCH("RH NEGATIVO CON COOMBS POSITIVO",GO185)))</formula>
    </cfRule>
    <cfRule type="containsText" dxfId="510" priority="480" operator="containsText" text="RH NEGATIVO CON COOMBS NEGATIVO">
      <formula>NOT(ISERROR(SEARCH("RH NEGATIVO CON COOMBS NEGATIVO",GO185)))</formula>
    </cfRule>
    <cfRule type="containsText" dxfId="509" priority="481" operator="containsText" text="RH POSITIVO">
      <formula>NOT(ISERROR(SEARCH("RH POSITIVO",GO185)))</formula>
    </cfRule>
  </conditionalFormatting>
  <conditionalFormatting sqref="GT185">
    <cfRule type="containsText" dxfId="508" priority="474" operator="containsText" text="RH NEGATIVO SIN COOMB">
      <formula>NOT(ISERROR(SEARCH("RH NEGATIVO SIN COOMB",GT185)))</formula>
    </cfRule>
    <cfRule type="containsText" dxfId="507" priority="475" operator="containsText" text="RH NEGATIVO CON COOMBS POSITIVO">
      <formula>NOT(ISERROR(SEARCH("RH NEGATIVO CON COOMBS POSITIVO",GT185)))</formula>
    </cfRule>
    <cfRule type="containsText" dxfId="506" priority="476" operator="containsText" text="RH NEGATIVO CON COOMBS NEGATIVO">
      <formula>NOT(ISERROR(SEARCH("RH NEGATIVO CON COOMBS NEGATIVO",GT185)))</formula>
    </cfRule>
    <cfRule type="containsText" dxfId="505" priority="477" operator="containsText" text="RH POSITIVO">
      <formula>NOT(ISERROR(SEARCH("RH POSITIVO",GT185)))</formula>
    </cfRule>
  </conditionalFormatting>
  <conditionalFormatting sqref="DA150:DB150">
    <cfRule type="expression" dxfId="504" priority="473">
      <formula>IF(DC150="NO APLICA-INGRESO TARDIO",1,"")</formula>
    </cfRule>
  </conditionalFormatting>
  <conditionalFormatting sqref="L244">
    <cfRule type="containsText" dxfId="503" priority="464" operator="containsText" text="Empleo informal">
      <formula>NOT(ISERROR(SEARCH("Empleo informal",L244)))</formula>
    </cfRule>
    <cfRule type="containsText" dxfId="502" priority="465" operator="containsText" text="Empleada formalmente con riesgo a tóxicos">
      <formula>NOT(ISERROR(SEARCH("Empleada formalmente con riesgo a tóxicos",L244)))</formula>
    </cfRule>
    <cfRule type="containsText" dxfId="501" priority="466" operator="containsText" text="Empleada formalmente con riesgo de accidente laboral">
      <formula>NOT(ISERROR(SEARCH("Empleada formalmente con riesgo de accidente laboral",L244)))</formula>
    </cfRule>
    <cfRule type="containsText" dxfId="500" priority="467" operator="containsText" text="Empleada formalmente por jornada laboral extensa">
      <formula>NOT(ISERROR(SEARCH("Empleada formalmente por jornada laboral extensa",L244)))</formula>
    </cfRule>
    <cfRule type="containsText" dxfId="499" priority="468" operator="containsText" text="Empleada formalmente sin riesgo">
      <formula>NOT(ISERROR(SEARCH("Empleada formalmente sin riesgo",L244)))</formula>
    </cfRule>
    <cfRule type="containsText" dxfId="498" priority="469" operator="containsText" text="Actualmente desempleada">
      <formula>NOT(ISERROR(SEARCH("Actualmente desempleada",L244)))</formula>
    </cfRule>
    <cfRule type="containsText" dxfId="497" priority="470" operator="containsText" text="Hogar sin apoyo">
      <formula>NOT(ISERROR(SEARCH("Hogar sin apoyo",L244)))</formula>
    </cfRule>
    <cfRule type="containsText" dxfId="496" priority="471" operator="containsText" text="Empleada formalmente sin riesgo">
      <formula>NOT(ISERROR(SEARCH("Empleada formalmente sin riesgo",L244)))</formula>
    </cfRule>
    <cfRule type="containsText" dxfId="495" priority="472" operator="containsText" text="Hogar Con apoyo">
      <formula>NOT(ISERROR(SEARCH("Hogar Con apoyo",L244)))</formula>
    </cfRule>
  </conditionalFormatting>
  <conditionalFormatting sqref="AC244">
    <cfRule type="containsText" dxfId="494" priority="460" operator="containsText" text="SABE">
      <formula>NOT(ISERROR(SEARCH("SABE",AC244)))</formula>
    </cfRule>
    <cfRule type="containsText" dxfId="493" priority="461" operator="containsText" text="SECUNDARIA">
      <formula>NOT(ISERROR(SEARCH("SECUNDARIA",AC244)))</formula>
    </cfRule>
    <cfRule type="containsText" dxfId="492" priority="462" operator="containsText" text="PRIMARIA INCOMPLETA">
      <formula>NOT(ISERROR(SEARCH("PRIMARIA INCOMPLETA",AC244)))</formula>
    </cfRule>
    <cfRule type="cellIs" dxfId="491" priority="463" operator="equal">
      <formula>"ANALFABETA"</formula>
    </cfRule>
  </conditionalFormatting>
  <conditionalFormatting sqref="AS244">
    <cfRule type="cellIs" dxfId="490" priority="457" operator="equal">
      <formula>"SD"</formula>
    </cfRule>
    <cfRule type="cellIs" dxfId="489" priority="458" operator="equal">
      <formula>"NO"</formula>
    </cfRule>
    <cfRule type="cellIs" dxfId="488" priority="459" operator="equal">
      <formula>"SI"</formula>
    </cfRule>
  </conditionalFormatting>
  <conditionalFormatting sqref="AD244">
    <cfRule type="containsText" dxfId="487" priority="454" operator="containsText" text="No Consume">
      <formula>NOT(ISERROR(SEARCH("No Consume",AD244)))</formula>
    </cfRule>
    <cfRule type="containsText" dxfId="486" priority="455" operator="containsText" text="Hasta Antes de la Gestación">
      <formula>NOT(ISERROR(SEARCH("Hasta Antes de la Gestación",AD244)))</formula>
    </cfRule>
    <cfRule type="containsText" dxfId="485" priority="456" operator="containsText" text="Consumo Actual">
      <formula>NOT(ISERROR(SEARCH("Consumo Actual",AD244)))</formula>
    </cfRule>
  </conditionalFormatting>
  <conditionalFormatting sqref="AE244:AF244">
    <cfRule type="containsText" dxfId="484" priority="452" operator="containsText" text="NO">
      <formula>NOT(ISERROR(SEARCH("NO",AE244)))</formula>
    </cfRule>
    <cfRule type="containsText" dxfId="483" priority="453" operator="containsText" text="SI">
      <formula>NOT(ISERROR(SEARCH("SI",AE244)))</formula>
    </cfRule>
  </conditionalFormatting>
  <conditionalFormatting sqref="AL244:AR244">
    <cfRule type="cellIs" dxfId="482" priority="449" operator="equal">
      <formula>"SD"</formula>
    </cfRule>
    <cfRule type="cellIs" dxfId="481" priority="450" operator="equal">
      <formula>"NO"</formula>
    </cfRule>
    <cfRule type="cellIs" dxfId="480" priority="451" operator="equal">
      <formula>"SI"</formula>
    </cfRule>
  </conditionalFormatting>
  <conditionalFormatting sqref="AK244">
    <cfRule type="containsText" dxfId="479" priority="446" operator="containsText" text="COMPLETAR EVALUACIÓN">
      <formula>NOT(ISERROR(SEARCH("COMPLETAR EVALUACIÓN",AK244)))</formula>
    </cfRule>
    <cfRule type="containsText" dxfId="478" priority="447" operator="containsText" text="CON RIESGO">
      <formula>NOT(ISERROR(SEARCH("CON RIESGO",AK244)))</formula>
    </cfRule>
    <cfRule type="containsText" dxfId="477" priority="448" operator="containsText" text="SIN RIESGO">
      <formula>NOT(ISERROR(SEARCH("SIN RIESGO",AK244)))</formula>
    </cfRule>
  </conditionalFormatting>
  <conditionalFormatting sqref="AG244:AH244">
    <cfRule type="cellIs" dxfId="476" priority="443" operator="equal">
      <formula>"SD"</formula>
    </cfRule>
    <cfRule type="cellIs" dxfId="475" priority="444" operator="equal">
      <formula>"NO"</formula>
    </cfRule>
    <cfRule type="cellIs" dxfId="474" priority="445" operator="equal">
      <formula>"SI"</formula>
    </cfRule>
  </conditionalFormatting>
  <conditionalFormatting sqref="AI244">
    <cfRule type="containsText" dxfId="473" priority="438" operator="containsText" text="HABITANTE DE CALLE">
      <formula>NOT(ISERROR(SEARCH("HABITANTE DE CALLE",AI244)))</formula>
    </cfRule>
    <cfRule type="containsText" dxfId="472" priority="439" operator="containsText" text="NINGUNO">
      <formula>NOT(ISERROR(SEARCH("NINGUNO",AI244)))</formula>
    </cfRule>
    <cfRule type="containsText" dxfId="471" priority="440" operator="containsText" text="MIGRATORIA">
      <formula>NOT(ISERROR(SEARCH("MIGRATORIA",AI244)))</formula>
    </cfRule>
    <cfRule type="containsText" dxfId="470" priority="441" operator="containsText" text="DISCAPACIDAD">
      <formula>NOT(ISERROR(SEARCH("DISCAPACIDAD",AI244)))</formula>
    </cfRule>
    <cfRule type="containsText" dxfId="469" priority="442" operator="containsText" text="DESPLAZADA">
      <formula>NOT(ISERROR(SEARCH("DESPLAZADA",AI244)))</formula>
    </cfRule>
  </conditionalFormatting>
  <conditionalFormatting sqref="AJ244">
    <cfRule type="cellIs" dxfId="468" priority="435" operator="equal">
      <formula>"SD"</formula>
    </cfRule>
    <cfRule type="cellIs" dxfId="467" priority="436" operator="equal">
      <formula>"NO"</formula>
    </cfRule>
    <cfRule type="cellIs" dxfId="466" priority="437" operator="equal">
      <formula>"SI"</formula>
    </cfRule>
  </conditionalFormatting>
  <conditionalFormatting sqref="AT244:AW244">
    <cfRule type="cellIs" dxfId="465" priority="432" operator="equal">
      <formula>"SD"</formula>
    </cfRule>
    <cfRule type="cellIs" dxfId="464" priority="433" operator="equal">
      <formula>"NO"</formula>
    </cfRule>
    <cfRule type="cellIs" dxfId="463" priority="434" operator="equal">
      <formula>"SI"</formula>
    </cfRule>
  </conditionalFormatting>
  <conditionalFormatting sqref="AW244">
    <cfRule type="cellIs" dxfId="462" priority="429" operator="equal">
      <formula>1</formula>
    </cfRule>
    <cfRule type="cellIs" dxfId="461" priority="430" operator="equal">
      <formula>"3 O MAS"</formula>
    </cfRule>
    <cfRule type="cellIs" dxfId="460" priority="431" operator="equal">
      <formula>2</formula>
    </cfRule>
  </conditionalFormatting>
  <conditionalFormatting sqref="AX244 BA244">
    <cfRule type="cellIs" dxfId="459" priority="426" operator="equal">
      <formula>"SD"</formula>
    </cfRule>
    <cfRule type="cellIs" dxfId="458" priority="427" operator="equal">
      <formula>"NO"</formula>
    </cfRule>
    <cfRule type="cellIs" dxfId="457" priority="428" operator="equal">
      <formula>"SI"</formula>
    </cfRule>
  </conditionalFormatting>
  <conditionalFormatting sqref="AY244">
    <cfRule type="containsText" dxfId="456" priority="421" operator="containsText" text="SD">
      <formula>NOT(ISERROR(SEARCH("SD",AY244)))</formula>
    </cfRule>
    <cfRule type="containsText" dxfId="455" priority="422" operator="containsText" text="SI, NO CONTROLADA">
      <formula>NOT(ISERROR(SEARCH("SI, NO CONTROLADA",AY244)))</formula>
    </cfRule>
    <cfRule type="containsText" dxfId="454" priority="423" operator="containsText" text="SI, SIN MANEJO">
      <formula>NOT(ISERROR(SEARCH("SI, SIN MANEJO",AY244)))</formula>
    </cfRule>
    <cfRule type="containsText" dxfId="453" priority="424" operator="containsText" text="SI, CONTROLADA">
      <formula>NOT(ISERROR(SEARCH("SI, CONTROLADA",AY244)))</formula>
    </cfRule>
    <cfRule type="containsText" dxfId="452" priority="425" operator="containsText" text="NO">
      <formula>NOT(ISERROR(SEARCH("NO",AY244)))</formula>
    </cfRule>
  </conditionalFormatting>
  <conditionalFormatting sqref="AZ244">
    <cfRule type="containsText" dxfId="451" priority="416" operator="containsText" text="SD">
      <formula>NOT(ISERROR(SEARCH("SD",AZ244)))</formula>
    </cfRule>
    <cfRule type="containsText" dxfId="450" priority="417" operator="containsText" text="SI, NO CONTROLADA">
      <formula>NOT(ISERROR(SEARCH("SI, NO CONTROLADA",AZ244)))</formula>
    </cfRule>
    <cfRule type="containsText" dxfId="449" priority="418" operator="containsText" text="SI, SIN MANEJO">
      <formula>NOT(ISERROR(SEARCH("SI, SIN MANEJO",AZ244)))</formula>
    </cfRule>
    <cfRule type="containsText" dxfId="448" priority="419" operator="containsText" text="SI, CONTROLADA">
      <formula>NOT(ISERROR(SEARCH("SI, CONTROLADA",AZ244)))</formula>
    </cfRule>
    <cfRule type="containsText" dxfId="447" priority="420" operator="containsText" text="NO">
      <formula>NOT(ISERROR(SEARCH("NO",AZ244)))</formula>
    </cfRule>
  </conditionalFormatting>
  <conditionalFormatting sqref="BB244">
    <cfRule type="cellIs" dxfId="446" priority="413" operator="equal">
      <formula>"SD"</formula>
    </cfRule>
    <cfRule type="cellIs" dxfId="445" priority="414" operator="equal">
      <formula>"NO"</formula>
    </cfRule>
    <cfRule type="cellIs" dxfId="444" priority="415" operator="equal">
      <formula>"SI"</formula>
    </cfRule>
  </conditionalFormatting>
  <conditionalFormatting sqref="BC244">
    <cfRule type="cellIs" dxfId="443" priority="410" operator="equal">
      <formula>"SD"</formula>
    </cfRule>
    <cfRule type="cellIs" dxfId="442" priority="411" operator="equal">
      <formula>"NO"</formula>
    </cfRule>
    <cfRule type="cellIs" dxfId="441" priority="412" operator="equal">
      <formula>"SI"</formula>
    </cfRule>
  </conditionalFormatting>
  <conditionalFormatting sqref="BF244">
    <cfRule type="cellIs" dxfId="440" priority="407" operator="equal">
      <formula>"SD"</formula>
    </cfRule>
    <cfRule type="cellIs" dxfId="439" priority="408" operator="equal">
      <formula>"NO"</formula>
    </cfRule>
    <cfRule type="cellIs" dxfId="438" priority="409" operator="equal">
      <formula>"SI"</formula>
    </cfRule>
  </conditionalFormatting>
  <conditionalFormatting sqref="BD244:BE244">
    <cfRule type="cellIs" dxfId="437" priority="404" operator="equal">
      <formula>"SD"</formula>
    </cfRule>
    <cfRule type="cellIs" dxfId="436" priority="405" operator="equal">
      <formula>"NO"</formula>
    </cfRule>
    <cfRule type="cellIs" dxfId="435" priority="406" operator="equal">
      <formula>"SI"</formula>
    </cfRule>
  </conditionalFormatting>
  <conditionalFormatting sqref="BE244">
    <cfRule type="expression" dxfId="434" priority="403">
      <formula>IF(AND(FA244&gt;=126,FC244&lt;24),1,0)</formula>
    </cfRule>
  </conditionalFormatting>
  <conditionalFormatting sqref="BG244">
    <cfRule type="cellIs" dxfId="433" priority="400" operator="equal">
      <formula>"SD"</formula>
    </cfRule>
    <cfRule type="cellIs" dxfId="432" priority="401" operator="equal">
      <formula>"NO"</formula>
    </cfRule>
    <cfRule type="cellIs" dxfId="431" priority="402" operator="equal">
      <formula>"SI"</formula>
    </cfRule>
  </conditionalFormatting>
  <conditionalFormatting sqref="BH244">
    <cfRule type="cellIs" dxfId="430" priority="397" operator="equal">
      <formula>"SD"</formula>
    </cfRule>
    <cfRule type="cellIs" dxfId="429" priority="398" operator="equal">
      <formula>"NO"</formula>
    </cfRule>
    <cfRule type="cellIs" dxfId="428" priority="399" operator="equal">
      <formula>"SI"</formula>
    </cfRule>
  </conditionalFormatting>
  <conditionalFormatting sqref="BI244">
    <cfRule type="cellIs" dxfId="427" priority="394" operator="equal">
      <formula>"SD"</formula>
    </cfRule>
    <cfRule type="cellIs" dxfId="426" priority="395" operator="equal">
      <formula>"NO"</formula>
    </cfRule>
    <cfRule type="cellIs" dxfId="425" priority="396" operator="equal">
      <formula>"SI"</formula>
    </cfRule>
  </conditionalFormatting>
  <conditionalFormatting sqref="BJ244">
    <cfRule type="cellIs" dxfId="424" priority="391" operator="equal">
      <formula>"SD"</formula>
    </cfRule>
    <cfRule type="cellIs" dxfId="423" priority="392" operator="equal">
      <formula>"NO"</formula>
    </cfRule>
    <cfRule type="cellIs" dxfId="422" priority="393" operator="equal">
      <formula>"SI"</formula>
    </cfRule>
  </conditionalFormatting>
  <conditionalFormatting sqref="BL244:BM244">
    <cfRule type="cellIs" dxfId="421" priority="388" operator="equal">
      <formula>"SD"</formula>
    </cfRule>
    <cfRule type="cellIs" dxfId="420" priority="389" operator="equal">
      <formula>"NO"</formula>
    </cfRule>
    <cfRule type="cellIs" dxfId="419" priority="390" operator="equal">
      <formula>"SI"</formula>
    </cfRule>
  </conditionalFormatting>
  <conditionalFormatting sqref="BK244">
    <cfRule type="cellIs" dxfId="418" priority="385" operator="equal">
      <formula>"SD"</formula>
    </cfRule>
    <cfRule type="cellIs" dxfId="417" priority="386" operator="equal">
      <formula>"NO"</formula>
    </cfRule>
    <cfRule type="cellIs" dxfId="416" priority="387" operator="equal">
      <formula>"SI"</formula>
    </cfRule>
  </conditionalFormatting>
  <conditionalFormatting sqref="DA244:DB244">
    <cfRule type="expression" dxfId="415" priority="384">
      <formula>IF(DC244="NO APLICA-INGRESO TARDIO",1,"")</formula>
    </cfRule>
  </conditionalFormatting>
  <conditionalFormatting sqref="HT244">
    <cfRule type="containsText" dxfId="414" priority="380" operator="containsText" text="NO SE FORMULA">
      <formula>NOT(ISERROR(SEARCH("NO SE FORMULA",HT244)))</formula>
    </cfRule>
    <cfRule type="containsText" dxfId="413" priority="381" operator="containsText" text="OTRO">
      <formula>NOT(ISERROR(SEARCH("OTRO",HT244)))</formula>
    </cfRule>
    <cfRule type="containsText" dxfId="412" priority="382" operator="containsText" text="IRREGULAR">
      <formula>NOT(ISERROR(SEARCH("IRREGULAR",HT244)))</formula>
    </cfRule>
    <cfRule type="containsText" dxfId="411" priority="383" operator="containsText" text="ADECUADO">
      <formula>NOT(ISERROR(SEARCH("ADECUADO",HT244)))</formula>
    </cfRule>
  </conditionalFormatting>
  <conditionalFormatting sqref="L245">
    <cfRule type="containsText" dxfId="410" priority="371" operator="containsText" text="Empleo informal">
      <formula>NOT(ISERROR(SEARCH("Empleo informal",L245)))</formula>
    </cfRule>
    <cfRule type="containsText" dxfId="409" priority="372" operator="containsText" text="Empleada formalmente con riesgo a tóxicos">
      <formula>NOT(ISERROR(SEARCH("Empleada formalmente con riesgo a tóxicos",L245)))</formula>
    </cfRule>
    <cfRule type="containsText" dxfId="408" priority="373" operator="containsText" text="Empleada formalmente con riesgo de accidente laboral">
      <formula>NOT(ISERROR(SEARCH("Empleada formalmente con riesgo de accidente laboral",L245)))</formula>
    </cfRule>
    <cfRule type="containsText" dxfId="407" priority="374" operator="containsText" text="Empleada formalmente por jornada laboral extensa">
      <formula>NOT(ISERROR(SEARCH("Empleada formalmente por jornada laboral extensa",L245)))</formula>
    </cfRule>
    <cfRule type="containsText" dxfId="406" priority="375" operator="containsText" text="Empleada formalmente sin riesgo">
      <formula>NOT(ISERROR(SEARCH("Empleada formalmente sin riesgo",L245)))</formula>
    </cfRule>
    <cfRule type="containsText" dxfId="405" priority="376" operator="containsText" text="Actualmente desempleada">
      <formula>NOT(ISERROR(SEARCH("Actualmente desempleada",L245)))</formula>
    </cfRule>
    <cfRule type="containsText" dxfId="404" priority="377" operator="containsText" text="Hogar sin apoyo">
      <formula>NOT(ISERROR(SEARCH("Hogar sin apoyo",L245)))</formula>
    </cfRule>
    <cfRule type="containsText" dxfId="403" priority="378" operator="containsText" text="Empleada formalmente sin riesgo">
      <formula>NOT(ISERROR(SEARCH("Empleada formalmente sin riesgo",L245)))</formula>
    </cfRule>
    <cfRule type="containsText" dxfId="402" priority="379" operator="containsText" text="Hogar Con apoyo">
      <formula>NOT(ISERROR(SEARCH("Hogar Con apoyo",L245)))</formula>
    </cfRule>
  </conditionalFormatting>
  <conditionalFormatting sqref="AC245">
    <cfRule type="containsText" dxfId="401" priority="367" operator="containsText" text="SABE">
      <formula>NOT(ISERROR(SEARCH("SABE",AC245)))</formula>
    </cfRule>
    <cfRule type="containsText" dxfId="400" priority="368" operator="containsText" text="SECUNDARIA">
      <formula>NOT(ISERROR(SEARCH("SECUNDARIA",AC245)))</formula>
    </cfRule>
    <cfRule type="containsText" dxfId="399" priority="369" operator="containsText" text="PRIMARIA INCOMPLETA">
      <formula>NOT(ISERROR(SEARCH("PRIMARIA INCOMPLETA",AC245)))</formula>
    </cfRule>
    <cfRule type="cellIs" dxfId="398" priority="370" operator="equal">
      <formula>"ANALFABETA"</formula>
    </cfRule>
  </conditionalFormatting>
  <conditionalFormatting sqref="AD245">
    <cfRule type="containsText" dxfId="397" priority="364" operator="containsText" text="No Consume">
      <formula>NOT(ISERROR(SEARCH("No Consume",AD245)))</formula>
    </cfRule>
    <cfRule type="containsText" dxfId="396" priority="365" operator="containsText" text="Hasta Antes de la Gestación">
      <formula>NOT(ISERROR(SEARCH("Hasta Antes de la Gestación",AD245)))</formula>
    </cfRule>
    <cfRule type="containsText" dxfId="395" priority="366" operator="containsText" text="Consumo Actual">
      <formula>NOT(ISERROR(SEARCH("Consumo Actual",AD245)))</formula>
    </cfRule>
  </conditionalFormatting>
  <conditionalFormatting sqref="AE245:AF245">
    <cfRule type="containsText" dxfId="394" priority="362" operator="containsText" text="NO">
      <formula>NOT(ISERROR(SEARCH("NO",AE245)))</formula>
    </cfRule>
    <cfRule type="containsText" dxfId="393" priority="363" operator="containsText" text="SI">
      <formula>NOT(ISERROR(SEARCH("SI",AE245)))</formula>
    </cfRule>
  </conditionalFormatting>
  <conditionalFormatting sqref="AK245">
    <cfRule type="containsText" dxfId="392" priority="359" operator="containsText" text="COMPLETAR EVALUACIÓN">
      <formula>NOT(ISERROR(SEARCH("COMPLETAR EVALUACIÓN",AK245)))</formula>
    </cfRule>
    <cfRule type="containsText" dxfId="391" priority="360" operator="containsText" text="CON RIESGO">
      <formula>NOT(ISERROR(SEARCH("CON RIESGO",AK245)))</formula>
    </cfRule>
    <cfRule type="containsText" dxfId="390" priority="361" operator="containsText" text="SIN RIESGO">
      <formula>NOT(ISERROR(SEARCH("SIN RIESGO",AK245)))</formula>
    </cfRule>
  </conditionalFormatting>
  <conditionalFormatting sqref="AG245:AH245">
    <cfRule type="cellIs" dxfId="389" priority="356" operator="equal">
      <formula>"SD"</formula>
    </cfRule>
    <cfRule type="cellIs" dxfId="388" priority="357" operator="equal">
      <formula>"NO"</formula>
    </cfRule>
    <cfRule type="cellIs" dxfId="387" priority="358" operator="equal">
      <formula>"SI"</formula>
    </cfRule>
  </conditionalFormatting>
  <conditionalFormatting sqref="AI245">
    <cfRule type="containsText" dxfId="386" priority="351" operator="containsText" text="HABITANTE DE CALLE">
      <formula>NOT(ISERROR(SEARCH("HABITANTE DE CALLE",AI245)))</formula>
    </cfRule>
    <cfRule type="containsText" dxfId="385" priority="352" operator="containsText" text="NINGUNO">
      <formula>NOT(ISERROR(SEARCH("NINGUNO",AI245)))</formula>
    </cfRule>
    <cfRule type="containsText" dxfId="384" priority="353" operator="containsText" text="MIGRATORIA">
      <formula>NOT(ISERROR(SEARCH("MIGRATORIA",AI245)))</formula>
    </cfRule>
    <cfRule type="containsText" dxfId="383" priority="354" operator="containsText" text="DISCAPACIDAD">
      <formula>NOT(ISERROR(SEARCH("DISCAPACIDAD",AI245)))</formula>
    </cfRule>
    <cfRule type="containsText" dxfId="382" priority="355" operator="containsText" text="DESPLAZADA">
      <formula>NOT(ISERROR(SEARCH("DESPLAZADA",AI245)))</formula>
    </cfRule>
  </conditionalFormatting>
  <conditionalFormatting sqref="AJ245">
    <cfRule type="cellIs" dxfId="381" priority="348" operator="equal">
      <formula>"SD"</formula>
    </cfRule>
    <cfRule type="cellIs" dxfId="380" priority="349" operator="equal">
      <formula>"NO"</formula>
    </cfRule>
    <cfRule type="cellIs" dxfId="379" priority="350" operator="equal">
      <formula>"SI"</formula>
    </cfRule>
  </conditionalFormatting>
  <conditionalFormatting sqref="AL245">
    <cfRule type="cellIs" dxfId="378" priority="345" operator="equal">
      <formula>"SD"</formula>
    </cfRule>
    <cfRule type="cellIs" dxfId="377" priority="346" operator="equal">
      <formula>"NO"</formula>
    </cfRule>
    <cfRule type="cellIs" dxfId="376" priority="347" operator="equal">
      <formula>"SI"</formula>
    </cfRule>
  </conditionalFormatting>
  <conditionalFormatting sqref="AN245:AR245">
    <cfRule type="cellIs" dxfId="375" priority="342" operator="equal">
      <formula>"SD"</formula>
    </cfRule>
    <cfRule type="cellIs" dxfId="374" priority="343" operator="equal">
      <formula>"NO"</formula>
    </cfRule>
    <cfRule type="cellIs" dxfId="373" priority="344" operator="equal">
      <formula>"SI"</formula>
    </cfRule>
  </conditionalFormatting>
  <conditionalFormatting sqref="AM245">
    <cfRule type="cellIs" dxfId="372" priority="339" operator="equal">
      <formula>"SD"</formula>
    </cfRule>
    <cfRule type="cellIs" dxfId="371" priority="340" operator="equal">
      <formula>"NO"</formula>
    </cfRule>
    <cfRule type="cellIs" dxfId="370" priority="341" operator="equal">
      <formula>"SI"</formula>
    </cfRule>
  </conditionalFormatting>
  <conditionalFormatting sqref="AV245">
    <cfRule type="cellIs" dxfId="369" priority="336" operator="equal">
      <formula>"SD"</formula>
    </cfRule>
    <cfRule type="cellIs" dxfId="368" priority="337" operator="equal">
      <formula>"NO"</formula>
    </cfRule>
    <cfRule type="cellIs" dxfId="367" priority="338" operator="equal">
      <formula>"SI"</formula>
    </cfRule>
  </conditionalFormatting>
  <conditionalFormatting sqref="BA245">
    <cfRule type="cellIs" dxfId="366" priority="333" operator="equal">
      <formula>"SD"</formula>
    </cfRule>
    <cfRule type="cellIs" dxfId="365" priority="334" operator="equal">
      <formula>"NO"</formula>
    </cfRule>
    <cfRule type="cellIs" dxfId="364" priority="335" operator="equal">
      <formula>"SI"</formula>
    </cfRule>
  </conditionalFormatting>
  <conditionalFormatting sqref="AY245">
    <cfRule type="containsText" dxfId="363" priority="328" operator="containsText" text="SD">
      <formula>NOT(ISERROR(SEARCH("SD",AY245)))</formula>
    </cfRule>
    <cfRule type="containsText" dxfId="362" priority="329" operator="containsText" text="SI, NO CONTROLADA">
      <formula>NOT(ISERROR(SEARCH("SI, NO CONTROLADA",AY245)))</formula>
    </cfRule>
    <cfRule type="containsText" dxfId="361" priority="330" operator="containsText" text="SI, SIN MANEJO">
      <formula>NOT(ISERROR(SEARCH("SI, SIN MANEJO",AY245)))</formula>
    </cfRule>
    <cfRule type="containsText" dxfId="360" priority="331" operator="containsText" text="SI, CONTROLADA">
      <formula>NOT(ISERROR(SEARCH("SI, CONTROLADA",AY245)))</formula>
    </cfRule>
    <cfRule type="containsText" dxfId="359" priority="332" operator="containsText" text="NO">
      <formula>NOT(ISERROR(SEARCH("NO",AY245)))</formula>
    </cfRule>
  </conditionalFormatting>
  <conditionalFormatting sqref="AZ245">
    <cfRule type="containsText" dxfId="358" priority="323" operator="containsText" text="SD">
      <formula>NOT(ISERROR(SEARCH("SD",AZ245)))</formula>
    </cfRule>
    <cfRule type="containsText" dxfId="357" priority="324" operator="containsText" text="SI, NO CONTROLADA">
      <formula>NOT(ISERROR(SEARCH("SI, NO CONTROLADA",AZ245)))</formula>
    </cfRule>
    <cfRule type="containsText" dxfId="356" priority="325" operator="containsText" text="SI, SIN MANEJO">
      <formula>NOT(ISERROR(SEARCH("SI, SIN MANEJO",AZ245)))</formula>
    </cfRule>
    <cfRule type="containsText" dxfId="355" priority="326" operator="containsText" text="SI, CONTROLADA">
      <formula>NOT(ISERROR(SEARCH("SI, CONTROLADA",AZ245)))</formula>
    </cfRule>
    <cfRule type="containsText" dxfId="354" priority="327" operator="containsText" text="NO">
      <formula>NOT(ISERROR(SEARCH("NO",AZ245)))</formula>
    </cfRule>
  </conditionalFormatting>
  <conditionalFormatting sqref="BB245">
    <cfRule type="cellIs" dxfId="353" priority="320" operator="equal">
      <formula>"SD"</formula>
    </cfRule>
    <cfRule type="cellIs" dxfId="352" priority="321" operator="equal">
      <formula>"NO"</formula>
    </cfRule>
    <cfRule type="cellIs" dxfId="351" priority="322" operator="equal">
      <formula>"SI"</formula>
    </cfRule>
  </conditionalFormatting>
  <conditionalFormatting sqref="BC245">
    <cfRule type="cellIs" dxfId="350" priority="317" operator="equal">
      <formula>"SD"</formula>
    </cfRule>
    <cfRule type="cellIs" dxfId="349" priority="318" operator="equal">
      <formula>"NO"</formula>
    </cfRule>
    <cfRule type="cellIs" dxfId="348" priority="319" operator="equal">
      <formula>"SI"</formula>
    </cfRule>
  </conditionalFormatting>
  <conditionalFormatting sqref="BF245">
    <cfRule type="cellIs" dxfId="347" priority="314" operator="equal">
      <formula>"SD"</formula>
    </cfRule>
    <cfRule type="cellIs" dxfId="346" priority="315" operator="equal">
      <formula>"NO"</formula>
    </cfRule>
    <cfRule type="cellIs" dxfId="345" priority="316" operator="equal">
      <formula>"SI"</formula>
    </cfRule>
  </conditionalFormatting>
  <conditionalFormatting sqref="BD245:BE245">
    <cfRule type="cellIs" dxfId="344" priority="311" operator="equal">
      <formula>"SD"</formula>
    </cfRule>
    <cfRule type="cellIs" dxfId="343" priority="312" operator="equal">
      <formula>"NO"</formula>
    </cfRule>
    <cfRule type="cellIs" dxfId="342" priority="313" operator="equal">
      <formula>"SI"</formula>
    </cfRule>
  </conditionalFormatting>
  <conditionalFormatting sqref="BE245">
    <cfRule type="expression" dxfId="341" priority="310">
      <formula>IF(AND(FA245&gt;=126,FC245&lt;24),1,0)</formula>
    </cfRule>
  </conditionalFormatting>
  <conditionalFormatting sqref="BG245">
    <cfRule type="cellIs" dxfId="340" priority="307" operator="equal">
      <formula>"SD"</formula>
    </cfRule>
    <cfRule type="cellIs" dxfId="339" priority="308" operator="equal">
      <formula>"NO"</formula>
    </cfRule>
    <cfRule type="cellIs" dxfId="338" priority="309" operator="equal">
      <formula>"SI"</formula>
    </cfRule>
  </conditionalFormatting>
  <conditionalFormatting sqref="BH245">
    <cfRule type="cellIs" dxfId="337" priority="304" operator="equal">
      <formula>"SD"</formula>
    </cfRule>
    <cfRule type="cellIs" dxfId="336" priority="305" operator="equal">
      <formula>"NO"</formula>
    </cfRule>
    <cfRule type="cellIs" dxfId="335" priority="306" operator="equal">
      <formula>"SI"</formula>
    </cfRule>
  </conditionalFormatting>
  <conditionalFormatting sqref="BI245">
    <cfRule type="cellIs" dxfId="334" priority="301" operator="equal">
      <formula>"SD"</formula>
    </cfRule>
    <cfRule type="cellIs" dxfId="333" priority="302" operator="equal">
      <formula>"NO"</formula>
    </cfRule>
    <cfRule type="cellIs" dxfId="332" priority="303" operator="equal">
      <formula>"SI"</formula>
    </cfRule>
  </conditionalFormatting>
  <conditionalFormatting sqref="BJ245">
    <cfRule type="cellIs" dxfId="331" priority="298" operator="equal">
      <formula>"SD"</formula>
    </cfRule>
    <cfRule type="cellIs" dxfId="330" priority="299" operator="equal">
      <formula>"NO"</formula>
    </cfRule>
    <cfRule type="cellIs" dxfId="329" priority="300" operator="equal">
      <formula>"SI"</formula>
    </cfRule>
  </conditionalFormatting>
  <conditionalFormatting sqref="BL245:BM245">
    <cfRule type="cellIs" dxfId="328" priority="295" operator="equal">
      <formula>"SD"</formula>
    </cfRule>
    <cfRule type="cellIs" dxfId="327" priority="296" operator="equal">
      <formula>"NO"</formula>
    </cfRule>
    <cfRule type="cellIs" dxfId="326" priority="297" operator="equal">
      <formula>"SI"</formula>
    </cfRule>
  </conditionalFormatting>
  <conditionalFormatting sqref="BK245">
    <cfRule type="cellIs" dxfId="325" priority="292" operator="equal">
      <formula>"SD"</formula>
    </cfRule>
    <cfRule type="cellIs" dxfId="324" priority="293" operator="equal">
      <formula>"NO"</formula>
    </cfRule>
    <cfRule type="cellIs" dxfId="323" priority="294" operator="equal">
      <formula>"SI"</formula>
    </cfRule>
  </conditionalFormatting>
  <conditionalFormatting sqref="DA176">
    <cfRule type="expression" dxfId="322" priority="291">
      <formula>IF(DC176="NO APLICA REGISTRO TA-INGRESO TARDIO",1,"")</formula>
    </cfRule>
  </conditionalFormatting>
  <conditionalFormatting sqref="DB176">
    <cfRule type="expression" dxfId="321" priority="290">
      <formula>IF(DC176="NO APLICA REGISTRO TA-INGRESO TARDIO",1,"")</formula>
    </cfRule>
  </conditionalFormatting>
  <conditionalFormatting sqref="DA174">
    <cfRule type="expression" dxfId="320" priority="289">
      <formula>IF(DC174="NO APLICA REGISTRO TA-INGRESO TARDIO",1,"")</formula>
    </cfRule>
  </conditionalFormatting>
  <conditionalFormatting sqref="DB174">
    <cfRule type="expression" dxfId="319" priority="288">
      <formula>IF(DC174="NO APLICA REGISTRO TA-INGRESO TARDIO",1,"")</formula>
    </cfRule>
  </conditionalFormatting>
  <conditionalFormatting sqref="L246">
    <cfRule type="containsText" dxfId="318" priority="279" operator="containsText" text="Empleo informal">
      <formula>NOT(ISERROR(SEARCH("Empleo informal",L246)))</formula>
    </cfRule>
    <cfRule type="containsText" dxfId="317" priority="280" operator="containsText" text="Empleada formalmente con riesgo a tóxicos">
      <formula>NOT(ISERROR(SEARCH("Empleada formalmente con riesgo a tóxicos",L246)))</formula>
    </cfRule>
    <cfRule type="containsText" dxfId="316" priority="281" operator="containsText" text="Empleada formalmente con riesgo de accidente laboral">
      <formula>NOT(ISERROR(SEARCH("Empleada formalmente con riesgo de accidente laboral",L246)))</formula>
    </cfRule>
    <cfRule type="containsText" dxfId="315" priority="282" operator="containsText" text="Empleada formalmente por jornada laboral extensa">
      <formula>NOT(ISERROR(SEARCH("Empleada formalmente por jornada laboral extensa",L246)))</formula>
    </cfRule>
    <cfRule type="containsText" dxfId="314" priority="283" operator="containsText" text="Empleada formalmente sin riesgo">
      <formula>NOT(ISERROR(SEARCH("Empleada formalmente sin riesgo",L246)))</formula>
    </cfRule>
    <cfRule type="containsText" dxfId="313" priority="284" operator="containsText" text="Actualmente desempleada">
      <formula>NOT(ISERROR(SEARCH("Actualmente desempleada",L246)))</formula>
    </cfRule>
    <cfRule type="containsText" dxfId="312" priority="285" operator="containsText" text="Hogar sin apoyo">
      <formula>NOT(ISERROR(SEARCH("Hogar sin apoyo",L246)))</formula>
    </cfRule>
    <cfRule type="containsText" dxfId="311" priority="286" operator="containsText" text="Empleada formalmente sin riesgo">
      <formula>NOT(ISERROR(SEARCH("Empleada formalmente sin riesgo",L246)))</formula>
    </cfRule>
    <cfRule type="containsText" dxfId="310" priority="287" operator="containsText" text="Hogar Con apoyo">
      <formula>NOT(ISERROR(SEARCH("Hogar Con apoyo",L246)))</formula>
    </cfRule>
  </conditionalFormatting>
  <conditionalFormatting sqref="AC246">
    <cfRule type="containsText" dxfId="309" priority="275" operator="containsText" text="SABE">
      <formula>NOT(ISERROR(SEARCH("SABE",AC246)))</formula>
    </cfRule>
    <cfRule type="containsText" dxfId="308" priority="276" operator="containsText" text="SECUNDARIA">
      <formula>NOT(ISERROR(SEARCH("SECUNDARIA",AC246)))</formula>
    </cfRule>
    <cfRule type="containsText" dxfId="307" priority="277" operator="containsText" text="PRIMARIA INCOMPLETA">
      <formula>NOT(ISERROR(SEARCH("PRIMARIA INCOMPLETA",AC246)))</formula>
    </cfRule>
    <cfRule type="cellIs" dxfId="306" priority="278" operator="equal">
      <formula>"ANALFABETA"</formula>
    </cfRule>
  </conditionalFormatting>
  <conditionalFormatting sqref="AD246">
    <cfRule type="containsText" dxfId="305" priority="272" operator="containsText" text="No Consume">
      <formula>NOT(ISERROR(SEARCH("No Consume",AD246)))</formula>
    </cfRule>
    <cfRule type="containsText" dxfId="304" priority="273" operator="containsText" text="Hasta Antes de la Gestación">
      <formula>NOT(ISERROR(SEARCH("Hasta Antes de la Gestación",AD246)))</formula>
    </cfRule>
    <cfRule type="containsText" dxfId="303" priority="274" operator="containsText" text="Consumo Actual">
      <formula>NOT(ISERROR(SEARCH("Consumo Actual",AD246)))</formula>
    </cfRule>
  </conditionalFormatting>
  <conditionalFormatting sqref="AS246">
    <cfRule type="cellIs" dxfId="302" priority="269" operator="equal">
      <formula>"SD"</formula>
    </cfRule>
    <cfRule type="cellIs" dxfId="301" priority="270" operator="equal">
      <formula>"NO"</formula>
    </cfRule>
    <cfRule type="cellIs" dxfId="300" priority="271" operator="equal">
      <formula>"SI"</formula>
    </cfRule>
  </conditionalFormatting>
  <conditionalFormatting sqref="AE246:AF246">
    <cfRule type="containsText" dxfId="299" priority="267" operator="containsText" text="NO">
      <formula>NOT(ISERROR(SEARCH("NO",AE246)))</formula>
    </cfRule>
    <cfRule type="containsText" dxfId="298" priority="268" operator="containsText" text="SI">
      <formula>NOT(ISERROR(SEARCH("SI",AE246)))</formula>
    </cfRule>
  </conditionalFormatting>
  <conditionalFormatting sqref="AL246:AR246">
    <cfRule type="cellIs" dxfId="297" priority="264" operator="equal">
      <formula>"SD"</formula>
    </cfRule>
    <cfRule type="cellIs" dxfId="296" priority="265" operator="equal">
      <formula>"NO"</formula>
    </cfRule>
    <cfRule type="cellIs" dxfId="295" priority="266" operator="equal">
      <formula>"SI"</formula>
    </cfRule>
  </conditionalFormatting>
  <conditionalFormatting sqref="AK246">
    <cfRule type="containsText" dxfId="294" priority="261" operator="containsText" text="COMPLETAR EVALUACIÓN">
      <formula>NOT(ISERROR(SEARCH("COMPLETAR EVALUACIÓN",AK246)))</formula>
    </cfRule>
    <cfRule type="containsText" dxfId="293" priority="262" operator="containsText" text="CON RIESGO">
      <formula>NOT(ISERROR(SEARCH("CON RIESGO",AK246)))</formula>
    </cfRule>
    <cfRule type="containsText" dxfId="292" priority="263" operator="containsText" text="SIN RIESGO">
      <formula>NOT(ISERROR(SEARCH("SIN RIESGO",AK246)))</formula>
    </cfRule>
  </conditionalFormatting>
  <conditionalFormatting sqref="AG246:AH246">
    <cfRule type="cellIs" dxfId="291" priority="258" operator="equal">
      <formula>"SD"</formula>
    </cfRule>
    <cfRule type="cellIs" dxfId="290" priority="259" operator="equal">
      <formula>"NO"</formula>
    </cfRule>
    <cfRule type="cellIs" dxfId="289" priority="260" operator="equal">
      <formula>"SI"</formula>
    </cfRule>
  </conditionalFormatting>
  <conditionalFormatting sqref="AI246">
    <cfRule type="containsText" dxfId="288" priority="253" operator="containsText" text="HABITANTE DE CALLE">
      <formula>NOT(ISERROR(SEARCH("HABITANTE DE CALLE",AI246)))</formula>
    </cfRule>
    <cfRule type="containsText" dxfId="287" priority="254" operator="containsText" text="NINGUNO">
      <formula>NOT(ISERROR(SEARCH("NINGUNO",AI246)))</formula>
    </cfRule>
    <cfRule type="containsText" dxfId="286" priority="255" operator="containsText" text="MIGRATORIA">
      <formula>NOT(ISERROR(SEARCH("MIGRATORIA",AI246)))</formula>
    </cfRule>
    <cfRule type="containsText" dxfId="285" priority="256" operator="containsText" text="DISCAPACIDAD">
      <formula>NOT(ISERROR(SEARCH("DISCAPACIDAD",AI246)))</formula>
    </cfRule>
    <cfRule type="containsText" dxfId="284" priority="257" operator="containsText" text="DESPLAZADA">
      <formula>NOT(ISERROR(SEARCH("DESPLAZADA",AI246)))</formula>
    </cfRule>
  </conditionalFormatting>
  <conditionalFormatting sqref="AJ246">
    <cfRule type="cellIs" dxfId="283" priority="250" operator="equal">
      <formula>"SD"</formula>
    </cfRule>
    <cfRule type="cellIs" dxfId="282" priority="251" operator="equal">
      <formula>"NO"</formula>
    </cfRule>
    <cfRule type="cellIs" dxfId="281" priority="252" operator="equal">
      <formula>"SI"</formula>
    </cfRule>
  </conditionalFormatting>
  <conditionalFormatting sqref="AT246:AW246">
    <cfRule type="cellIs" dxfId="280" priority="247" operator="equal">
      <formula>"SD"</formula>
    </cfRule>
    <cfRule type="cellIs" dxfId="279" priority="248" operator="equal">
      <formula>"NO"</formula>
    </cfRule>
    <cfRule type="cellIs" dxfId="278" priority="249" operator="equal">
      <formula>"SI"</formula>
    </cfRule>
  </conditionalFormatting>
  <conditionalFormatting sqref="AW246">
    <cfRule type="cellIs" dxfId="277" priority="244" operator="equal">
      <formula>1</formula>
    </cfRule>
    <cfRule type="cellIs" dxfId="276" priority="245" operator="equal">
      <formula>"3 O MAS"</formula>
    </cfRule>
    <cfRule type="cellIs" dxfId="275" priority="246" operator="equal">
      <formula>2</formula>
    </cfRule>
  </conditionalFormatting>
  <conditionalFormatting sqref="AX246 BA246">
    <cfRule type="cellIs" dxfId="274" priority="241" operator="equal">
      <formula>"SD"</formula>
    </cfRule>
    <cfRule type="cellIs" dxfId="273" priority="242" operator="equal">
      <formula>"NO"</formula>
    </cfRule>
    <cfRule type="cellIs" dxfId="272" priority="243" operator="equal">
      <formula>"SI"</formula>
    </cfRule>
  </conditionalFormatting>
  <conditionalFormatting sqref="AY246">
    <cfRule type="containsText" dxfId="271" priority="236" operator="containsText" text="SD">
      <formula>NOT(ISERROR(SEARCH("SD",AY246)))</formula>
    </cfRule>
    <cfRule type="containsText" dxfId="270" priority="237" operator="containsText" text="SI, NO CONTROLADA">
      <formula>NOT(ISERROR(SEARCH("SI, NO CONTROLADA",AY246)))</formula>
    </cfRule>
    <cfRule type="containsText" dxfId="269" priority="238" operator="containsText" text="SI, SIN MANEJO">
      <formula>NOT(ISERROR(SEARCH("SI, SIN MANEJO",AY246)))</formula>
    </cfRule>
    <cfRule type="containsText" dxfId="268" priority="239" operator="containsText" text="SI, CONTROLADA">
      <formula>NOT(ISERROR(SEARCH("SI, CONTROLADA",AY246)))</formula>
    </cfRule>
    <cfRule type="containsText" dxfId="267" priority="240" operator="containsText" text="NO">
      <formula>NOT(ISERROR(SEARCH("NO",AY246)))</formula>
    </cfRule>
  </conditionalFormatting>
  <conditionalFormatting sqref="AZ246">
    <cfRule type="containsText" dxfId="266" priority="231" operator="containsText" text="SD">
      <formula>NOT(ISERROR(SEARCH("SD",AZ246)))</formula>
    </cfRule>
    <cfRule type="containsText" dxfId="265" priority="232" operator="containsText" text="SI, NO CONTROLADA">
      <formula>NOT(ISERROR(SEARCH("SI, NO CONTROLADA",AZ246)))</formula>
    </cfRule>
    <cfRule type="containsText" dxfId="264" priority="233" operator="containsText" text="SI, SIN MANEJO">
      <formula>NOT(ISERROR(SEARCH("SI, SIN MANEJO",AZ246)))</formula>
    </cfRule>
    <cfRule type="containsText" dxfId="263" priority="234" operator="containsText" text="SI, CONTROLADA">
      <formula>NOT(ISERROR(SEARCH("SI, CONTROLADA",AZ246)))</formula>
    </cfRule>
    <cfRule type="containsText" dxfId="262" priority="235" operator="containsText" text="NO">
      <formula>NOT(ISERROR(SEARCH("NO",AZ246)))</formula>
    </cfRule>
  </conditionalFormatting>
  <conditionalFormatting sqref="BB246">
    <cfRule type="cellIs" dxfId="261" priority="228" operator="equal">
      <formula>"SD"</formula>
    </cfRule>
    <cfRule type="cellIs" dxfId="260" priority="229" operator="equal">
      <formula>"NO"</formula>
    </cfRule>
    <cfRule type="cellIs" dxfId="259" priority="230" operator="equal">
      <formula>"SI"</formula>
    </cfRule>
  </conditionalFormatting>
  <conditionalFormatting sqref="BC246">
    <cfRule type="cellIs" dxfId="258" priority="225" operator="equal">
      <formula>"SD"</formula>
    </cfRule>
    <cfRule type="cellIs" dxfId="257" priority="226" operator="equal">
      <formula>"NO"</formula>
    </cfRule>
    <cfRule type="cellIs" dxfId="256" priority="227" operator="equal">
      <formula>"SI"</formula>
    </cfRule>
  </conditionalFormatting>
  <conditionalFormatting sqref="BF246">
    <cfRule type="cellIs" dxfId="255" priority="222" operator="equal">
      <formula>"SD"</formula>
    </cfRule>
    <cfRule type="cellIs" dxfId="254" priority="223" operator="equal">
      <formula>"NO"</formula>
    </cfRule>
    <cfRule type="cellIs" dxfId="253" priority="224" operator="equal">
      <formula>"SI"</formula>
    </cfRule>
  </conditionalFormatting>
  <conditionalFormatting sqref="BD246:BE246">
    <cfRule type="cellIs" dxfId="252" priority="219" operator="equal">
      <formula>"SD"</formula>
    </cfRule>
    <cfRule type="cellIs" dxfId="251" priority="220" operator="equal">
      <formula>"NO"</formula>
    </cfRule>
    <cfRule type="cellIs" dxfId="250" priority="221" operator="equal">
      <formula>"SI"</formula>
    </cfRule>
  </conditionalFormatting>
  <conditionalFormatting sqref="BE246">
    <cfRule type="expression" dxfId="249" priority="218">
      <formula>IF(AND(FA246&gt;=126,FC246&lt;24),1,0)</formula>
    </cfRule>
  </conditionalFormatting>
  <conditionalFormatting sqref="BG246">
    <cfRule type="cellIs" dxfId="248" priority="215" operator="equal">
      <formula>"SD"</formula>
    </cfRule>
    <cfRule type="cellIs" dxfId="247" priority="216" operator="equal">
      <formula>"NO"</formula>
    </cfRule>
    <cfRule type="cellIs" dxfId="246" priority="217" operator="equal">
      <formula>"SI"</formula>
    </cfRule>
  </conditionalFormatting>
  <conditionalFormatting sqref="BH246">
    <cfRule type="cellIs" dxfId="245" priority="212" operator="equal">
      <formula>"SD"</formula>
    </cfRule>
    <cfRule type="cellIs" dxfId="244" priority="213" operator="equal">
      <formula>"NO"</formula>
    </cfRule>
    <cfRule type="cellIs" dxfId="243" priority="214" operator="equal">
      <formula>"SI"</formula>
    </cfRule>
  </conditionalFormatting>
  <conditionalFormatting sqref="BI246">
    <cfRule type="cellIs" dxfId="242" priority="209" operator="equal">
      <formula>"SD"</formula>
    </cfRule>
    <cfRule type="cellIs" dxfId="241" priority="210" operator="equal">
      <formula>"NO"</formula>
    </cfRule>
    <cfRule type="cellIs" dxfId="240" priority="211" operator="equal">
      <formula>"SI"</formula>
    </cfRule>
  </conditionalFormatting>
  <conditionalFormatting sqref="BJ246">
    <cfRule type="cellIs" dxfId="239" priority="206" operator="equal">
      <formula>"SD"</formula>
    </cfRule>
    <cfRule type="cellIs" dxfId="238" priority="207" operator="equal">
      <formula>"NO"</formula>
    </cfRule>
    <cfRule type="cellIs" dxfId="237" priority="208" operator="equal">
      <formula>"SI"</formula>
    </cfRule>
  </conditionalFormatting>
  <conditionalFormatting sqref="BL246:BM246">
    <cfRule type="cellIs" dxfId="236" priority="203" operator="equal">
      <formula>"SD"</formula>
    </cfRule>
    <cfRule type="cellIs" dxfId="235" priority="204" operator="equal">
      <formula>"NO"</formula>
    </cfRule>
    <cfRule type="cellIs" dxfId="234" priority="205" operator="equal">
      <formula>"SI"</formula>
    </cfRule>
  </conditionalFormatting>
  <conditionalFormatting sqref="BK246">
    <cfRule type="cellIs" dxfId="233" priority="200" operator="equal">
      <formula>"SD"</formula>
    </cfRule>
    <cfRule type="cellIs" dxfId="232" priority="201" operator="equal">
      <formula>"NO"</formula>
    </cfRule>
    <cfRule type="cellIs" dxfId="231" priority="202" operator="equal">
      <formula>"SI"</formula>
    </cfRule>
  </conditionalFormatting>
  <conditionalFormatting sqref="L247">
    <cfRule type="containsText" dxfId="230" priority="191" operator="containsText" text="Empleo informal">
      <formula>NOT(ISERROR(SEARCH("Empleo informal",L247)))</formula>
    </cfRule>
    <cfRule type="containsText" dxfId="229" priority="192" operator="containsText" text="Empleada formalmente con riesgo a tóxicos">
      <formula>NOT(ISERROR(SEARCH("Empleada formalmente con riesgo a tóxicos",L247)))</formula>
    </cfRule>
    <cfRule type="containsText" dxfId="228" priority="193" operator="containsText" text="Empleada formalmente con riesgo de accidente laboral">
      <formula>NOT(ISERROR(SEARCH("Empleada formalmente con riesgo de accidente laboral",L247)))</formula>
    </cfRule>
    <cfRule type="containsText" dxfId="227" priority="194" operator="containsText" text="Empleada formalmente por jornada laboral extensa">
      <formula>NOT(ISERROR(SEARCH("Empleada formalmente por jornada laboral extensa",L247)))</formula>
    </cfRule>
    <cfRule type="containsText" dxfId="226" priority="195" operator="containsText" text="Empleada formalmente sin riesgo">
      <formula>NOT(ISERROR(SEARCH("Empleada formalmente sin riesgo",L247)))</formula>
    </cfRule>
    <cfRule type="containsText" dxfId="225" priority="196" operator="containsText" text="Actualmente desempleada">
      <formula>NOT(ISERROR(SEARCH("Actualmente desempleada",L247)))</formula>
    </cfRule>
    <cfRule type="containsText" dxfId="224" priority="197" operator="containsText" text="Hogar sin apoyo">
      <formula>NOT(ISERROR(SEARCH("Hogar sin apoyo",L247)))</formula>
    </cfRule>
    <cfRule type="containsText" dxfId="223" priority="198" operator="containsText" text="Empleada formalmente sin riesgo">
      <formula>NOT(ISERROR(SEARCH("Empleada formalmente sin riesgo",L247)))</formula>
    </cfRule>
    <cfRule type="containsText" dxfId="222" priority="199" operator="containsText" text="Hogar Con apoyo">
      <formula>NOT(ISERROR(SEARCH("Hogar Con apoyo",L247)))</formula>
    </cfRule>
  </conditionalFormatting>
  <conditionalFormatting sqref="AC247">
    <cfRule type="containsText" dxfId="221" priority="187" operator="containsText" text="SABE">
      <formula>NOT(ISERROR(SEARCH("SABE",AC247)))</formula>
    </cfRule>
    <cfRule type="containsText" dxfId="220" priority="188" operator="containsText" text="SECUNDARIA">
      <formula>NOT(ISERROR(SEARCH("SECUNDARIA",AC247)))</formula>
    </cfRule>
    <cfRule type="containsText" dxfId="219" priority="189" operator="containsText" text="PRIMARIA INCOMPLETA">
      <formula>NOT(ISERROR(SEARCH("PRIMARIA INCOMPLETA",AC247)))</formula>
    </cfRule>
    <cfRule type="cellIs" dxfId="218" priority="190" operator="equal">
      <formula>"ANALFABETA"</formula>
    </cfRule>
  </conditionalFormatting>
  <conditionalFormatting sqref="AD247">
    <cfRule type="containsText" dxfId="217" priority="184" operator="containsText" text="No Consume">
      <formula>NOT(ISERROR(SEARCH("No Consume",AD247)))</formula>
    </cfRule>
    <cfRule type="containsText" dxfId="216" priority="185" operator="containsText" text="Hasta Antes de la Gestación">
      <formula>NOT(ISERROR(SEARCH("Hasta Antes de la Gestación",AD247)))</formula>
    </cfRule>
    <cfRule type="containsText" dxfId="215" priority="186" operator="containsText" text="Consumo Actual">
      <formula>NOT(ISERROR(SEARCH("Consumo Actual",AD247)))</formula>
    </cfRule>
  </conditionalFormatting>
  <conditionalFormatting sqref="AE247:AF247">
    <cfRule type="containsText" dxfId="214" priority="182" operator="containsText" text="NO">
      <formula>NOT(ISERROR(SEARCH("NO",AE247)))</formula>
    </cfRule>
    <cfRule type="containsText" dxfId="213" priority="183" operator="containsText" text="SI">
      <formula>NOT(ISERROR(SEARCH("SI",AE247)))</formula>
    </cfRule>
  </conditionalFormatting>
  <conditionalFormatting sqref="AL247:AR247">
    <cfRule type="cellIs" dxfId="212" priority="179" operator="equal">
      <formula>"SD"</formula>
    </cfRule>
    <cfRule type="cellIs" dxfId="211" priority="180" operator="equal">
      <formula>"NO"</formula>
    </cfRule>
    <cfRule type="cellIs" dxfId="210" priority="181" operator="equal">
      <formula>"SI"</formula>
    </cfRule>
  </conditionalFormatting>
  <conditionalFormatting sqref="AK247">
    <cfRule type="containsText" dxfId="209" priority="176" operator="containsText" text="COMPLETAR EVALUACIÓN">
      <formula>NOT(ISERROR(SEARCH("COMPLETAR EVALUACIÓN",AK247)))</formula>
    </cfRule>
    <cfRule type="containsText" dxfId="208" priority="177" operator="containsText" text="CON RIESGO">
      <formula>NOT(ISERROR(SEARCH("CON RIESGO",AK247)))</formula>
    </cfRule>
    <cfRule type="containsText" dxfId="207" priority="178" operator="containsText" text="SIN RIESGO">
      <formula>NOT(ISERROR(SEARCH("SIN RIESGO",AK247)))</formula>
    </cfRule>
  </conditionalFormatting>
  <conditionalFormatting sqref="AG247:AH247">
    <cfRule type="cellIs" dxfId="206" priority="173" operator="equal">
      <formula>"SD"</formula>
    </cfRule>
    <cfRule type="cellIs" dxfId="205" priority="174" operator="equal">
      <formula>"NO"</formula>
    </cfRule>
    <cfRule type="cellIs" dxfId="204" priority="175" operator="equal">
      <formula>"SI"</formula>
    </cfRule>
  </conditionalFormatting>
  <conditionalFormatting sqref="AI247">
    <cfRule type="containsText" dxfId="203" priority="168" operator="containsText" text="HABITANTE DE CALLE">
      <formula>NOT(ISERROR(SEARCH("HABITANTE DE CALLE",AI247)))</formula>
    </cfRule>
    <cfRule type="containsText" dxfId="202" priority="169" operator="containsText" text="NINGUNO">
      <formula>NOT(ISERROR(SEARCH("NINGUNO",AI247)))</formula>
    </cfRule>
    <cfRule type="containsText" dxfId="201" priority="170" operator="containsText" text="MIGRATORIA">
      <formula>NOT(ISERROR(SEARCH("MIGRATORIA",AI247)))</formula>
    </cfRule>
    <cfRule type="containsText" dxfId="200" priority="171" operator="containsText" text="DISCAPACIDAD">
      <formula>NOT(ISERROR(SEARCH("DISCAPACIDAD",AI247)))</formula>
    </cfRule>
    <cfRule type="containsText" dxfId="199" priority="172" operator="containsText" text="DESPLAZADA">
      <formula>NOT(ISERROR(SEARCH("DESPLAZADA",AI247)))</formula>
    </cfRule>
  </conditionalFormatting>
  <conditionalFormatting sqref="AJ247">
    <cfRule type="cellIs" dxfId="198" priority="165" operator="equal">
      <formula>"SD"</formula>
    </cfRule>
    <cfRule type="cellIs" dxfId="197" priority="166" operator="equal">
      <formula>"NO"</formula>
    </cfRule>
    <cfRule type="cellIs" dxfId="196" priority="167" operator="equal">
      <formula>"SI"</formula>
    </cfRule>
  </conditionalFormatting>
  <conditionalFormatting sqref="AV247">
    <cfRule type="cellIs" dxfId="195" priority="162" operator="equal">
      <formula>"SD"</formula>
    </cfRule>
    <cfRule type="cellIs" dxfId="194" priority="163" operator="equal">
      <formula>"NO"</formula>
    </cfRule>
    <cfRule type="cellIs" dxfId="193" priority="164" operator="equal">
      <formula>"SI"</formula>
    </cfRule>
  </conditionalFormatting>
  <conditionalFormatting sqref="AX247 BA247">
    <cfRule type="cellIs" dxfId="192" priority="159" operator="equal">
      <formula>"SD"</formula>
    </cfRule>
    <cfRule type="cellIs" dxfId="191" priority="160" operator="equal">
      <formula>"NO"</formula>
    </cfRule>
    <cfRule type="cellIs" dxfId="190" priority="161" operator="equal">
      <formula>"SI"</formula>
    </cfRule>
  </conditionalFormatting>
  <conditionalFormatting sqref="AY247">
    <cfRule type="containsText" dxfId="189" priority="154" operator="containsText" text="SD">
      <formula>NOT(ISERROR(SEARCH("SD",AY247)))</formula>
    </cfRule>
    <cfRule type="containsText" dxfId="188" priority="155" operator="containsText" text="SI, NO CONTROLADA">
      <formula>NOT(ISERROR(SEARCH("SI, NO CONTROLADA",AY247)))</formula>
    </cfRule>
    <cfRule type="containsText" dxfId="187" priority="156" operator="containsText" text="SI, SIN MANEJO">
      <formula>NOT(ISERROR(SEARCH("SI, SIN MANEJO",AY247)))</formula>
    </cfRule>
    <cfRule type="containsText" dxfId="186" priority="157" operator="containsText" text="SI, CONTROLADA">
      <formula>NOT(ISERROR(SEARCH("SI, CONTROLADA",AY247)))</formula>
    </cfRule>
    <cfRule type="containsText" dxfId="185" priority="158" operator="containsText" text="NO">
      <formula>NOT(ISERROR(SEARCH("NO",AY247)))</formula>
    </cfRule>
  </conditionalFormatting>
  <conditionalFormatting sqref="AZ247">
    <cfRule type="containsText" dxfId="184" priority="149" operator="containsText" text="SD">
      <formula>NOT(ISERROR(SEARCH("SD",AZ247)))</formula>
    </cfRule>
    <cfRule type="containsText" dxfId="183" priority="150" operator="containsText" text="SI, NO CONTROLADA">
      <formula>NOT(ISERROR(SEARCH("SI, NO CONTROLADA",AZ247)))</formula>
    </cfRule>
    <cfRule type="containsText" dxfId="182" priority="151" operator="containsText" text="SI, SIN MANEJO">
      <formula>NOT(ISERROR(SEARCH("SI, SIN MANEJO",AZ247)))</formula>
    </cfRule>
    <cfRule type="containsText" dxfId="181" priority="152" operator="containsText" text="SI, CONTROLADA">
      <formula>NOT(ISERROR(SEARCH("SI, CONTROLADA",AZ247)))</formula>
    </cfRule>
    <cfRule type="containsText" dxfId="180" priority="153" operator="containsText" text="NO">
      <formula>NOT(ISERROR(SEARCH("NO",AZ247)))</formula>
    </cfRule>
  </conditionalFormatting>
  <conditionalFormatting sqref="BB247">
    <cfRule type="cellIs" dxfId="179" priority="146" operator="equal">
      <formula>"SD"</formula>
    </cfRule>
    <cfRule type="cellIs" dxfId="178" priority="147" operator="equal">
      <formula>"NO"</formula>
    </cfRule>
    <cfRule type="cellIs" dxfId="177" priority="148" operator="equal">
      <formula>"SI"</formula>
    </cfRule>
  </conditionalFormatting>
  <conditionalFormatting sqref="BC247">
    <cfRule type="cellIs" dxfId="176" priority="143" operator="equal">
      <formula>"SD"</formula>
    </cfRule>
    <cfRule type="cellIs" dxfId="175" priority="144" operator="equal">
      <formula>"NO"</formula>
    </cfRule>
    <cfRule type="cellIs" dxfId="174" priority="145" operator="equal">
      <formula>"SI"</formula>
    </cfRule>
  </conditionalFormatting>
  <conditionalFormatting sqref="BF247">
    <cfRule type="cellIs" dxfId="173" priority="140" operator="equal">
      <formula>"SD"</formula>
    </cfRule>
    <cfRule type="cellIs" dxfId="172" priority="141" operator="equal">
      <formula>"NO"</formula>
    </cfRule>
    <cfRule type="cellIs" dxfId="171" priority="142" operator="equal">
      <formula>"SI"</formula>
    </cfRule>
  </conditionalFormatting>
  <conditionalFormatting sqref="BD247:BE247">
    <cfRule type="cellIs" dxfId="170" priority="137" operator="equal">
      <formula>"SD"</formula>
    </cfRule>
    <cfRule type="cellIs" dxfId="169" priority="138" operator="equal">
      <formula>"NO"</formula>
    </cfRule>
    <cfRule type="cellIs" dxfId="168" priority="139" operator="equal">
      <formula>"SI"</formula>
    </cfRule>
  </conditionalFormatting>
  <conditionalFormatting sqref="BE247">
    <cfRule type="expression" dxfId="167" priority="136">
      <formula>IF(AND(FA247&gt;=126,FC247&lt;24),1,0)</formula>
    </cfRule>
  </conditionalFormatting>
  <conditionalFormatting sqref="BG247">
    <cfRule type="cellIs" dxfId="166" priority="133" operator="equal">
      <formula>"SD"</formula>
    </cfRule>
    <cfRule type="cellIs" dxfId="165" priority="134" operator="equal">
      <formula>"NO"</formula>
    </cfRule>
    <cfRule type="cellIs" dxfId="164" priority="135" operator="equal">
      <formula>"SI"</formula>
    </cfRule>
  </conditionalFormatting>
  <conditionalFormatting sqref="BH247">
    <cfRule type="cellIs" dxfId="163" priority="130" operator="equal">
      <formula>"SD"</formula>
    </cfRule>
    <cfRule type="cellIs" dxfId="162" priority="131" operator="equal">
      <formula>"NO"</formula>
    </cfRule>
    <cfRule type="cellIs" dxfId="161" priority="132" operator="equal">
      <formula>"SI"</formula>
    </cfRule>
  </conditionalFormatting>
  <conditionalFormatting sqref="BI247">
    <cfRule type="cellIs" dxfId="160" priority="127" operator="equal">
      <formula>"SD"</formula>
    </cfRule>
    <cfRule type="cellIs" dxfId="159" priority="128" operator="equal">
      <formula>"NO"</formula>
    </cfRule>
    <cfRule type="cellIs" dxfId="158" priority="129" operator="equal">
      <formula>"SI"</formula>
    </cfRule>
  </conditionalFormatting>
  <conditionalFormatting sqref="BJ247">
    <cfRule type="cellIs" dxfId="157" priority="124" operator="equal">
      <formula>"SD"</formula>
    </cfRule>
    <cfRule type="cellIs" dxfId="156" priority="125" operator="equal">
      <formula>"NO"</formula>
    </cfRule>
    <cfRule type="cellIs" dxfId="155" priority="126" operator="equal">
      <formula>"SI"</formula>
    </cfRule>
  </conditionalFormatting>
  <conditionalFormatting sqref="BL247:BM247">
    <cfRule type="cellIs" dxfId="154" priority="121" operator="equal">
      <formula>"SD"</formula>
    </cfRule>
    <cfRule type="cellIs" dxfId="153" priority="122" operator="equal">
      <formula>"NO"</formula>
    </cfRule>
    <cfRule type="cellIs" dxfId="152" priority="123" operator="equal">
      <formula>"SI"</formula>
    </cfRule>
  </conditionalFormatting>
  <conditionalFormatting sqref="BK247">
    <cfRule type="cellIs" dxfId="151" priority="118" operator="equal">
      <formula>"SD"</formula>
    </cfRule>
    <cfRule type="cellIs" dxfId="150" priority="119" operator="equal">
      <formula>"NO"</formula>
    </cfRule>
    <cfRule type="cellIs" dxfId="149" priority="120" operator="equal">
      <formula>"SI"</formula>
    </cfRule>
  </conditionalFormatting>
  <conditionalFormatting sqref="L248">
    <cfRule type="containsText" dxfId="148" priority="109" operator="containsText" text="Empleo informal">
      <formula>NOT(ISERROR(SEARCH("Empleo informal",L248)))</formula>
    </cfRule>
    <cfRule type="containsText" dxfId="147" priority="110" operator="containsText" text="Empleada formalmente con riesgo a tóxicos">
      <formula>NOT(ISERROR(SEARCH("Empleada formalmente con riesgo a tóxicos",L248)))</formula>
    </cfRule>
    <cfRule type="containsText" dxfId="146" priority="111" operator="containsText" text="Empleada formalmente con riesgo de accidente laboral">
      <formula>NOT(ISERROR(SEARCH("Empleada formalmente con riesgo de accidente laboral",L248)))</formula>
    </cfRule>
    <cfRule type="containsText" dxfId="145" priority="112" operator="containsText" text="Empleada formalmente por jornada laboral extensa">
      <formula>NOT(ISERROR(SEARCH("Empleada formalmente por jornada laboral extensa",L248)))</formula>
    </cfRule>
    <cfRule type="containsText" dxfId="144" priority="113" operator="containsText" text="Empleada formalmente sin riesgo">
      <formula>NOT(ISERROR(SEARCH("Empleada formalmente sin riesgo",L248)))</formula>
    </cfRule>
    <cfRule type="containsText" dxfId="143" priority="114" operator="containsText" text="Actualmente desempleada">
      <formula>NOT(ISERROR(SEARCH("Actualmente desempleada",L248)))</formula>
    </cfRule>
    <cfRule type="containsText" dxfId="142" priority="115" operator="containsText" text="Hogar sin apoyo">
      <formula>NOT(ISERROR(SEARCH("Hogar sin apoyo",L248)))</formula>
    </cfRule>
    <cfRule type="containsText" dxfId="141" priority="116" operator="containsText" text="Empleada formalmente sin riesgo">
      <formula>NOT(ISERROR(SEARCH("Empleada formalmente sin riesgo",L248)))</formula>
    </cfRule>
    <cfRule type="containsText" dxfId="140" priority="117" operator="containsText" text="Hogar Con apoyo">
      <formula>NOT(ISERROR(SEARCH("Hogar Con apoyo",L248)))</formula>
    </cfRule>
  </conditionalFormatting>
  <conditionalFormatting sqref="AC248">
    <cfRule type="containsText" dxfId="139" priority="105" operator="containsText" text="SABE">
      <formula>NOT(ISERROR(SEARCH("SABE",AC248)))</formula>
    </cfRule>
    <cfRule type="containsText" dxfId="138" priority="106" operator="containsText" text="SECUNDARIA">
      <formula>NOT(ISERROR(SEARCH("SECUNDARIA",AC248)))</formula>
    </cfRule>
    <cfRule type="containsText" dxfId="137" priority="107" operator="containsText" text="PRIMARIA INCOMPLETA">
      <formula>NOT(ISERROR(SEARCH("PRIMARIA INCOMPLETA",AC248)))</formula>
    </cfRule>
    <cfRule type="cellIs" dxfId="136" priority="108" operator="equal">
      <formula>"ANALFABETA"</formula>
    </cfRule>
  </conditionalFormatting>
  <conditionalFormatting sqref="AD248">
    <cfRule type="containsText" dxfId="135" priority="102" operator="containsText" text="No Consume">
      <formula>NOT(ISERROR(SEARCH("No Consume",AD248)))</formula>
    </cfRule>
    <cfRule type="containsText" dxfId="134" priority="103" operator="containsText" text="Hasta Antes de la Gestación">
      <formula>NOT(ISERROR(SEARCH("Hasta Antes de la Gestación",AD248)))</formula>
    </cfRule>
    <cfRule type="containsText" dxfId="133" priority="104" operator="containsText" text="Consumo Actual">
      <formula>NOT(ISERROR(SEARCH("Consumo Actual",AD248)))</formula>
    </cfRule>
  </conditionalFormatting>
  <conditionalFormatting sqref="AS248">
    <cfRule type="cellIs" dxfId="132" priority="99" operator="equal">
      <formula>"SD"</formula>
    </cfRule>
    <cfRule type="cellIs" dxfId="131" priority="100" operator="equal">
      <formula>"NO"</formula>
    </cfRule>
    <cfRule type="cellIs" dxfId="130" priority="101" operator="equal">
      <formula>"SI"</formula>
    </cfRule>
  </conditionalFormatting>
  <conditionalFormatting sqref="AE248:AF248">
    <cfRule type="containsText" dxfId="129" priority="97" operator="containsText" text="NO">
      <formula>NOT(ISERROR(SEARCH("NO",AE248)))</formula>
    </cfRule>
    <cfRule type="containsText" dxfId="128" priority="98" operator="containsText" text="SI">
      <formula>NOT(ISERROR(SEARCH("SI",AE248)))</formula>
    </cfRule>
  </conditionalFormatting>
  <conditionalFormatting sqref="AL248:AR248">
    <cfRule type="cellIs" dxfId="127" priority="94" operator="equal">
      <formula>"SD"</formula>
    </cfRule>
    <cfRule type="cellIs" dxfId="126" priority="95" operator="equal">
      <formula>"NO"</formula>
    </cfRule>
    <cfRule type="cellIs" dxfId="125" priority="96" operator="equal">
      <formula>"SI"</formula>
    </cfRule>
  </conditionalFormatting>
  <conditionalFormatting sqref="AK248">
    <cfRule type="containsText" dxfId="124" priority="91" operator="containsText" text="COMPLETAR EVALUACIÓN">
      <formula>NOT(ISERROR(SEARCH("COMPLETAR EVALUACIÓN",AK248)))</formula>
    </cfRule>
    <cfRule type="containsText" dxfId="123" priority="92" operator="containsText" text="CON RIESGO">
      <formula>NOT(ISERROR(SEARCH("CON RIESGO",AK248)))</formula>
    </cfRule>
    <cfRule type="containsText" dxfId="122" priority="93" operator="containsText" text="SIN RIESGO">
      <formula>NOT(ISERROR(SEARCH("SIN RIESGO",AK248)))</formula>
    </cfRule>
  </conditionalFormatting>
  <conditionalFormatting sqref="AG248:AH248">
    <cfRule type="cellIs" dxfId="121" priority="88" operator="equal">
      <formula>"SD"</formula>
    </cfRule>
    <cfRule type="cellIs" dxfId="120" priority="89" operator="equal">
      <formula>"NO"</formula>
    </cfRule>
    <cfRule type="cellIs" dxfId="119" priority="90" operator="equal">
      <formula>"SI"</formula>
    </cfRule>
  </conditionalFormatting>
  <conditionalFormatting sqref="AI248">
    <cfRule type="containsText" dxfId="118" priority="83" operator="containsText" text="HABITANTE DE CALLE">
      <formula>NOT(ISERROR(SEARCH("HABITANTE DE CALLE",AI248)))</formula>
    </cfRule>
    <cfRule type="containsText" dxfId="117" priority="84" operator="containsText" text="NINGUNO">
      <formula>NOT(ISERROR(SEARCH("NINGUNO",AI248)))</formula>
    </cfRule>
    <cfRule type="containsText" dxfId="116" priority="85" operator="containsText" text="MIGRATORIA">
      <formula>NOT(ISERROR(SEARCH("MIGRATORIA",AI248)))</formula>
    </cfRule>
    <cfRule type="containsText" dxfId="115" priority="86" operator="containsText" text="DISCAPACIDAD">
      <formula>NOT(ISERROR(SEARCH("DISCAPACIDAD",AI248)))</formula>
    </cfRule>
    <cfRule type="containsText" dxfId="114" priority="87" operator="containsText" text="DESPLAZADA">
      <formula>NOT(ISERROR(SEARCH("DESPLAZADA",AI248)))</formula>
    </cfRule>
  </conditionalFormatting>
  <conditionalFormatting sqref="AJ248">
    <cfRule type="cellIs" dxfId="113" priority="80" operator="equal">
      <formula>"SD"</formula>
    </cfRule>
    <cfRule type="cellIs" dxfId="112" priority="81" operator="equal">
      <formula>"NO"</formula>
    </cfRule>
    <cfRule type="cellIs" dxfId="111" priority="82" operator="equal">
      <formula>"SI"</formula>
    </cfRule>
  </conditionalFormatting>
  <conditionalFormatting sqref="AT248:AW248">
    <cfRule type="cellIs" dxfId="110" priority="77" operator="equal">
      <formula>"SD"</formula>
    </cfRule>
    <cfRule type="cellIs" dxfId="109" priority="78" operator="equal">
      <formula>"NO"</formula>
    </cfRule>
    <cfRule type="cellIs" dxfId="108" priority="79" operator="equal">
      <formula>"SI"</formula>
    </cfRule>
  </conditionalFormatting>
  <conditionalFormatting sqref="AW248">
    <cfRule type="cellIs" dxfId="107" priority="74" operator="equal">
      <formula>1</formula>
    </cfRule>
    <cfRule type="cellIs" dxfId="106" priority="75" operator="equal">
      <formula>"3 O MAS"</formula>
    </cfRule>
    <cfRule type="cellIs" dxfId="105" priority="76" operator="equal">
      <formula>2</formula>
    </cfRule>
  </conditionalFormatting>
  <conditionalFormatting sqref="AX248 BA248">
    <cfRule type="cellIs" dxfId="104" priority="71" operator="equal">
      <formula>"SD"</formula>
    </cfRule>
    <cfRule type="cellIs" dxfId="103" priority="72" operator="equal">
      <formula>"NO"</formula>
    </cfRule>
    <cfRule type="cellIs" dxfId="102" priority="73" operator="equal">
      <formula>"SI"</formula>
    </cfRule>
  </conditionalFormatting>
  <conditionalFormatting sqref="AY248">
    <cfRule type="containsText" dxfId="101" priority="66" operator="containsText" text="SD">
      <formula>NOT(ISERROR(SEARCH("SD",AY248)))</formula>
    </cfRule>
    <cfRule type="containsText" dxfId="100" priority="67" operator="containsText" text="SI, NO CONTROLADA">
      <formula>NOT(ISERROR(SEARCH("SI, NO CONTROLADA",AY248)))</formula>
    </cfRule>
    <cfRule type="containsText" dxfId="99" priority="68" operator="containsText" text="SI, SIN MANEJO">
      <formula>NOT(ISERROR(SEARCH("SI, SIN MANEJO",AY248)))</formula>
    </cfRule>
    <cfRule type="containsText" dxfId="98" priority="69" operator="containsText" text="SI, CONTROLADA">
      <formula>NOT(ISERROR(SEARCH("SI, CONTROLADA",AY248)))</formula>
    </cfRule>
    <cfRule type="containsText" dxfId="97" priority="70" operator="containsText" text="NO">
      <formula>NOT(ISERROR(SEARCH("NO",AY248)))</formula>
    </cfRule>
  </conditionalFormatting>
  <conditionalFormatting sqref="AZ248">
    <cfRule type="containsText" dxfId="96" priority="61" operator="containsText" text="SD">
      <formula>NOT(ISERROR(SEARCH("SD",AZ248)))</formula>
    </cfRule>
    <cfRule type="containsText" dxfId="95" priority="62" operator="containsText" text="SI, NO CONTROLADA">
      <formula>NOT(ISERROR(SEARCH("SI, NO CONTROLADA",AZ248)))</formula>
    </cfRule>
    <cfRule type="containsText" dxfId="94" priority="63" operator="containsText" text="SI, SIN MANEJO">
      <formula>NOT(ISERROR(SEARCH("SI, SIN MANEJO",AZ248)))</formula>
    </cfRule>
    <cfRule type="containsText" dxfId="93" priority="64" operator="containsText" text="SI, CONTROLADA">
      <formula>NOT(ISERROR(SEARCH("SI, CONTROLADA",AZ248)))</formula>
    </cfRule>
    <cfRule type="containsText" dxfId="92" priority="65" operator="containsText" text="NO">
      <formula>NOT(ISERROR(SEARCH("NO",AZ248)))</formula>
    </cfRule>
  </conditionalFormatting>
  <conditionalFormatting sqref="BB248">
    <cfRule type="cellIs" dxfId="91" priority="58" operator="equal">
      <formula>"SD"</formula>
    </cfRule>
    <cfRule type="cellIs" dxfId="90" priority="59" operator="equal">
      <formula>"NO"</formula>
    </cfRule>
    <cfRule type="cellIs" dxfId="89" priority="60" operator="equal">
      <formula>"SI"</formula>
    </cfRule>
  </conditionalFormatting>
  <conditionalFormatting sqref="BC248">
    <cfRule type="cellIs" dxfId="88" priority="55" operator="equal">
      <formula>"SD"</formula>
    </cfRule>
    <cfRule type="cellIs" dxfId="87" priority="56" operator="equal">
      <formula>"NO"</formula>
    </cfRule>
    <cfRule type="cellIs" dxfId="86" priority="57" operator="equal">
      <formula>"SI"</formula>
    </cfRule>
  </conditionalFormatting>
  <conditionalFormatting sqref="BF248">
    <cfRule type="cellIs" dxfId="85" priority="52" operator="equal">
      <formula>"SD"</formula>
    </cfRule>
    <cfRule type="cellIs" dxfId="84" priority="53" operator="equal">
      <formula>"NO"</formula>
    </cfRule>
    <cfRule type="cellIs" dxfId="83" priority="54" operator="equal">
      <formula>"SI"</formula>
    </cfRule>
  </conditionalFormatting>
  <conditionalFormatting sqref="BD248:BE248">
    <cfRule type="cellIs" dxfId="82" priority="49" operator="equal">
      <formula>"SD"</formula>
    </cfRule>
    <cfRule type="cellIs" dxfId="81" priority="50" operator="equal">
      <formula>"NO"</formula>
    </cfRule>
    <cfRule type="cellIs" dxfId="80" priority="51" operator="equal">
      <formula>"SI"</formula>
    </cfRule>
  </conditionalFormatting>
  <conditionalFormatting sqref="BE248">
    <cfRule type="expression" dxfId="79" priority="48">
      <formula>IF(AND(FA248&gt;=126,FC248&lt;24),1,0)</formula>
    </cfRule>
  </conditionalFormatting>
  <conditionalFormatting sqref="BG248">
    <cfRule type="cellIs" dxfId="78" priority="45" operator="equal">
      <formula>"SD"</formula>
    </cfRule>
    <cfRule type="cellIs" dxfId="77" priority="46" operator="equal">
      <formula>"NO"</formula>
    </cfRule>
    <cfRule type="cellIs" dxfId="76" priority="47" operator="equal">
      <formula>"SI"</formula>
    </cfRule>
  </conditionalFormatting>
  <conditionalFormatting sqref="BH248">
    <cfRule type="cellIs" dxfId="75" priority="42" operator="equal">
      <formula>"SD"</formula>
    </cfRule>
    <cfRule type="cellIs" dxfId="74" priority="43" operator="equal">
      <formula>"NO"</formula>
    </cfRule>
    <cfRule type="cellIs" dxfId="73" priority="44" operator="equal">
      <formula>"SI"</formula>
    </cfRule>
  </conditionalFormatting>
  <conditionalFormatting sqref="BI248">
    <cfRule type="cellIs" dxfId="72" priority="39" operator="equal">
      <formula>"SD"</formula>
    </cfRule>
    <cfRule type="cellIs" dxfId="71" priority="40" operator="equal">
      <formula>"NO"</formula>
    </cfRule>
    <cfRule type="cellIs" dxfId="70" priority="41" operator="equal">
      <formula>"SI"</formula>
    </cfRule>
  </conditionalFormatting>
  <conditionalFormatting sqref="BJ248">
    <cfRule type="cellIs" dxfId="69" priority="36" operator="equal">
      <formula>"SD"</formula>
    </cfRule>
    <cfRule type="cellIs" dxfId="68" priority="37" operator="equal">
      <formula>"NO"</formula>
    </cfRule>
    <cfRule type="cellIs" dxfId="67" priority="38" operator="equal">
      <formula>"SI"</formula>
    </cfRule>
  </conditionalFormatting>
  <conditionalFormatting sqref="BL248:BM248">
    <cfRule type="cellIs" dxfId="66" priority="33" operator="equal">
      <formula>"SD"</formula>
    </cfRule>
    <cfRule type="cellIs" dxfId="65" priority="34" operator="equal">
      <formula>"NO"</formula>
    </cfRule>
    <cfRule type="cellIs" dxfId="64" priority="35" operator="equal">
      <formula>"SI"</formula>
    </cfRule>
  </conditionalFormatting>
  <conditionalFormatting sqref="BK248">
    <cfRule type="cellIs" dxfId="63" priority="30" operator="equal">
      <formula>"SD"</formula>
    </cfRule>
    <cfRule type="cellIs" dxfId="62" priority="31" operator="equal">
      <formula>"NO"</formula>
    </cfRule>
    <cfRule type="cellIs" dxfId="61" priority="32" operator="equal">
      <formula>"SI"</formula>
    </cfRule>
  </conditionalFormatting>
  <conditionalFormatting sqref="FB201">
    <cfRule type="containsText" dxfId="60" priority="26" operator="containsText" text="RH NEGATIVO SIN COOMB">
      <formula>NOT(ISERROR(SEARCH("RH NEGATIVO SIN COOMB",FB201)))</formula>
    </cfRule>
    <cfRule type="containsText" dxfId="59" priority="27" operator="containsText" text="RH NEGATIVO CON COOMBS POSITIVO">
      <formula>NOT(ISERROR(SEARCH("RH NEGATIVO CON COOMBS POSITIVO",FB201)))</formula>
    </cfRule>
    <cfRule type="containsText" dxfId="58" priority="28" operator="containsText" text="RH NEGATIVO CON COOMBS NEGATIVO">
      <formula>NOT(ISERROR(SEARCH("RH NEGATIVO CON COOMBS NEGATIVO",FB201)))</formula>
    </cfRule>
    <cfRule type="containsText" dxfId="57" priority="29" operator="containsText" text="RH POSITIVO">
      <formula>NOT(ISERROR(SEARCH("RH POSITIVO",FB201)))</formula>
    </cfRule>
  </conditionalFormatting>
  <conditionalFormatting sqref="GT201">
    <cfRule type="containsText" dxfId="56" priority="24" operator="containsText" text="POSITIVO">
      <formula>NOT(ISERROR(SEARCH("POSITIVO",GT201)))</formula>
    </cfRule>
    <cfRule type="containsText" dxfId="55" priority="25" operator="containsText" text="NEGATIVO">
      <formula>NOT(ISERROR(SEARCH("NEGATIVO",GT201)))</formula>
    </cfRule>
  </conditionalFormatting>
  <conditionalFormatting sqref="FJ170:FJ171">
    <cfRule type="containsText" dxfId="54" priority="18" operator="containsText" text="REINFECCIÓN">
      <formula>NOT(ISERROR(SEARCH("REINFECCIÓN",FJ170)))</formula>
    </cfRule>
    <cfRule type="containsText" dxfId="53" priority="19" operator="containsText" text="DILUCIONES DISMINUYEN">
      <formula>NOT(ISERROR(SEARCH("DILUCIONES DISMINUYEN",FJ170)))</formula>
    </cfRule>
    <cfRule type="containsText" dxfId="52" priority="20" operator="containsText" text="DILUCIONES ESTABLES">
      <formula>NOT(ISERROR(SEARCH("DILUCIONES ESTABLES",FJ170)))</formula>
    </cfRule>
    <cfRule type="containsText" dxfId="51" priority="21" operator="containsText" text="POSITIVA CICATRIZ">
      <formula>NOT(ISERROR(SEARCH("POSITIVA CICATRIZ",FJ170)))</formula>
    </cfRule>
    <cfRule type="containsText" dxfId="50" priority="22" operator="containsText" text="POSITIVA CASO SIFILIS">
      <formula>NOT(ISERROR(SEARCH("POSITIVA CASO SIFILIS",FJ170)))</formula>
    </cfRule>
    <cfRule type="containsText" dxfId="49" priority="23" operator="containsText" text="NEGATIVA">
      <formula>NOT(ISERROR(SEARCH("NEGATIVA",FJ170)))</formula>
    </cfRule>
  </conditionalFormatting>
  <conditionalFormatting sqref="FJ177">
    <cfRule type="containsText" dxfId="48" priority="12" operator="containsText" text="REINFECCIÓN">
      <formula>NOT(ISERROR(SEARCH("REINFECCIÓN",FJ177)))</formula>
    </cfRule>
    <cfRule type="containsText" dxfId="47" priority="13" operator="containsText" text="DILUCIONES DISMINUYEN">
      <formula>NOT(ISERROR(SEARCH("DILUCIONES DISMINUYEN",FJ177)))</formula>
    </cfRule>
    <cfRule type="containsText" dxfId="46" priority="14" operator="containsText" text="DILUCIONES ESTABLES">
      <formula>NOT(ISERROR(SEARCH("DILUCIONES ESTABLES",FJ177)))</formula>
    </cfRule>
    <cfRule type="containsText" dxfId="45" priority="15" operator="containsText" text="POSITIVA CICATRIZ">
      <formula>NOT(ISERROR(SEARCH("POSITIVA CICATRIZ",FJ177)))</formula>
    </cfRule>
    <cfRule type="containsText" dxfId="44" priority="16" operator="containsText" text="POSITIVA CASO SIFILIS">
      <formula>NOT(ISERROR(SEARCH("POSITIVA CASO SIFILIS",FJ177)))</formula>
    </cfRule>
    <cfRule type="containsText" dxfId="43" priority="17" operator="containsText" text="NEGATIVA">
      <formula>NOT(ISERROR(SEARCH("NEGATIVA",FJ177)))</formula>
    </cfRule>
  </conditionalFormatting>
  <conditionalFormatting sqref="FP170">
    <cfRule type="containsText" dxfId="42" priority="6" operator="containsText" text="REINFECCIÓN">
      <formula>NOT(ISERROR(SEARCH("REINFECCIÓN",FP170)))</formula>
    </cfRule>
    <cfRule type="containsText" dxfId="41" priority="7" operator="containsText" text="DILUCIONES DISMINUYEN">
      <formula>NOT(ISERROR(SEARCH("DILUCIONES DISMINUYEN",FP170)))</formula>
    </cfRule>
    <cfRule type="containsText" dxfId="40" priority="8" operator="containsText" text="DILUCIONES ESTABLES">
      <formula>NOT(ISERROR(SEARCH("DILUCIONES ESTABLES",FP170)))</formula>
    </cfRule>
    <cfRule type="containsText" dxfId="39" priority="9" operator="containsText" text="POSITIVA CICATRIZ">
      <formula>NOT(ISERROR(SEARCH("POSITIVA CICATRIZ",FP170)))</formula>
    </cfRule>
    <cfRule type="containsText" dxfId="38" priority="10" operator="containsText" text="POSITIVA CASO SIFILIS">
      <formula>NOT(ISERROR(SEARCH("POSITIVA CASO SIFILIS",FP170)))</formula>
    </cfRule>
    <cfRule type="containsText" dxfId="37" priority="11" operator="containsText" text="NEGATIVA">
      <formula>NOT(ISERROR(SEARCH("NEGATIVA",FP170)))</formula>
    </cfRule>
  </conditionalFormatting>
  <conditionalFormatting sqref="GC209">
    <cfRule type="containsText" dxfId="36" priority="2" operator="containsText" text="RH NEGATIVO SIN COOMB">
      <formula>NOT(ISERROR(SEARCH("RH NEGATIVO SIN COOMB",GC209)))</formula>
    </cfRule>
    <cfRule type="containsText" dxfId="35" priority="3" operator="containsText" text="RH NEGATIVO CON COOMBS POSITIVO">
      <formula>NOT(ISERROR(SEARCH("RH NEGATIVO CON COOMBS POSITIVO",GC209)))</formula>
    </cfRule>
    <cfRule type="containsText" dxfId="34" priority="4" operator="containsText" text="RH NEGATIVO CON COOMBS NEGATIVO">
      <formula>NOT(ISERROR(SEARCH("RH NEGATIVO CON COOMBS NEGATIVO",GC209)))</formula>
    </cfRule>
    <cfRule type="containsText" dxfId="33" priority="5" operator="containsText" text="RH POSITIVO">
      <formula>NOT(ISERROR(SEARCH("RH POSITIVO",GC209)))</formula>
    </cfRule>
  </conditionalFormatting>
  <conditionalFormatting sqref="BS1">
    <cfRule type="cellIs" dxfId="32"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7CED46B0-BE79-49AB-8493-8902C667C6AF}">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D4E694C7-6216-4279-B5A9-19FC414D9ED6}">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14A01B83-3CAF-4B6B-B6D1-21DFAA490C31}">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86E79D6B-EC90-42A5-A508-11EB9217C67B}">
      <formula1>O3</formula1>
    </dataValidation>
    <dataValidation type="date" operator="greaterThan" allowBlank="1" showInputMessage="1" showErrorMessage="1" error="VERFICAR FECHA" sqref="R64 O3:O126 R220:R248 R190:R205 O128:O206 O209:O248 R209:R218" xr:uid="{B2157FF8-761A-4701-BF08-157F055D4D93}">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575AF71D-7B0B-4015-8F68-CA9EAF52B514}">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72DD4AF4-0502-4E72-ACCD-F736080A15D4}">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F0DFA7F4-8B68-4C9F-B6BC-C35E794414D7}">
      <formula1>"SI,NO,SD"</formula1>
    </dataValidation>
    <dataValidation type="date" operator="greaterThan" allowBlank="1" showInputMessage="1" showErrorMessage="1" error="VERIFICAR FECHA" sqref="R206 R219 R3:R63 R65:R189 O127" xr:uid="{47E3C1E4-FE34-4995-8267-42ED9E4A01C8}">
      <formula1>43831</formula1>
    </dataValidation>
    <dataValidation type="date" operator="greaterThan" allowBlank="1" showInputMessage="1" showErrorMessage="1" error="DIGITE SOLO FECHA" sqref="FK142 FN59 FQ59 FN154 GC154 FH3:FH248" xr:uid="{E9DFBDCB-0778-4371-A41D-9C52EAEC8E31}">
      <formula1>43831</formula1>
    </dataValidation>
    <dataValidation type="list" allowBlank="1" showInputMessage="1" showErrorMessage="1" sqref="CD3" xr:uid="{40E8EA99-4AEA-4C50-8E93-6CCEA17AC59F}">
      <formula1>"CEFÁLICA,PODÁLICA,TRANSVERSA O DE FRENTE,OBLICUA,SD"</formula1>
    </dataValidation>
    <dataValidation type="list" allowBlank="1" showInputMessage="1" showErrorMessage="1" sqref="HV3" xr:uid="{F116EEA1-5E6C-495E-AF86-14019FD803DE}">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5739DEBC-EB00-4719-BF08-6377416C4583}">
      <formula1>45433</formula1>
    </dataValidation>
    <dataValidation type="list" allowBlank="1" showInputMessage="1" showErrorMessage="1" sqref="HT3:HT134 HT136:HT208 HT210:HT248" xr:uid="{7FAF11E2-C926-4DCE-8A74-BD3289F35889}">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10EF8E4E-D8B5-4D85-AD57-791F00DBF7C4}">
      <formula1>"PREGESTACIONAL  Y PRIMERAS 12SEM, SOLO PRIMERAS 12SEM, INADECUADO, SUMINISTRO OTRO COMPLEMENTO, SIN DATO"</formula1>
    </dataValidation>
    <dataValidation type="list" allowBlank="1" showInputMessage="1" showErrorMessage="1" sqref="V3:V209 V211:V248" xr:uid="{95F7ABC0-37A6-478B-9616-71ECB66653C8}">
      <formula1>"URBANO,RURAL,SIN DATO"</formula1>
    </dataValidation>
    <dataValidation type="date" operator="greaterThan" allowBlank="1" showInputMessage="1" showErrorMessage="1" sqref="IF233 IC3:IC212 ID3:ID213 IC214:ID248" xr:uid="{08025A4B-4958-41E5-91F0-27AB64856C8E}">
      <formula1>43556</formula1>
    </dataValidation>
    <dataValidation type="date" operator="greaterThan" allowBlank="1" showInputMessage="1" showErrorMessage="1" error="SOLO FECHA" sqref="IC213 IF234:IF248 IF3:IF232" xr:uid="{8EB93A7C-5EE3-4EEF-881A-BE4FD53008A1}">
      <formula1>36526</formula1>
    </dataValidation>
    <dataValidation type="list" allowBlank="1" showInputMessage="1" showErrorMessage="1" sqref="AY222:AZ248 BC3:BC209" xr:uid="{897175C6-66B4-4043-8294-3BA8A17E43DB}">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0537F34C-6E15-45E9-8482-D711972AF532}">
      <formula1>44561</formula1>
    </dataValidation>
    <dataValidation type="list" allowBlank="1" showInputMessage="1" showErrorMessage="1" sqref="BY203 BV3:BV137 BV139:BV248" xr:uid="{42F3A3D9-E9F7-4520-B242-8FD4FF7618C2}">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4A069D44-83FD-4C1E-965A-2F439D1E5822}">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07BEE4A1-9EA6-4EE7-B966-0B097960F8EF}"/>
    <dataValidation type="list" allowBlank="1" showInputMessage="1" showErrorMessage="1" sqref="GR3:GR98 GR200:GR201 GT201 GR100:GR198 GQ3:GQ248 FV3:FV248 GN3:GN248 GR203:GR248" xr:uid="{F7FDBDA3-A847-4503-8EB7-71F14B4537E9}">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D620B025-08B7-4139-B57E-5E20C5C47970}"/>
    <dataValidation type="date" operator="greaterThan" allowBlank="1" showInputMessage="1" showErrorMessage="1" error="SOLO FECHA" sqref="IN3:IN71 IN73:IN248" xr:uid="{37A51686-5DF9-4160-8889-1A09C9B0113A}">
      <formula1>43831</formula1>
    </dataValidation>
    <dataValidation type="list" allowBlank="1" showInputMessage="1" showErrorMessage="1" sqref="JK113 IS3:IS248" xr:uid="{39CE153B-312F-4E69-AD9D-C24396118EB1}">
      <formula1>"PERSONAL DE SALUD PROFESIONAL O ESPECIALISTA,PERSONAL TÉCNICO EN SALUD,PARTERA,MEDICO TRADICIONAL,OTRO,NO APLICA"</formula1>
    </dataValidation>
    <dataValidation type="list" allowBlank="1" showInputMessage="1" showErrorMessage="1" sqref="JL113 IT3:IT248" xr:uid="{AE22227F-3CB0-4023-A379-3D6DFED29A93}">
      <formula1>"INICIO ESPONTÁNEO, LE HACEN INDUCCIÓN, LE HACEN CESÁREA SIN INICIO TRABAJO DE PARTO,SIN DATO"</formula1>
    </dataValidation>
    <dataValidation type="list" allowBlank="1" showInputMessage="1" showErrorMessage="1" sqref="CD4:CD161 CD163:CD248" xr:uid="{BAE51847-C2C5-489E-B1D7-5BE697B0764B}">
      <formula1>"CEFÁLICA,PODÁLICA,TRANSVERSA,OBLICUA,SD"</formula1>
    </dataValidation>
    <dataValidation type="whole" allowBlank="1" showInputMessage="1" showErrorMessage="1" error="DIGITE NÚMERO ENTERO" sqref="DA3:DB98 DA99 DA175:DB175 DA100:DB173 DA177:DB248 CX3:CY248" xr:uid="{C460EEEC-1DD1-4FAE-A0C9-A5AE30468099}">
      <formula1>40</formula1>
      <formula2>250</formula2>
    </dataValidation>
    <dataValidation type="list" allowBlank="1" showInputMessage="1" showErrorMessage="1" sqref="HX242:HX248 HX3:HX240" xr:uid="{CB7199FF-43EC-4073-BEDF-4AC94E80F893}">
      <formula1>"Suministro Profilaxis Hb&lt;14 (1Tab), Manejo para anemia (2Tab), Inadecuado, No Aplica, Suministro otro complemento Nutricional, Sin Dato"</formula1>
    </dataValidation>
    <dataValidation allowBlank="1" showInputMessage="1" showErrorMessage="1" error="DIGITE NÚMERO ENTERO" sqref="DB99 CZ3:CZ248" xr:uid="{73661964-16D6-42CA-A862-3BCA780EB9AB}"/>
    <dataValidation type="whole" allowBlank="1" showInputMessage="1" showErrorMessage="1" error="SOLO NÚMERO ENTERO" sqref="DA176:DB176 DA174:DB174 CU3:CV248 CR3:CS248" xr:uid="{3AF49D05-567B-4AC4-AFA3-0681FEF4456B}">
      <formula1>40</formula1>
      <formula2>200</formula2>
    </dataValidation>
    <dataValidation type="list" allowBlank="1" showInputMessage="1" showErrorMessage="1" sqref="FB201 EV3:EV248" xr:uid="{AF3457DF-08C9-4A12-878A-A39096855597}">
      <formula1>"RH POSITIVO, RH NEGATIVO SIN COOMBS,RH NEGATIVO CON COOMBS NEGATIVO,RH NEGATIVO CON COOMBS POSITIVO"</formula1>
    </dataValidation>
    <dataValidation type="list" allowBlank="1" showInputMessage="1" showErrorMessage="1" sqref="K3:K248" xr:uid="{087D4A2C-35AA-4FA2-8F14-89A07C619B6C}">
      <formula1>"SOLTERA,UNION LIBRE, CASADA, VIUDA, SEPARADA, "</formula1>
    </dataValidation>
    <dataValidation type="list" allowBlank="1" showInputMessage="1" showErrorMessage="1" sqref="S3:S248" xr:uid="{897E896A-141B-4027-906F-51A2C24F0705}">
      <formula1>"SUBSIDIADO,CONTRIBUTIVO,REGIMEN ESPECIAL,PARTICULAR,NO AFILIADO,SIN DATO"</formula1>
    </dataValidation>
    <dataValidation type="date" operator="lessThanOrEqual" allowBlank="1" showInputMessage="1" showErrorMessage="1" sqref="M3:M248" xr:uid="{1876A13A-5092-4B45-8D23-6C834734A096}">
      <formula1>40909</formula1>
    </dataValidation>
    <dataValidation type="list" allowBlank="1" showInputMessage="1" showErrorMessage="1" sqref="T3:T248" xr:uid="{A4E98BC4-8C9D-4EF9-B789-2083C51958F5}">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5A874594-A442-458E-897E-AED257F23FE7}">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77FDCB25-928E-42AB-A4D1-B7974D17DEA4}">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604EF536-007E-4C30-8B1E-85B53986AE56}">
      <formula1>"PROCESO COMPLETO DE ATENCIÓN,PROCESO PARCIAL DE ATENCIÓN, SIN ATENCIÓN, SIN DATO"</formula1>
    </dataValidation>
    <dataValidation type="list" allowBlank="1" showInputMessage="1" showErrorMessage="1" sqref="HP3:HP248" xr:uid="{4699CDC4-940F-44AE-8637-4F13C83D6A97}">
      <formula1>"Si entre SEM 12 y 16, Si Desp. SEM 16, Suministro Irregular, NO, No Aplica"</formula1>
    </dataValidation>
    <dataValidation type="list" allowBlank="1" showInputMessage="1" showErrorMessage="1" sqref="JS3:JS248 JI3:JI248" xr:uid="{4745074A-AE0C-4EE7-8154-AD0B781A7864}">
      <formula1>"SI,NO,SIN DATO,NO APLICA"</formula1>
    </dataValidation>
    <dataValidation type="list" allowBlank="1" showInputMessage="1" showErrorMessage="1" sqref="JT3:JT248 JJ3:JJ248" xr:uid="{9283D61D-8C73-4F97-A9C9-ADC957F3D46B}">
      <formula1>"O+,O-,A+,A-,B+,B-,AB+,AB-,SIN DATO,NO APLICA"</formula1>
    </dataValidation>
    <dataValidation type="list" allowBlank="1" showInputMessage="1" showErrorMessage="1" sqref="ME3:ME248 LG3:LG248 LC3:LC248 KY3:KY248 LK3:LK248 LO3:LO248 KU3:KU248" xr:uid="{540259FF-57A6-4596-A82B-D763EA3846B7}">
      <formula1>"MEDICO (A) TRADICIONAL,PARTERO (A),PULESEADOR (A),SOBANDERO (A),YERBATERO (A),OTRO "</formula1>
    </dataValidation>
    <dataValidation type="list" allowBlank="1" showInputMessage="1" showErrorMessage="1" sqref="JG3:JG248" xr:uid="{B3AB020E-353A-48AF-BD9D-03D3AB87A11C}">
      <formula1>"NORMAL,ANORMAL,NO APLICA,SIN DATO"</formula1>
    </dataValidation>
    <dataValidation type="list" allowBlank="1" showInputMessage="1" showErrorMessage="1" sqref="AT3:AT248" xr:uid="{59EAC8F2-57B4-4E63-A859-E1FB579C0A49}">
      <formula1>"0,1,2,3,4,5,6,7,8,9,10,11,12,13,14,15"</formula1>
    </dataValidation>
    <dataValidation type="list" allowBlank="1" showInputMessage="1" showErrorMessage="1" sqref="AS3:AS248" xr:uid="{09AE77B3-1EC9-42C9-83C2-C6D72FB3087E}">
      <formula1>"0,1,2,3,4,5,6,7,8,9,10,11,12,13,14,15,16"</formula1>
    </dataValidation>
    <dataValidation type="list" allowBlank="1" showInputMessage="1" showErrorMessage="1" sqref="AW3:AW248" xr:uid="{AF30BD48-33F0-49F8-92DE-28CB2BE5C692}">
      <formula1>"0,1,2,3 o MAS"</formula1>
    </dataValidation>
    <dataValidation type="list" allowBlank="1" showInputMessage="1" showErrorMessage="1" sqref="AU3:AU248" xr:uid="{5D4CE873-8D4C-46B7-869D-12ACB31D51A8}">
      <formula1>"0,1,2,3,4,5,6"</formula1>
    </dataValidation>
    <dataValidation type="list" allowBlank="1" showInputMessage="1" showErrorMessage="1" sqref="KM3:KM248 KJ3:KJ248" xr:uid="{31BE7777-28B2-4477-AC1A-86FFBEAA6549}">
      <formula1>"0,1,2,3,4,5,6,7,8,9,10,11,12,13,14,15,SD"</formula1>
    </dataValidation>
    <dataValidation type="list" allowBlank="1" showInputMessage="1" showErrorMessage="1" sqref="KA3:KC248 IU3:IZ248" xr:uid="{39EFE0A2-096F-4762-8226-8A16EBE02371}">
      <formula1>"SI, NO, NO APLICA, SD"</formula1>
    </dataValidation>
    <dataValidation type="list" allowBlank="1" showInputMessage="1" showErrorMessage="1" sqref="JB3:JB248" xr:uid="{16672A97-45E3-401E-9403-F57B039674FF}">
      <formula1>"0,1,2,3,4,SIN DATO,NO APLICA"</formula1>
    </dataValidation>
    <dataValidation type="list" allowBlank="1" showInputMessage="1" showErrorMessage="1" sqref="GX3:GX248 HE3:HE248" xr:uid="{A4665E97-90E1-482D-863A-0BB66C1EFD6D}">
      <formula1>"0,1,2,3,4,5,6,7,8,9,NO APLICA"</formula1>
    </dataValidation>
    <dataValidation type="list" allowBlank="1" showInputMessage="1" showErrorMessage="1" sqref="BP3:BP248" xr:uid="{6B9B1B53-1A9B-4BB2-B190-D80D0484BA02}">
      <formula1>"SI,NO,SD,CORREGIDA"</formula1>
    </dataValidation>
    <dataValidation type="list" allowBlank="1" showInputMessage="1" showErrorMessage="1" sqref="AD3:AD248" xr:uid="{1C5A03EF-D606-4901-88FF-F1F0DA160F1F}">
      <formula1>"Consumo Actual, Hasta Antes de la Gestación, No Consume,SD"</formula1>
    </dataValidation>
    <dataValidation type="list" allowBlank="1" showInputMessage="1" showErrorMessage="1" sqref="I3:I248" xr:uid="{5E351886-6E6A-4D40-B2E3-672F00835E3F}">
      <formula1>"CEDULA DE CIUDADANIA,TARJETA DE IDENTIDAD,REGISTRO CIVIL,CEDULA DE EXTRANJERIA,MENOR SIN IDENTIFICACION,ADULTO SIN IDENTIFICACION,OTRO,SIN DATO"</formula1>
    </dataValidation>
    <dataValidation type="list" allowBlank="1" showInputMessage="1" showErrorMessage="1" sqref="EL3:EL248" xr:uid="{9E578634-1464-4D9C-8D81-CA9DE62AEA1A}">
      <formula1>"0,1,2,3,4,5,6,7,8,9,SIN DATO"</formula1>
    </dataValidation>
    <dataValidation type="list" allowBlank="1" showInputMessage="1" showErrorMessage="1" sqref="AA3:AA248" xr:uid="{CEBFACEA-82DE-43AD-A1CD-8A7A337BA0F5}">
      <formula1>"INDIGENA,ROM-GITANO,RAIZAL,PALENQUERO,AFRODESCENDIENTE,MESTIZA,OTRO"</formula1>
    </dataValidation>
    <dataValidation type="list" allowBlank="1" showInputMessage="1" showErrorMessage="1" sqref="AC3:AC248" xr:uid="{CBF1AB40-E123-4B10-BAF2-BCEE64594E34}">
      <formula1>"ANALFABETA,PRIMARIA INCOMPLETA,PRIMARIA COMPLETA,SECUNDARIA COMPLETA,SECUNDARIA INCOMPLETA,TECNICO,UNIVERSITARIO,SABE LEER Y ESCRIBIR,SIN DATO"</formula1>
    </dataValidation>
    <dataValidation type="list" allowBlank="1" showInputMessage="1" showErrorMessage="1" sqref="JM3:JM248 JC3:JC248" xr:uid="{7CE3F91E-CBB2-45E3-8EAF-C51883714ED8}">
      <formula1>"FEMENINO,MASCULINO,NO APLICA,SIN DATO"</formula1>
    </dataValidation>
    <dataValidation type="list" allowBlank="1" showInputMessage="1" showErrorMessage="1" sqref="JQ3:JQ248" xr:uid="{61536D61-F1E8-4B7A-A0D6-37BA9529FE9F}">
      <formula1>"NORMAL,ANORMAL,SIN DATO,NO APLICA"</formula1>
    </dataValidation>
    <dataValidation type="list" allowBlank="1" showInputMessage="1" showErrorMessage="1" sqref="AB3:AB248" xr:uid="{F83ACD39-3F20-4742-93A6-324A2B734319}">
      <formula1>"NASA/PAEZ, MISAK/GUAMBIANOS,YANACONAS,COCONUCOS,TOTOROES,EPERARA/SIAPIDARA,INGA,POLINDARAS,EMBERA,QUILLACINGAS,JAMBALEÑOS,GUANACAS,PUBENENCES,OTROS,NO APLICA"</formula1>
    </dataValidation>
    <dataValidation type="list" allowBlank="1" showInputMessage="1" showErrorMessage="1" sqref="KE3:KE248" xr:uid="{B47DCB69-5828-4DAC-B828-D4A4BC4C8E41}">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5AF9AF4-8480-4289-B882-A3D6B6FA75E2}">
      <formula1>1</formula1>
      <formula2>3</formula2>
    </dataValidation>
    <dataValidation type="list" allowBlank="1" showInputMessage="1" showErrorMessage="1" sqref="GH3:GH248 GJ3:GJ248 GE3:GE248 GB3:GB248 FY3:FY248" xr:uid="{6B31303A-2A6E-482C-843D-232C58C30E0C}">
      <formula1>"P.R REACTIVA,P.R NO REACTIVA,ELISA REACTIVA,ELISA NO REACTIVA,SIN DATO,NO APLICA"</formula1>
    </dataValidation>
    <dataValidation type="list" allowBlank="1" showInputMessage="1" showErrorMessage="1" sqref="GL3:GL248" xr:uid="{8C2B1986-5612-42CB-AC23-EEEE46D7B6CA}">
      <formula1>"POSITIVA,NEGATIVA,NO CONCLUYENTE, SIN DATO, NO APLICA"</formula1>
    </dataValidation>
    <dataValidation type="list" allowBlank="1" showInputMessage="1" showErrorMessage="1" sqref="HO3:HO248" xr:uid="{A7FD6F06-1CAD-4564-8415-F9BAE7D9B2EB}">
      <formula1>"SI, NO,SD"</formula1>
    </dataValidation>
    <dataValidation type="list" allowBlank="1" showInputMessage="1" showErrorMessage="1" sqref="JA3:JA248" xr:uid="{77455D07-4645-4803-9AC7-012B6E2344A9}">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28C545AA-7489-4E7B-8C1C-244851F94D2C}">
      <formula1>0.1</formula1>
      <formula2>42</formula2>
    </dataValidation>
    <dataValidation type="decimal" allowBlank="1" showInputMessage="1" showErrorMessage="1" error="SOLO NÚMERO" sqref="EM3:EM248" xr:uid="{E0C1F02A-C6CE-43C4-BC3C-C0114A34AD70}">
      <formula1>1</formula1>
      <formula2>20</formula2>
    </dataValidation>
    <dataValidation type="list" allowBlank="1" showInputMessage="1" showErrorMessage="1" sqref="GW3:GW248" xr:uid="{44BFEAE6-973F-47FD-87D6-87469FB0D65E}">
      <formula1>"NEGATIVO,POSITIVO,NO APLICA,SIN DATO"</formula1>
    </dataValidation>
    <dataValidation type="list" allowBlank="1" showInputMessage="1" showErrorMessage="1" sqref="GY3:GY248" xr:uid="{9FD49AA7-AC84-40AB-A1F3-35F852DC9344}">
      <formula1>"Esquema vigente – Normal, Esquema vigente – Alterado, Nunca se ha tomado / No vigente"</formula1>
    </dataValidation>
    <dataValidation type="date" operator="greaterThan" allowBlank="1" showInputMessage="1" showErrorMessage="1" error="SOLO FECHA" sqref="IJ3:IJ248" xr:uid="{70352427-C86E-470F-8914-7367BE9FD906}">
      <formula1>42736</formula1>
    </dataValidation>
    <dataValidation type="list" allowBlank="1" showInputMessage="1" showErrorMessage="1" sqref="KF3:KG248" xr:uid="{AC302B0E-FFF6-4213-8877-3F8BE7BC8E91}">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5AA40B8-97B1-4510-9DA1-108AD3EA1B43}">
      <formula1>0</formula1>
      <formula2>700</formula2>
    </dataValidation>
    <dataValidation type="whole" allowBlank="1" showInputMessage="1" showErrorMessage="1" error="SOLO NÚMEROS " promptTitle="ADVERTENCIA" prompt="SI NO HAY RESULTADO COLOCAR EL #: 0 _x000a_(Cuando no se completa el examen)" sqref="FE3:FF248" xr:uid="{97E0DD94-ED44-4EC9-A3D1-248B7199101B}">
      <formula1>0</formula1>
      <formula2>700</formula2>
    </dataValidation>
    <dataValidation type="date" operator="lessThanOrEqual" allowBlank="1" showInputMessage="1" showErrorMessage="1" error="INGRESE SOLO FECHA" sqref="BW3:BW248 BO3:BO248" xr:uid="{58985CBD-9BEC-4BE7-AC3E-4A6B1F5E8EA9}">
      <formula1>45379</formula1>
    </dataValidation>
    <dataValidation type="list" allowBlank="1" showInputMessage="1" showErrorMessage="1" sqref="HF3:HF248" xr:uid="{3B5A25B5-8F94-4369-9A9A-124C57A5BCA6}">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9ADEB27B-EE3D-4C6C-B025-6EA628A9DE5A}">
      <formula1>"No Vacunada,1 Dosis,2 Dosis,Refuerzo 1,Refuerzo 2,Sin Dato,Firma Disentimiento,NO Firma Disentimiento"</formula1>
    </dataValidation>
    <dataValidation type="list" operator="greaterThan" allowBlank="1" showInputMessage="1" showErrorMessage="1" error="SOLO FECHA" sqref="DR3:DR248" xr:uid="{B93DA048-64D9-417A-B2F9-99B14B5ADB29}">
      <formula1>"0,1,2,3,4,5,6,7"</formula1>
    </dataValidation>
    <dataValidation operator="greaterThan" allowBlank="1" showInputMessage="1" showErrorMessage="1" error="SOLO FECHA" sqref="DU3:DU248 DS3:DS248" xr:uid="{AAF0FF1A-FC50-473C-8744-D4BFF705809E}"/>
    <dataValidation type="list" allowBlank="1" showInputMessage="1" showErrorMessage="1" sqref="HD3:HD248" xr:uid="{3E6FFC2D-94B6-4B33-B9D7-73C3ED18F6A3}">
      <formula1>"NO APLICA (Sin factor de riesgo - no zona endémica),NEGATIVO, POSITIVO,SOLICITADO NO TOMADO"</formula1>
    </dataValidation>
    <dataValidation type="list" allowBlank="1" showInputMessage="1" showErrorMessage="1" sqref="GZ3:GZ248" xr:uid="{E066F95C-89B1-4174-996E-8355D1D73A3D}">
      <formula1>"NO APLICA (Sin factor de riesgo),NEGATIVO,POSITIVO,INDETERMINADO,SOLICITADO Y NO TOMADO"</formula1>
    </dataValidation>
    <dataValidation type="list" allowBlank="1" showInputMessage="1" showErrorMessage="1" sqref="FS3:FS248 FJ177 FM3:FM248 FJ170:FJ171 FP3:FP248" xr:uid="{43C83BB1-8C1F-48E9-B86F-2DE4066E0F78}">
      <formula1>"P. R NEGATIVA,P. R POSITIVA CASO SIFILIS,P.R POSITIVA CICATRIZ, DILUCIONES ESTABLES, DILUCIONES DISMINUYEN, REINFECCIÓN-DILUCIONES AUMENTAN"</formula1>
    </dataValidation>
    <dataValidation type="list" allowBlank="1" showInputMessage="1" showErrorMessage="1" sqref="FJ3:FJ169 FJ172:FJ176 FJ178:FJ248" xr:uid="{5CAD7E68-3482-4A08-AE94-82DF96BEBF4B}">
      <formula1>"P. R NEGATIVA,P. R POSITIVA CASO SIFILIS,P.R POSITIVA CICATRIZ"</formula1>
    </dataValidation>
    <dataValidation type="list" allowBlank="1" showInputMessage="1" showErrorMessage="1" sqref="HB3:HB248" xr:uid="{E6640B03-74E7-43A5-821D-B22D21CB1208}">
      <formula1>"NO APLICA (Sin factor de riesgo - No zona endémica),NEGATIVO, POSITIVO,SOLICITADO NO TOMADO"</formula1>
    </dataValidation>
    <dataValidation type="list" allowBlank="1" showInputMessage="1" showErrorMessage="1" sqref="IL3:IL248" xr:uid="{765E88BD-78B7-4CCD-A4DB-A4708FB76173}">
      <formula1>"MADRE SANA, MORBILIDAD MATERNA EXTREMA, MUERTE MATERNA, MUERTE Y MORBILIDAD MATERNA EXTREMA, MADRE HOSPITALIZADA SIN MME,SIN DATO"</formula1>
    </dataValidation>
    <dataValidation type="list" allowBlank="1" showInputMessage="1" showErrorMessage="1" sqref="IM3:IM248" xr:uid="{64394FD7-CA4B-4DE4-83AF-AD7916F822BD}">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B7033486-58E1-416D-A13F-A264D6522A15}">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F9EAB807-89A7-4A69-83E6-2A117CC928AF}">
      <formula1>44561</formula1>
    </dataValidation>
    <dataValidation type="list" operator="greaterThan" allowBlank="1" showInputMessage="1" showErrorMessage="1" error="SOLO FECHA" sqref="DT3:DT248" xr:uid="{2168C480-E703-44D4-99EA-1948A919096C}">
      <formula1>"Sin Acuerdo, Domiciliario, IPS dentro Mpio, IPS Remisión fuera Mpio, Sin Dato"</formula1>
    </dataValidation>
    <dataValidation type="list" operator="greaterThan" allowBlank="1" showInputMessage="1" showErrorMessage="1" error="DIGITE FECHA" sqref="CF3:CF248" xr:uid="{A21F221D-5872-43BD-AF5D-768D9DB100BF}">
      <formula1>"PREGESTACIÓN, GESTACIÓN"</formula1>
    </dataValidation>
    <dataValidation type="list" allowBlank="1" showInputMessage="1" showErrorMessage="1" sqref="AI3:AI248" xr:uid="{26AACAB7-FC90-4453-B676-7691ADB8E9A3}">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32812A77-0C7C-4DEB-A530-ADE1EE081757}">
      <formula1>"INSTITUCIONAL,DOMICILIO,OTRO,NO APLICA,SIN DATO"</formula1>
    </dataValidation>
    <dataValidation type="list" allowBlank="1" showInputMessage="1" showErrorMessage="1" sqref="IR3:IR248" xr:uid="{318B8451-5BFB-447C-85F5-7571F1A5C9BF}">
      <formula1>"BAJA,MEDIANA,ALTA,NO APLICA,SIN DATO"</formula1>
    </dataValidation>
    <dataValidation type="date" operator="greaterThanOrEqual" allowBlank="1" showInputMessage="1" showErrorMessage="1" error="REVISAR FECHA INGRESO CPN" sqref="EF203" xr:uid="{A6713526-40F4-469E-8D51-5437DDE09ACB}">
      <formula1>XCF203</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1" t="s">
        <v>340</v>
      </c>
      <c r="B1" s="421"/>
      <c r="C1" s="421"/>
      <c r="D1" s="421"/>
      <c r="E1" s="421"/>
      <c r="F1" s="421"/>
      <c r="G1" s="421"/>
    </row>
    <row r="2" spans="1:7" ht="45" x14ac:dyDescent="0.25">
      <c r="A2" s="367" t="s">
        <v>94</v>
      </c>
      <c r="B2" s="367" t="s">
        <v>21</v>
      </c>
      <c r="C2" s="367" t="s">
        <v>0</v>
      </c>
      <c r="D2" s="367" t="s">
        <v>1</v>
      </c>
      <c r="E2" s="367" t="s">
        <v>2</v>
      </c>
      <c r="F2" s="367" t="s">
        <v>3</v>
      </c>
      <c r="G2" s="368" t="s">
        <v>340</v>
      </c>
    </row>
    <row r="3" spans="1:7" ht="30" x14ac:dyDescent="0.25">
      <c r="A3" s="369" t="s">
        <v>974</v>
      </c>
      <c r="B3" s="369" t="s">
        <v>1144</v>
      </c>
      <c r="C3" s="369" t="s">
        <v>1192</v>
      </c>
      <c r="D3" s="369" t="s">
        <v>1193</v>
      </c>
      <c r="E3" s="370" t="s">
        <v>1094</v>
      </c>
      <c r="F3" s="369">
        <v>1059595334</v>
      </c>
      <c r="G3" s="371" t="s">
        <v>1684</v>
      </c>
    </row>
    <row r="4" spans="1:7" ht="30" x14ac:dyDescent="0.25">
      <c r="A4" s="372" t="s">
        <v>914</v>
      </c>
      <c r="B4" s="372" t="s">
        <v>884</v>
      </c>
      <c r="C4" s="372" t="s">
        <v>1296</v>
      </c>
      <c r="D4" s="372" t="s">
        <v>850</v>
      </c>
      <c r="E4" s="373" t="s">
        <v>851</v>
      </c>
      <c r="F4" s="372">
        <v>1060186045</v>
      </c>
      <c r="G4" s="374" t="s">
        <v>1685</v>
      </c>
    </row>
    <row r="5" spans="1:7" ht="30" x14ac:dyDescent="0.25">
      <c r="A5" s="369" t="s">
        <v>1298</v>
      </c>
      <c r="B5" s="369" t="s">
        <v>914</v>
      </c>
      <c r="C5" s="369" t="s">
        <v>1299</v>
      </c>
      <c r="D5" s="369" t="s">
        <v>1300</v>
      </c>
      <c r="E5" s="370" t="s">
        <v>851</v>
      </c>
      <c r="F5" s="369">
        <v>1059594773</v>
      </c>
      <c r="G5" s="371" t="s">
        <v>1685</v>
      </c>
    </row>
    <row r="6" spans="1:7" ht="30" x14ac:dyDescent="0.25">
      <c r="A6" s="372" t="s">
        <v>1305</v>
      </c>
      <c r="B6" s="372" t="s">
        <v>884</v>
      </c>
      <c r="C6" s="372" t="s">
        <v>1306</v>
      </c>
      <c r="D6" s="372" t="s">
        <v>1307</v>
      </c>
      <c r="E6" s="373" t="s">
        <v>851</v>
      </c>
      <c r="F6" s="372">
        <v>1059604869</v>
      </c>
      <c r="G6" s="375" t="s">
        <v>1685</v>
      </c>
    </row>
    <row r="7" spans="1:7" ht="30" x14ac:dyDescent="0.25">
      <c r="A7" s="369" t="s">
        <v>953</v>
      </c>
      <c r="B7" s="369" t="s">
        <v>1316</v>
      </c>
      <c r="C7" s="369" t="s">
        <v>1317</v>
      </c>
      <c r="D7" s="369" t="s">
        <v>1028</v>
      </c>
      <c r="E7" s="370" t="s">
        <v>851</v>
      </c>
      <c r="F7" s="369">
        <v>1059594373</v>
      </c>
      <c r="G7" s="371" t="s">
        <v>1686</v>
      </c>
    </row>
    <row r="8" spans="1:7" ht="30" x14ac:dyDescent="0.25">
      <c r="A8" s="372" t="s">
        <v>914</v>
      </c>
      <c r="B8" s="372" t="s">
        <v>1318</v>
      </c>
      <c r="C8" s="372" t="s">
        <v>1319</v>
      </c>
      <c r="D8" s="372"/>
      <c r="E8" s="373" t="s">
        <v>851</v>
      </c>
      <c r="F8" s="372">
        <v>1002846584</v>
      </c>
      <c r="G8" s="375" t="s">
        <v>1686</v>
      </c>
    </row>
    <row r="9" spans="1:7" ht="30" x14ac:dyDescent="0.25">
      <c r="A9" s="369" t="s">
        <v>1332</v>
      </c>
      <c r="B9" s="369" t="s">
        <v>1091</v>
      </c>
      <c r="C9" s="369" t="s">
        <v>1333</v>
      </c>
      <c r="D9" s="369"/>
      <c r="E9" s="370" t="s">
        <v>1094</v>
      </c>
      <c r="F9" s="369">
        <v>1059595374</v>
      </c>
      <c r="G9" s="371" t="s">
        <v>1685</v>
      </c>
    </row>
    <row r="10" spans="1:7" ht="30" x14ac:dyDescent="0.25">
      <c r="A10" s="372" t="s">
        <v>874</v>
      </c>
      <c r="B10" s="372" t="s">
        <v>943</v>
      </c>
      <c r="C10" s="372" t="s">
        <v>1340</v>
      </c>
      <c r="D10" s="372"/>
      <c r="E10" s="373" t="s">
        <v>1094</v>
      </c>
      <c r="F10" s="372">
        <v>1059597393</v>
      </c>
      <c r="G10" s="375" t="s">
        <v>1685</v>
      </c>
    </row>
    <row r="11" spans="1:7" ht="30" x14ac:dyDescent="0.25">
      <c r="A11" s="369" t="s">
        <v>914</v>
      </c>
      <c r="B11" s="369" t="s">
        <v>915</v>
      </c>
      <c r="C11" s="369" t="s">
        <v>916</v>
      </c>
      <c r="D11" s="369"/>
      <c r="E11" s="370" t="s">
        <v>1094</v>
      </c>
      <c r="F11" s="369">
        <v>1059598169</v>
      </c>
      <c r="G11" s="371" t="s">
        <v>1684</v>
      </c>
    </row>
    <row r="12" spans="1:7" ht="30" x14ac:dyDescent="0.25">
      <c r="A12" s="372" t="s">
        <v>1360</v>
      </c>
      <c r="B12" s="372" t="s">
        <v>1361</v>
      </c>
      <c r="C12" s="372" t="s">
        <v>938</v>
      </c>
      <c r="D12" s="372" t="s">
        <v>1362</v>
      </c>
      <c r="E12" s="373" t="s">
        <v>851</v>
      </c>
      <c r="F12" s="372">
        <v>1059594951</v>
      </c>
      <c r="G12" s="375" t="s">
        <v>1685</v>
      </c>
    </row>
    <row r="13" spans="1:7" ht="30" x14ac:dyDescent="0.25">
      <c r="A13" s="369" t="s">
        <v>1286</v>
      </c>
      <c r="B13" s="369" t="s">
        <v>914</v>
      </c>
      <c r="C13" s="369" t="s">
        <v>1198</v>
      </c>
      <c r="D13" s="369" t="s">
        <v>1364</v>
      </c>
      <c r="E13" s="370" t="s">
        <v>851</v>
      </c>
      <c r="F13" s="369">
        <v>1059600026</v>
      </c>
      <c r="G13" s="371" t="s">
        <v>1685</v>
      </c>
    </row>
    <row r="14" spans="1:7" ht="30" x14ac:dyDescent="0.25">
      <c r="A14" s="372" t="s">
        <v>857</v>
      </c>
      <c r="B14" s="372" t="s">
        <v>1365</v>
      </c>
      <c r="C14" s="372" t="s">
        <v>949</v>
      </c>
      <c r="D14" s="372" t="s">
        <v>1366</v>
      </c>
      <c r="E14" s="373" t="s">
        <v>851</v>
      </c>
      <c r="F14" s="372">
        <v>1002953350</v>
      </c>
      <c r="G14" s="375" t="s">
        <v>1686</v>
      </c>
    </row>
    <row r="15" spans="1:7" ht="30" x14ac:dyDescent="0.25">
      <c r="A15" s="369" t="s">
        <v>1368</v>
      </c>
      <c r="B15" s="369" t="s">
        <v>1369</v>
      </c>
      <c r="C15" s="369" t="s">
        <v>1370</v>
      </c>
      <c r="D15" s="369" t="s">
        <v>982</v>
      </c>
      <c r="E15" s="370" t="s">
        <v>851</v>
      </c>
      <c r="F15" s="369">
        <v>1059603417</v>
      </c>
      <c r="G15" s="371" t="s">
        <v>1685</v>
      </c>
    </row>
    <row r="16" spans="1:7" ht="30" x14ac:dyDescent="0.25">
      <c r="A16" s="372" t="s">
        <v>1382</v>
      </c>
      <c r="B16" s="372" t="s">
        <v>1382</v>
      </c>
      <c r="C16" s="372" t="s">
        <v>1383</v>
      </c>
      <c r="D16" s="372"/>
      <c r="E16" s="373" t="s">
        <v>851</v>
      </c>
      <c r="F16" s="372">
        <v>1003371767</v>
      </c>
      <c r="G16" s="375" t="s">
        <v>1685</v>
      </c>
    </row>
    <row r="17" spans="1:7" ht="30" x14ac:dyDescent="0.25">
      <c r="A17" s="369" t="s">
        <v>873</v>
      </c>
      <c r="B17" s="369" t="s">
        <v>1391</v>
      </c>
      <c r="C17" s="369" t="s">
        <v>985</v>
      </c>
      <c r="D17" s="369" t="s">
        <v>1392</v>
      </c>
      <c r="E17" s="370" t="s">
        <v>851</v>
      </c>
      <c r="F17" s="369">
        <v>25547491</v>
      </c>
      <c r="G17" s="371" t="s">
        <v>1685</v>
      </c>
    </row>
    <row r="18" spans="1:7" ht="30" x14ac:dyDescent="0.25">
      <c r="A18" s="372" t="s">
        <v>979</v>
      </c>
      <c r="B18" s="372" t="s">
        <v>943</v>
      </c>
      <c r="C18" s="372" t="s">
        <v>1217</v>
      </c>
      <c r="D18" s="372" t="s">
        <v>1398</v>
      </c>
      <c r="E18" s="373" t="s">
        <v>851</v>
      </c>
      <c r="F18" s="372">
        <v>1002846528</v>
      </c>
      <c r="G18" s="375" t="s">
        <v>1685</v>
      </c>
    </row>
    <row r="19" spans="1:7" ht="30" x14ac:dyDescent="0.25">
      <c r="A19" s="369" t="s">
        <v>873</v>
      </c>
      <c r="B19" s="369" t="s">
        <v>944</v>
      </c>
      <c r="C19" s="369" t="s">
        <v>1399</v>
      </c>
      <c r="D19" s="369" t="s">
        <v>1400</v>
      </c>
      <c r="E19" s="370" t="s">
        <v>851</v>
      </c>
      <c r="F19" s="369">
        <v>1002848796</v>
      </c>
      <c r="G19" s="371" t="s">
        <v>1684</v>
      </c>
    </row>
    <row r="20" spans="1:7" ht="30" x14ac:dyDescent="0.25">
      <c r="A20" s="372" t="s">
        <v>1405</v>
      </c>
      <c r="B20" s="372" t="s">
        <v>884</v>
      </c>
      <c r="C20" s="372" t="s">
        <v>1406</v>
      </c>
      <c r="D20" s="372" t="s">
        <v>1407</v>
      </c>
      <c r="E20" s="373" t="s">
        <v>851</v>
      </c>
      <c r="F20" s="372">
        <v>1059601552</v>
      </c>
      <c r="G20" s="375" t="s">
        <v>1685</v>
      </c>
    </row>
    <row r="21" spans="1:7" ht="30" x14ac:dyDescent="0.25">
      <c r="A21" s="369" t="s">
        <v>1034</v>
      </c>
      <c r="B21" s="369" t="s">
        <v>1166</v>
      </c>
      <c r="C21" s="369" t="s">
        <v>1408</v>
      </c>
      <c r="D21" s="369" t="s">
        <v>1409</v>
      </c>
      <c r="E21" s="370" t="s">
        <v>851</v>
      </c>
      <c r="F21" s="369">
        <v>1005860830</v>
      </c>
      <c r="G21" s="371" t="s">
        <v>1685</v>
      </c>
    </row>
    <row r="22" spans="1:7" ht="30" x14ac:dyDescent="0.25">
      <c r="A22" s="372" t="s">
        <v>944</v>
      </c>
      <c r="B22" s="372" t="s">
        <v>943</v>
      </c>
      <c r="C22" s="372" t="s">
        <v>1421</v>
      </c>
      <c r="D22" s="372"/>
      <c r="E22" s="373" t="s">
        <v>851</v>
      </c>
      <c r="F22" s="372">
        <v>1002846330</v>
      </c>
      <c r="G22" s="375" t="s">
        <v>1685</v>
      </c>
    </row>
    <row r="23" spans="1:7" ht="30" x14ac:dyDescent="0.25">
      <c r="A23" s="369" t="s">
        <v>848</v>
      </c>
      <c r="B23" s="369" t="s">
        <v>943</v>
      </c>
      <c r="C23" s="369" t="s">
        <v>1423</v>
      </c>
      <c r="D23" s="369"/>
      <c r="E23" s="370" t="s">
        <v>851</v>
      </c>
      <c r="F23" s="369">
        <v>1193097625</v>
      </c>
      <c r="G23" s="371" t="s">
        <v>1686</v>
      </c>
    </row>
    <row r="24" spans="1:7" ht="30" x14ac:dyDescent="0.25">
      <c r="A24" s="372" t="s">
        <v>1427</v>
      </c>
      <c r="B24" s="372" t="s">
        <v>1428</v>
      </c>
      <c r="C24" s="372" t="s">
        <v>1429</v>
      </c>
      <c r="D24" s="372" t="s">
        <v>1430</v>
      </c>
      <c r="E24" s="373" t="s">
        <v>851</v>
      </c>
      <c r="F24" s="372">
        <v>1061528490</v>
      </c>
      <c r="G24" s="375" t="s">
        <v>1686</v>
      </c>
    </row>
    <row r="25" spans="1:7" ht="30" x14ac:dyDescent="0.25">
      <c r="A25" s="369" t="s">
        <v>1144</v>
      </c>
      <c r="B25" s="369" t="s">
        <v>884</v>
      </c>
      <c r="C25" s="369" t="s">
        <v>1432</v>
      </c>
      <c r="D25" s="369" t="s">
        <v>1433</v>
      </c>
      <c r="E25" s="370" t="s">
        <v>1094</v>
      </c>
      <c r="F25" s="369">
        <v>1059596594</v>
      </c>
      <c r="G25" s="371" t="s">
        <v>1685</v>
      </c>
    </row>
    <row r="26" spans="1:7" ht="30" x14ac:dyDescent="0.25">
      <c r="A26" s="372" t="s">
        <v>873</v>
      </c>
      <c r="B26" s="372" t="s">
        <v>1435</v>
      </c>
      <c r="C26" s="372" t="s">
        <v>1436</v>
      </c>
      <c r="D26" s="372" t="s">
        <v>1437</v>
      </c>
      <c r="E26" s="373" t="s">
        <v>851</v>
      </c>
      <c r="F26" s="372">
        <v>1059601742</v>
      </c>
      <c r="G26" s="375" t="s">
        <v>1685</v>
      </c>
    </row>
    <row r="27" spans="1:7" ht="30" x14ac:dyDescent="0.25">
      <c r="A27" s="369" t="s">
        <v>1439</v>
      </c>
      <c r="B27" s="369" t="s">
        <v>884</v>
      </c>
      <c r="C27" s="369" t="s">
        <v>1440</v>
      </c>
      <c r="D27" s="369" t="s">
        <v>1294</v>
      </c>
      <c r="E27" s="370" t="s">
        <v>851</v>
      </c>
      <c r="F27" s="369">
        <v>1002847533</v>
      </c>
      <c r="G27" s="371" t="s">
        <v>1684</v>
      </c>
    </row>
    <row r="28" spans="1:7" ht="30" x14ac:dyDescent="0.25">
      <c r="A28" s="372" t="s">
        <v>1441</v>
      </c>
      <c r="B28" s="372"/>
      <c r="C28" s="372" t="s">
        <v>1284</v>
      </c>
      <c r="D28" s="372" t="s">
        <v>1442</v>
      </c>
      <c r="E28" s="373" t="s">
        <v>851</v>
      </c>
      <c r="F28" s="372">
        <v>1002848635</v>
      </c>
      <c r="G28" s="375" t="s">
        <v>1685</v>
      </c>
    </row>
    <row r="29" spans="1:7" ht="30" x14ac:dyDescent="0.25">
      <c r="A29" s="369" t="s">
        <v>1443</v>
      </c>
      <c r="B29" s="369" t="s">
        <v>1444</v>
      </c>
      <c r="C29" s="369" t="s">
        <v>1445</v>
      </c>
      <c r="D29" s="369"/>
      <c r="E29" s="370" t="s">
        <v>851</v>
      </c>
      <c r="F29" s="369">
        <v>1061757665</v>
      </c>
      <c r="G29" s="371" t="s">
        <v>1684</v>
      </c>
    </row>
    <row r="30" spans="1:7" ht="30" x14ac:dyDescent="0.25">
      <c r="A30" s="372" t="s">
        <v>1179</v>
      </c>
      <c r="B30" s="372" t="s">
        <v>1435</v>
      </c>
      <c r="C30" s="372" t="s">
        <v>1448</v>
      </c>
      <c r="D30" s="372" t="s">
        <v>1294</v>
      </c>
      <c r="E30" s="373" t="s">
        <v>851</v>
      </c>
      <c r="F30" s="372">
        <v>1059594096</v>
      </c>
      <c r="G30" s="375" t="s">
        <v>1685</v>
      </c>
    </row>
    <row r="31" spans="1:7" ht="30" x14ac:dyDescent="0.25">
      <c r="A31" s="369" t="s">
        <v>1441</v>
      </c>
      <c r="B31" s="369" t="s">
        <v>914</v>
      </c>
      <c r="C31" s="369" t="s">
        <v>1451</v>
      </c>
      <c r="D31" s="369"/>
      <c r="E31" s="370" t="s">
        <v>851</v>
      </c>
      <c r="F31" s="369">
        <v>1059598007</v>
      </c>
      <c r="G31" s="371" t="s">
        <v>1685</v>
      </c>
    </row>
    <row r="32" spans="1:7" ht="30" x14ac:dyDescent="0.25">
      <c r="A32" s="372" t="s">
        <v>896</v>
      </c>
      <c r="B32" s="372" t="s">
        <v>943</v>
      </c>
      <c r="C32" s="372" t="s">
        <v>1452</v>
      </c>
      <c r="D32" s="372" t="s">
        <v>1372</v>
      </c>
      <c r="E32" s="373" t="s">
        <v>851</v>
      </c>
      <c r="F32" s="372">
        <v>1059599315</v>
      </c>
      <c r="G32" s="375" t="s">
        <v>1684</v>
      </c>
    </row>
    <row r="33" spans="1:7" ht="30" x14ac:dyDescent="0.25">
      <c r="A33" s="369" t="s">
        <v>1455</v>
      </c>
      <c r="B33" s="369" t="s">
        <v>974</v>
      </c>
      <c r="C33" s="369" t="s">
        <v>1305</v>
      </c>
      <c r="D33" s="369" t="s">
        <v>1456</v>
      </c>
      <c r="E33" s="370" t="s">
        <v>1094</v>
      </c>
      <c r="F33" s="369">
        <v>1059595977</v>
      </c>
      <c r="G33" s="371" t="s">
        <v>1685</v>
      </c>
    </row>
    <row r="34" spans="1:7" ht="30" x14ac:dyDescent="0.25">
      <c r="A34" s="372" t="s">
        <v>1441</v>
      </c>
      <c r="B34" s="372" t="s">
        <v>884</v>
      </c>
      <c r="C34" s="372" t="s">
        <v>1457</v>
      </c>
      <c r="D34" s="372"/>
      <c r="E34" s="373" t="s">
        <v>851</v>
      </c>
      <c r="F34" s="372">
        <v>25545401</v>
      </c>
      <c r="G34" s="375" t="s">
        <v>1684</v>
      </c>
    </row>
    <row r="35" spans="1:7" ht="30" x14ac:dyDescent="0.25">
      <c r="A35" s="369" t="s">
        <v>1458</v>
      </c>
      <c r="B35" s="369" t="s">
        <v>1459</v>
      </c>
      <c r="C35" s="369" t="s">
        <v>1460</v>
      </c>
      <c r="D35" s="369" t="s">
        <v>976</v>
      </c>
      <c r="E35" s="370" t="s">
        <v>1094</v>
      </c>
      <c r="F35" s="369">
        <v>1062295885</v>
      </c>
      <c r="G35" s="371" t="s">
        <v>1685</v>
      </c>
    </row>
    <row r="36" spans="1:7" ht="30" x14ac:dyDescent="0.25">
      <c r="A36" s="372" t="s">
        <v>944</v>
      </c>
      <c r="B36" s="372" t="s">
        <v>943</v>
      </c>
      <c r="C36" s="372" t="s">
        <v>1463</v>
      </c>
      <c r="D36" s="372" t="s">
        <v>1464</v>
      </c>
      <c r="E36" s="373" t="s">
        <v>1094</v>
      </c>
      <c r="F36" s="372">
        <v>1060186081</v>
      </c>
      <c r="G36" s="375" t="s">
        <v>1685</v>
      </c>
    </row>
    <row r="37" spans="1:7" ht="30" x14ac:dyDescent="0.25">
      <c r="A37" s="369" t="s">
        <v>964</v>
      </c>
      <c r="B37" s="369" t="s">
        <v>1465</v>
      </c>
      <c r="C37" s="369" t="s">
        <v>1002</v>
      </c>
      <c r="D37" s="369" t="s">
        <v>1366</v>
      </c>
      <c r="E37" s="370" t="s">
        <v>1094</v>
      </c>
      <c r="F37" s="369">
        <v>1061530990</v>
      </c>
      <c r="G37" s="371" t="s">
        <v>1685</v>
      </c>
    </row>
    <row r="38" spans="1:7" ht="30" x14ac:dyDescent="0.25">
      <c r="A38" s="372" t="s">
        <v>1156</v>
      </c>
      <c r="B38" s="372" t="s">
        <v>883</v>
      </c>
      <c r="C38" s="372" t="s">
        <v>1157</v>
      </c>
      <c r="D38" s="372" t="s">
        <v>1466</v>
      </c>
      <c r="E38" s="373" t="s">
        <v>851</v>
      </c>
      <c r="F38" s="372">
        <v>1059594587</v>
      </c>
      <c r="G38" s="375" t="s">
        <v>1685</v>
      </c>
    </row>
    <row r="39" spans="1:7" ht="30" x14ac:dyDescent="0.25">
      <c r="A39" s="369" t="s">
        <v>943</v>
      </c>
      <c r="B39" s="369" t="s">
        <v>1144</v>
      </c>
      <c r="C39" s="369" t="s">
        <v>1468</v>
      </c>
      <c r="D39" s="369" t="s">
        <v>1281</v>
      </c>
      <c r="E39" s="370" t="s">
        <v>851</v>
      </c>
      <c r="F39" s="369">
        <v>1059607505</v>
      </c>
      <c r="G39" s="371" t="s">
        <v>1685</v>
      </c>
    </row>
    <row r="40" spans="1:7" ht="30" x14ac:dyDescent="0.25">
      <c r="A40" s="372" t="s">
        <v>883</v>
      </c>
      <c r="B40" s="372" t="s">
        <v>1290</v>
      </c>
      <c r="C40" s="372" t="s">
        <v>1476</v>
      </c>
      <c r="D40" s="372"/>
      <c r="E40" s="373" t="s">
        <v>851</v>
      </c>
      <c r="F40" s="372">
        <v>1059604081</v>
      </c>
      <c r="G40" s="375" t="s">
        <v>1685</v>
      </c>
    </row>
    <row r="41" spans="1:7" ht="30" x14ac:dyDescent="0.25">
      <c r="A41" s="369" t="s">
        <v>884</v>
      </c>
      <c r="B41" s="369" t="s">
        <v>914</v>
      </c>
      <c r="C41" s="369" t="s">
        <v>1479</v>
      </c>
      <c r="D41" s="369" t="s">
        <v>1480</v>
      </c>
      <c r="E41" s="370" t="s">
        <v>851</v>
      </c>
      <c r="F41" s="369">
        <v>1002847894</v>
      </c>
      <c r="G41" s="371" t="s">
        <v>1685</v>
      </c>
    </row>
    <row r="42" spans="1:7" ht="30" x14ac:dyDescent="0.25">
      <c r="A42" s="372" t="s">
        <v>914</v>
      </c>
      <c r="B42" s="372" t="s">
        <v>1276</v>
      </c>
      <c r="C42" s="372" t="s">
        <v>938</v>
      </c>
      <c r="D42" s="372" t="s">
        <v>1484</v>
      </c>
      <c r="E42" s="373" t="s">
        <v>851</v>
      </c>
      <c r="F42" s="372">
        <v>1002846249</v>
      </c>
      <c r="G42" s="375" t="s">
        <v>1685</v>
      </c>
    </row>
    <row r="43" spans="1:7" ht="30" x14ac:dyDescent="0.25">
      <c r="A43" s="369" t="s">
        <v>914</v>
      </c>
      <c r="B43" s="369" t="s">
        <v>848</v>
      </c>
      <c r="C43" s="369" t="s">
        <v>1485</v>
      </c>
      <c r="D43" s="369" t="s">
        <v>1285</v>
      </c>
      <c r="E43" s="370" t="s">
        <v>851</v>
      </c>
      <c r="F43" s="369">
        <v>1002846445</v>
      </c>
      <c r="G43" s="371" t="s">
        <v>1685</v>
      </c>
    </row>
    <row r="44" spans="1:7" ht="30" x14ac:dyDescent="0.25">
      <c r="A44" s="372" t="s">
        <v>974</v>
      </c>
      <c r="B44" s="372" t="s">
        <v>943</v>
      </c>
      <c r="C44" s="372" t="s">
        <v>1217</v>
      </c>
      <c r="D44" s="372" t="s">
        <v>1490</v>
      </c>
      <c r="E44" s="373" t="s">
        <v>851</v>
      </c>
      <c r="F44" s="372">
        <v>25552127</v>
      </c>
      <c r="G44" s="375" t="s">
        <v>1684</v>
      </c>
    </row>
    <row r="45" spans="1:7" ht="30" x14ac:dyDescent="0.25">
      <c r="A45" s="369" t="s">
        <v>967</v>
      </c>
      <c r="B45" s="369" t="s">
        <v>980</v>
      </c>
      <c r="C45" s="369" t="s">
        <v>1492</v>
      </c>
      <c r="D45" s="369"/>
      <c r="E45" s="370" t="s">
        <v>851</v>
      </c>
      <c r="F45" s="369">
        <v>1059596429</v>
      </c>
      <c r="G45" s="371" t="s">
        <v>1684</v>
      </c>
    </row>
    <row r="46" spans="1:7" ht="30" x14ac:dyDescent="0.25">
      <c r="A46" s="372" t="s">
        <v>884</v>
      </c>
      <c r="B46" s="372" t="s">
        <v>1378</v>
      </c>
      <c r="C46" s="372" t="s">
        <v>1494</v>
      </c>
      <c r="D46" s="372" t="s">
        <v>1495</v>
      </c>
      <c r="E46" s="373" t="s">
        <v>851</v>
      </c>
      <c r="F46" s="372">
        <v>1059602313</v>
      </c>
      <c r="G46" s="375" t="s">
        <v>1685</v>
      </c>
    </row>
    <row r="47" spans="1:7" ht="30" x14ac:dyDescent="0.25">
      <c r="A47" s="369" t="s">
        <v>992</v>
      </c>
      <c r="B47" s="369" t="s">
        <v>1498</v>
      </c>
      <c r="C47" s="369" t="s">
        <v>938</v>
      </c>
      <c r="D47" s="369" t="s">
        <v>1499</v>
      </c>
      <c r="E47" s="370" t="s">
        <v>851</v>
      </c>
      <c r="F47" s="369">
        <v>25547215</v>
      </c>
      <c r="G47" s="371" t="s">
        <v>1684</v>
      </c>
    </row>
    <row r="48" spans="1:7" ht="30" x14ac:dyDescent="0.25">
      <c r="A48" s="372" t="s">
        <v>848</v>
      </c>
      <c r="B48" s="372" t="s">
        <v>953</v>
      </c>
      <c r="C48" s="372" t="s">
        <v>1501</v>
      </c>
      <c r="D48" s="372" t="s">
        <v>919</v>
      </c>
      <c r="E48" s="373" t="s">
        <v>851</v>
      </c>
      <c r="F48" s="372">
        <v>1002846245</v>
      </c>
      <c r="G48" s="375" t="s">
        <v>1685</v>
      </c>
    </row>
    <row r="49" spans="1:7" ht="30" x14ac:dyDescent="0.25">
      <c r="A49" s="369" t="s">
        <v>992</v>
      </c>
      <c r="B49" s="369" t="s">
        <v>848</v>
      </c>
      <c r="C49" s="369" t="s">
        <v>1504</v>
      </c>
      <c r="D49" s="369" t="s">
        <v>1157</v>
      </c>
      <c r="E49" s="370" t="s">
        <v>851</v>
      </c>
      <c r="F49" s="369">
        <v>1002848292</v>
      </c>
      <c r="G49" s="371" t="s">
        <v>1685</v>
      </c>
    </row>
    <row r="50" spans="1:7" ht="30" x14ac:dyDescent="0.25">
      <c r="A50" s="372" t="s">
        <v>1507</v>
      </c>
      <c r="B50" s="372" t="s">
        <v>1365</v>
      </c>
      <c r="C50" s="372" t="s">
        <v>1508</v>
      </c>
      <c r="D50" s="372"/>
      <c r="E50" s="373" t="s">
        <v>851</v>
      </c>
      <c r="F50" s="372">
        <v>1059600322</v>
      </c>
      <c r="G50" s="375" t="s">
        <v>1685</v>
      </c>
    </row>
    <row r="51" spans="1:7" ht="30" x14ac:dyDescent="0.25">
      <c r="A51" s="369" t="s">
        <v>1041</v>
      </c>
      <c r="B51" s="369" t="s">
        <v>1147</v>
      </c>
      <c r="C51" s="369" t="s">
        <v>1512</v>
      </c>
      <c r="D51" s="369"/>
      <c r="E51" s="370" t="s">
        <v>851</v>
      </c>
      <c r="F51" s="369">
        <v>1059604976</v>
      </c>
      <c r="G51" s="371" t="s">
        <v>1685</v>
      </c>
    </row>
    <row r="52" spans="1:7" ht="30" x14ac:dyDescent="0.25">
      <c r="A52" s="372" t="s">
        <v>1513</v>
      </c>
      <c r="B52" s="372" t="s">
        <v>1514</v>
      </c>
      <c r="C52" s="372" t="s">
        <v>1515</v>
      </c>
      <c r="D52" s="372"/>
      <c r="E52" s="373" t="s">
        <v>851</v>
      </c>
      <c r="F52" s="372">
        <v>1067461286</v>
      </c>
      <c r="G52" s="375" t="s">
        <v>1685</v>
      </c>
    </row>
    <row r="53" spans="1:7" ht="30" x14ac:dyDescent="0.25">
      <c r="A53" s="369" t="s">
        <v>1519</v>
      </c>
      <c r="B53" s="369" t="s">
        <v>848</v>
      </c>
      <c r="C53" s="369" t="s">
        <v>1520</v>
      </c>
      <c r="D53" s="369" t="s">
        <v>1521</v>
      </c>
      <c r="E53" s="370" t="s">
        <v>851</v>
      </c>
      <c r="F53" s="369">
        <v>1002950269</v>
      </c>
      <c r="G53" s="371" t="s">
        <v>1685</v>
      </c>
    </row>
    <row r="54" spans="1:7" ht="30" x14ac:dyDescent="0.25">
      <c r="A54" s="372" t="s">
        <v>884</v>
      </c>
      <c r="B54" s="372" t="s">
        <v>1524</v>
      </c>
      <c r="C54" s="372" t="s">
        <v>945</v>
      </c>
      <c r="D54" s="372" t="s">
        <v>919</v>
      </c>
      <c r="E54" s="373" t="s">
        <v>851</v>
      </c>
      <c r="F54" s="372">
        <v>1002970266</v>
      </c>
      <c r="G54" s="375" t="s">
        <v>1686</v>
      </c>
    </row>
    <row r="55" spans="1:7" ht="30" x14ac:dyDescent="0.25">
      <c r="A55" s="369" t="s">
        <v>896</v>
      </c>
      <c r="B55" s="369" t="s">
        <v>953</v>
      </c>
      <c r="C55" s="369" t="s">
        <v>1530</v>
      </c>
      <c r="D55" s="369" t="s">
        <v>1182</v>
      </c>
      <c r="E55" s="370" t="s">
        <v>851</v>
      </c>
      <c r="F55" s="369">
        <v>1059594419</v>
      </c>
      <c r="G55" s="371" t="s">
        <v>1684</v>
      </c>
    </row>
    <row r="56" spans="1:7" ht="30" x14ac:dyDescent="0.25">
      <c r="A56" s="372" t="s">
        <v>1361</v>
      </c>
      <c r="B56" s="372" t="s">
        <v>992</v>
      </c>
      <c r="C56" s="372" t="s">
        <v>1531</v>
      </c>
      <c r="D56" s="372"/>
      <c r="E56" s="373" t="s">
        <v>851</v>
      </c>
      <c r="F56" s="372">
        <v>1151452891</v>
      </c>
      <c r="G56" s="375" t="s">
        <v>1685</v>
      </c>
    </row>
    <row r="57" spans="1:7" ht="30" x14ac:dyDescent="0.25">
      <c r="A57" s="369" t="s">
        <v>914</v>
      </c>
      <c r="B57" s="369" t="s">
        <v>1470</v>
      </c>
      <c r="C57" s="369" t="s">
        <v>1167</v>
      </c>
      <c r="D57" s="369" t="s">
        <v>1043</v>
      </c>
      <c r="E57" s="370" t="s">
        <v>851</v>
      </c>
      <c r="F57" s="369">
        <v>1193105051</v>
      </c>
      <c r="G57" s="371" t="s">
        <v>1685</v>
      </c>
    </row>
    <row r="58" spans="1:7" ht="30" x14ac:dyDescent="0.25">
      <c r="A58" s="372" t="s">
        <v>1286</v>
      </c>
      <c r="B58" s="372" t="s">
        <v>980</v>
      </c>
      <c r="C58" s="372" t="s">
        <v>1528</v>
      </c>
      <c r="D58" s="372" t="s">
        <v>1281</v>
      </c>
      <c r="E58" s="373" t="s">
        <v>851</v>
      </c>
      <c r="F58" s="372">
        <v>1059596092</v>
      </c>
      <c r="G58" s="375" t="s">
        <v>1685</v>
      </c>
    </row>
    <row r="59" spans="1:7" ht="30" x14ac:dyDescent="0.25">
      <c r="A59" s="369" t="s">
        <v>884</v>
      </c>
      <c r="B59" s="369" t="s">
        <v>1144</v>
      </c>
      <c r="C59" s="369" t="s">
        <v>1534</v>
      </c>
      <c r="D59" s="369"/>
      <c r="E59" s="370" t="s">
        <v>851</v>
      </c>
      <c r="F59" s="376">
        <v>1002846626</v>
      </c>
      <c r="G59" s="371" t="s">
        <v>1685</v>
      </c>
    </row>
    <row r="60" spans="1:7" ht="30" x14ac:dyDescent="0.25">
      <c r="A60" s="372" t="s">
        <v>1246</v>
      </c>
      <c r="B60" s="372" t="s">
        <v>943</v>
      </c>
      <c r="C60" s="372" t="s">
        <v>1535</v>
      </c>
      <c r="D60" s="372"/>
      <c r="E60" s="373" t="s">
        <v>851</v>
      </c>
      <c r="F60" s="377">
        <v>1002848307</v>
      </c>
      <c r="G60" s="375" t="s">
        <v>1684</v>
      </c>
    </row>
    <row r="61" spans="1:7" ht="30" x14ac:dyDescent="0.25">
      <c r="A61" s="369" t="s">
        <v>873</v>
      </c>
      <c r="B61" s="369" t="s">
        <v>1091</v>
      </c>
      <c r="C61" s="369" t="s">
        <v>1277</v>
      </c>
      <c r="D61" s="369"/>
      <c r="E61" s="370" t="s">
        <v>851</v>
      </c>
      <c r="F61" s="378">
        <v>1059598472</v>
      </c>
      <c r="G61" s="371" t="s">
        <v>1686</v>
      </c>
    </row>
    <row r="62" spans="1:7" ht="30" x14ac:dyDescent="0.25">
      <c r="A62" s="372" t="s">
        <v>896</v>
      </c>
      <c r="B62" s="372" t="s">
        <v>1091</v>
      </c>
      <c r="C62" s="372" t="s">
        <v>1538</v>
      </c>
      <c r="D62" s="372"/>
      <c r="E62" s="373" t="s">
        <v>851</v>
      </c>
      <c r="F62" s="372">
        <v>1002846350</v>
      </c>
      <c r="G62" s="375" t="s">
        <v>1685</v>
      </c>
    </row>
    <row r="63" spans="1:7" ht="30" x14ac:dyDescent="0.25">
      <c r="A63" s="369" t="s">
        <v>896</v>
      </c>
      <c r="B63" s="369" t="s">
        <v>953</v>
      </c>
      <c r="C63" s="369" t="s">
        <v>1217</v>
      </c>
      <c r="D63" s="369" t="s">
        <v>1471</v>
      </c>
      <c r="E63" s="370" t="s">
        <v>851</v>
      </c>
      <c r="F63" s="376">
        <v>1059602285</v>
      </c>
      <c r="G63" s="371" t="s">
        <v>1685</v>
      </c>
    </row>
    <row r="64" spans="1:7" ht="30" x14ac:dyDescent="0.25">
      <c r="A64" s="372" t="s">
        <v>1540</v>
      </c>
      <c r="B64" s="372" t="s">
        <v>943</v>
      </c>
      <c r="C64" s="372" t="s">
        <v>1541</v>
      </c>
      <c r="D64" s="372" t="s">
        <v>1542</v>
      </c>
      <c r="E64" s="373" t="s">
        <v>851</v>
      </c>
      <c r="F64" s="379">
        <v>1059840033</v>
      </c>
      <c r="G64" s="375" t="s">
        <v>1685</v>
      </c>
    </row>
    <row r="65" spans="1:7" ht="30" x14ac:dyDescent="0.25">
      <c r="A65" s="369" t="s">
        <v>1144</v>
      </c>
      <c r="B65" s="369" t="s">
        <v>996</v>
      </c>
      <c r="C65" s="369" t="s">
        <v>1192</v>
      </c>
      <c r="D65" s="369"/>
      <c r="E65" s="370" t="s">
        <v>851</v>
      </c>
      <c r="F65" s="376">
        <v>1059604012</v>
      </c>
      <c r="G65" s="371" t="s">
        <v>1685</v>
      </c>
    </row>
    <row r="66" spans="1:7" ht="30" x14ac:dyDescent="0.25">
      <c r="A66" s="372" t="s">
        <v>896</v>
      </c>
      <c r="B66" s="372" t="s">
        <v>953</v>
      </c>
      <c r="C66" s="372" t="s">
        <v>1545</v>
      </c>
      <c r="D66" s="372"/>
      <c r="E66" s="373" t="s">
        <v>851</v>
      </c>
      <c r="F66" s="372">
        <v>25545389</v>
      </c>
      <c r="G66" s="375" t="s">
        <v>1685</v>
      </c>
    </row>
    <row r="67" spans="1:7" ht="30" x14ac:dyDescent="0.25">
      <c r="A67" s="369" t="s">
        <v>1156</v>
      </c>
      <c r="B67" s="369" t="s">
        <v>980</v>
      </c>
      <c r="C67" s="369" t="s">
        <v>1547</v>
      </c>
      <c r="D67" s="369"/>
      <c r="E67" s="370" t="s">
        <v>1094</v>
      </c>
      <c r="F67" s="369">
        <v>1059597328</v>
      </c>
      <c r="G67" s="371" t="s">
        <v>1685</v>
      </c>
    </row>
    <row r="68" spans="1:7" ht="30" x14ac:dyDescent="0.25">
      <c r="A68" s="372" t="s">
        <v>1549</v>
      </c>
      <c r="B68" s="372" t="s">
        <v>1298</v>
      </c>
      <c r="C68" s="372" t="s">
        <v>1550</v>
      </c>
      <c r="D68" s="372" t="s">
        <v>1551</v>
      </c>
      <c r="E68" s="373" t="s">
        <v>851</v>
      </c>
      <c r="F68" s="380">
        <v>1002847310</v>
      </c>
      <c r="G68" s="375" t="s">
        <v>1686</v>
      </c>
    </row>
    <row r="69" spans="1:7" x14ac:dyDescent="0.25">
      <c r="A69" s="369" t="s">
        <v>943</v>
      </c>
      <c r="B69" s="369" t="s">
        <v>848</v>
      </c>
      <c r="C69" s="369" t="s">
        <v>1553</v>
      </c>
      <c r="D69" s="369"/>
      <c r="E69" s="370"/>
      <c r="F69" s="369">
        <v>1059594153</v>
      </c>
      <c r="G69" s="371" t="s">
        <v>1685</v>
      </c>
    </row>
    <row r="70" spans="1:7" ht="30" x14ac:dyDescent="0.25">
      <c r="A70" s="372" t="s">
        <v>943</v>
      </c>
      <c r="B70" s="372" t="s">
        <v>1144</v>
      </c>
      <c r="C70" s="372" t="s">
        <v>1504</v>
      </c>
      <c r="D70" s="372" t="s">
        <v>1281</v>
      </c>
      <c r="E70" s="373" t="s">
        <v>1094</v>
      </c>
      <c r="F70" s="372">
        <v>1059599329</v>
      </c>
      <c r="G70" s="375" t="s">
        <v>1685</v>
      </c>
    </row>
    <row r="71" spans="1:7" ht="30" x14ac:dyDescent="0.25">
      <c r="A71" s="369" t="s">
        <v>953</v>
      </c>
      <c r="B71" s="369" t="s">
        <v>1249</v>
      </c>
      <c r="C71" s="369" t="s">
        <v>1556</v>
      </c>
      <c r="D71" s="369"/>
      <c r="E71" s="370" t="s">
        <v>1094</v>
      </c>
      <c r="F71" s="369">
        <v>1059599873</v>
      </c>
      <c r="G71" s="371" t="s">
        <v>1684</v>
      </c>
    </row>
    <row r="72" spans="1:7" ht="30" x14ac:dyDescent="0.25">
      <c r="A72" s="372" t="s">
        <v>996</v>
      </c>
      <c r="B72" s="372" t="s">
        <v>1559</v>
      </c>
      <c r="C72" s="372" t="s">
        <v>1560</v>
      </c>
      <c r="D72" s="372"/>
      <c r="E72" s="373" t="s">
        <v>851</v>
      </c>
      <c r="F72" s="372">
        <v>25552089</v>
      </c>
      <c r="G72" s="375" t="s">
        <v>1684</v>
      </c>
    </row>
    <row r="73" spans="1:7" ht="30" x14ac:dyDescent="0.25">
      <c r="A73" s="369" t="s">
        <v>1361</v>
      </c>
      <c r="B73" s="369" t="s">
        <v>1470</v>
      </c>
      <c r="C73" s="369" t="s">
        <v>1553</v>
      </c>
      <c r="D73" s="369"/>
      <c r="E73" s="370" t="s">
        <v>851</v>
      </c>
      <c r="F73" s="369">
        <v>1059595865</v>
      </c>
      <c r="G73" s="371" t="s">
        <v>1686</v>
      </c>
    </row>
    <row r="74" spans="1:7" ht="30" x14ac:dyDescent="0.25">
      <c r="A74" s="372" t="s">
        <v>874</v>
      </c>
      <c r="B74" s="372" t="s">
        <v>873</v>
      </c>
      <c r="C74" s="372" t="s">
        <v>1635</v>
      </c>
      <c r="D74" s="372" t="s">
        <v>1294</v>
      </c>
      <c r="E74" s="373" t="s">
        <v>1094</v>
      </c>
      <c r="F74" s="372">
        <v>1059597986</v>
      </c>
      <c r="G74" s="375" t="s">
        <v>1685</v>
      </c>
    </row>
    <row r="75" spans="1:7" ht="30" x14ac:dyDescent="0.25">
      <c r="A75" s="369" t="s">
        <v>873</v>
      </c>
      <c r="B75" s="369" t="s">
        <v>962</v>
      </c>
      <c r="C75" s="369" t="s">
        <v>1501</v>
      </c>
      <c r="D75" s="369" t="s">
        <v>1340</v>
      </c>
      <c r="E75" s="370" t="s">
        <v>851</v>
      </c>
      <c r="F75" s="369">
        <v>1059594976</v>
      </c>
      <c r="G75" s="371" t="s">
        <v>1685</v>
      </c>
    </row>
    <row r="76" spans="1:7" x14ac:dyDescent="0.25">
      <c r="A76" s="372" t="s">
        <v>896</v>
      </c>
      <c r="B76" s="372" t="s">
        <v>953</v>
      </c>
      <c r="C76" s="372" t="s">
        <v>1634</v>
      </c>
      <c r="D76" s="372"/>
      <c r="E76" s="373"/>
      <c r="F76" s="372">
        <v>1002848733</v>
      </c>
      <c r="G76" s="375" t="s">
        <v>1685</v>
      </c>
    </row>
    <row r="77" spans="1:7" ht="30" x14ac:dyDescent="0.25">
      <c r="A77" s="369" t="s">
        <v>896</v>
      </c>
      <c r="B77" s="369" t="s">
        <v>915</v>
      </c>
      <c r="C77" s="369" t="s">
        <v>1585</v>
      </c>
      <c r="D77" s="369"/>
      <c r="E77" s="370" t="s">
        <v>851</v>
      </c>
      <c r="F77" s="369">
        <v>1059595460</v>
      </c>
      <c r="G77" s="371" t="s">
        <v>1685</v>
      </c>
    </row>
    <row r="78" spans="1:7" ht="30" x14ac:dyDescent="0.25">
      <c r="A78" s="372" t="s">
        <v>873</v>
      </c>
      <c r="B78" s="372" t="s">
        <v>874</v>
      </c>
      <c r="C78" s="372" t="s">
        <v>1215</v>
      </c>
      <c r="D78" s="372"/>
      <c r="E78" s="373" t="s">
        <v>851</v>
      </c>
      <c r="F78" s="372">
        <v>1002849181</v>
      </c>
      <c r="G78" s="375" t="s">
        <v>1685</v>
      </c>
    </row>
    <row r="79" spans="1:7" ht="30" x14ac:dyDescent="0.25">
      <c r="A79" s="369" t="s">
        <v>1156</v>
      </c>
      <c r="B79" s="369" t="s">
        <v>884</v>
      </c>
      <c r="C79" s="369" t="s">
        <v>1481</v>
      </c>
      <c r="D79" s="369" t="s">
        <v>1482</v>
      </c>
      <c r="E79" s="370" t="s">
        <v>851</v>
      </c>
      <c r="F79" s="381">
        <v>1002847557</v>
      </c>
      <c r="G79" s="371" t="s">
        <v>1685</v>
      </c>
    </row>
    <row r="80" spans="1:7" ht="30" x14ac:dyDescent="0.25">
      <c r="A80" s="372" t="s">
        <v>953</v>
      </c>
      <c r="B80" s="372" t="s">
        <v>1286</v>
      </c>
      <c r="C80" s="372" t="s">
        <v>1463</v>
      </c>
      <c r="D80" s="372" t="s">
        <v>1579</v>
      </c>
      <c r="E80" s="373" t="s">
        <v>851</v>
      </c>
      <c r="F80" s="379">
        <v>1059594553</v>
      </c>
      <c r="G80" s="375" t="s">
        <v>1685</v>
      </c>
    </row>
    <row r="81" spans="1:7" ht="30" x14ac:dyDescent="0.25">
      <c r="A81" s="369" t="s">
        <v>1580</v>
      </c>
      <c r="B81" s="369" t="s">
        <v>914</v>
      </c>
      <c r="C81" s="369" t="s">
        <v>1581</v>
      </c>
      <c r="D81" s="369" t="s">
        <v>1464</v>
      </c>
      <c r="E81" s="370" t="s">
        <v>851</v>
      </c>
      <c r="F81" s="382">
        <v>1002846447</v>
      </c>
      <c r="G81" s="371" t="s">
        <v>1685</v>
      </c>
    </row>
    <row r="82" spans="1:7" ht="30" x14ac:dyDescent="0.25">
      <c r="A82" s="372" t="s">
        <v>1583</v>
      </c>
      <c r="B82" s="372" t="s">
        <v>873</v>
      </c>
      <c r="C82" s="372" t="s">
        <v>1584</v>
      </c>
      <c r="D82" s="372"/>
      <c r="E82" s="373" t="s">
        <v>851</v>
      </c>
      <c r="F82" s="379">
        <v>1003150179</v>
      </c>
      <c r="G82" s="375" t="s">
        <v>1684</v>
      </c>
    </row>
    <row r="83" spans="1:7" ht="30" x14ac:dyDescent="0.25">
      <c r="A83" s="369" t="s">
        <v>1322</v>
      </c>
      <c r="B83" s="369" t="s">
        <v>1378</v>
      </c>
      <c r="C83" s="369" t="s">
        <v>1587</v>
      </c>
      <c r="D83" s="369"/>
      <c r="E83" s="370" t="s">
        <v>851</v>
      </c>
      <c r="F83" s="382">
        <v>1059597005</v>
      </c>
      <c r="G83" s="371" t="s">
        <v>1685</v>
      </c>
    </row>
    <row r="84" spans="1:7" ht="30" x14ac:dyDescent="0.25">
      <c r="A84" s="372" t="s">
        <v>1590</v>
      </c>
      <c r="B84" s="372" t="s">
        <v>874</v>
      </c>
      <c r="C84" s="372" t="s">
        <v>1591</v>
      </c>
      <c r="D84" s="372"/>
      <c r="E84" s="373" t="s">
        <v>851</v>
      </c>
      <c r="F84" s="379">
        <v>1002846250</v>
      </c>
      <c r="G84" s="375" t="s">
        <v>1685</v>
      </c>
    </row>
    <row r="85" spans="1:7" ht="30" x14ac:dyDescent="0.25">
      <c r="A85" s="369" t="s">
        <v>1286</v>
      </c>
      <c r="B85" s="369" t="s">
        <v>1594</v>
      </c>
      <c r="C85" s="369" t="s">
        <v>1420</v>
      </c>
      <c r="D85" s="369"/>
      <c r="E85" s="370" t="s">
        <v>1094</v>
      </c>
      <c r="F85" s="382">
        <v>1059595940</v>
      </c>
      <c r="G85" s="371" t="s">
        <v>1685</v>
      </c>
    </row>
    <row r="86" spans="1:7" ht="30" x14ac:dyDescent="0.25">
      <c r="A86" s="372" t="s">
        <v>1598</v>
      </c>
      <c r="B86" s="372" t="s">
        <v>1599</v>
      </c>
      <c r="C86" s="372" t="s">
        <v>1597</v>
      </c>
      <c r="D86" s="372"/>
      <c r="E86" s="373" t="s">
        <v>851</v>
      </c>
      <c r="F86" s="372">
        <v>1002846452</v>
      </c>
      <c r="G86" s="375" t="s">
        <v>1685</v>
      </c>
    </row>
    <row r="87" spans="1:7" ht="30" x14ac:dyDescent="0.25">
      <c r="A87" s="369" t="s">
        <v>914</v>
      </c>
      <c r="B87" s="369" t="s">
        <v>1601</v>
      </c>
      <c r="C87" s="369" t="s">
        <v>1602</v>
      </c>
      <c r="D87" s="369"/>
      <c r="E87" s="370" t="s">
        <v>851</v>
      </c>
      <c r="F87" s="369">
        <v>1003370775</v>
      </c>
      <c r="G87" s="371" t="s">
        <v>1685</v>
      </c>
    </row>
    <row r="88" spans="1:7" ht="30" x14ac:dyDescent="0.25">
      <c r="A88" s="372" t="s">
        <v>896</v>
      </c>
      <c r="B88" s="372" t="s">
        <v>992</v>
      </c>
      <c r="C88" s="372" t="s">
        <v>1530</v>
      </c>
      <c r="D88" s="372" t="s">
        <v>1357</v>
      </c>
      <c r="E88" s="373" t="s">
        <v>851</v>
      </c>
      <c r="F88" s="372">
        <v>1002847645</v>
      </c>
      <c r="G88" s="375" t="s">
        <v>1685</v>
      </c>
    </row>
    <row r="89" spans="1:7" ht="30" x14ac:dyDescent="0.25">
      <c r="A89" s="369" t="s">
        <v>896</v>
      </c>
      <c r="B89" s="369" t="s">
        <v>1599</v>
      </c>
      <c r="C89" s="369" t="s">
        <v>1607</v>
      </c>
      <c r="D89" s="369" t="s">
        <v>1608</v>
      </c>
      <c r="E89" s="370" t="s">
        <v>851</v>
      </c>
      <c r="F89" s="369">
        <v>1060800773</v>
      </c>
      <c r="G89" s="371" t="s">
        <v>1684</v>
      </c>
    </row>
    <row r="90" spans="1:7" ht="30" x14ac:dyDescent="0.25">
      <c r="A90" s="372" t="s">
        <v>914</v>
      </c>
      <c r="B90" s="372" t="s">
        <v>943</v>
      </c>
      <c r="C90" s="372" t="s">
        <v>1198</v>
      </c>
      <c r="D90" s="372"/>
      <c r="E90" s="373" t="s">
        <v>851</v>
      </c>
      <c r="F90" s="372">
        <v>1059605317</v>
      </c>
      <c r="G90" s="375" t="s">
        <v>1685</v>
      </c>
    </row>
    <row r="91" spans="1:7" ht="30" x14ac:dyDescent="0.25">
      <c r="A91" s="369" t="s">
        <v>1439</v>
      </c>
      <c r="B91" s="369" t="s">
        <v>848</v>
      </c>
      <c r="C91" s="369" t="s">
        <v>1437</v>
      </c>
      <c r="D91" s="369"/>
      <c r="E91" s="370" t="s">
        <v>851</v>
      </c>
      <c r="F91" s="369">
        <v>1059595628</v>
      </c>
      <c r="G91" s="371" t="s">
        <v>1685</v>
      </c>
    </row>
    <row r="92" spans="1:7" ht="30" x14ac:dyDescent="0.25">
      <c r="A92" s="372" t="s">
        <v>873</v>
      </c>
      <c r="B92" s="372" t="s">
        <v>874</v>
      </c>
      <c r="C92" s="372" t="s">
        <v>1612</v>
      </c>
      <c r="D92" s="372" t="s">
        <v>1613</v>
      </c>
      <c r="E92" s="373" t="s">
        <v>851</v>
      </c>
      <c r="F92" s="372">
        <v>1002849103</v>
      </c>
      <c r="G92" s="375" t="s">
        <v>1685</v>
      </c>
    </row>
    <row r="93" spans="1:7" ht="30" x14ac:dyDescent="0.25">
      <c r="A93" s="369" t="s">
        <v>914</v>
      </c>
      <c r="B93" s="369" t="s">
        <v>914</v>
      </c>
      <c r="C93" s="369" t="s">
        <v>1614</v>
      </c>
      <c r="D93" s="369" t="s">
        <v>1277</v>
      </c>
      <c r="E93" s="370" t="s">
        <v>851</v>
      </c>
      <c r="F93" s="369">
        <v>1002847076</v>
      </c>
      <c r="G93" s="371" t="s">
        <v>1685</v>
      </c>
    </row>
    <row r="94" spans="1:7" ht="30" x14ac:dyDescent="0.25">
      <c r="A94" s="372" t="s">
        <v>1621</v>
      </c>
      <c r="B94" s="372" t="s">
        <v>1622</v>
      </c>
      <c r="C94" s="372" t="s">
        <v>1619</v>
      </c>
      <c r="D94" s="372" t="s">
        <v>1620</v>
      </c>
      <c r="E94" s="373" t="s">
        <v>851</v>
      </c>
      <c r="F94" s="372">
        <v>1104776221</v>
      </c>
      <c r="G94" s="375" t="s">
        <v>1685</v>
      </c>
    </row>
    <row r="95" spans="1:7" ht="30" x14ac:dyDescent="0.25">
      <c r="A95" s="369" t="s">
        <v>980</v>
      </c>
      <c r="B95" s="369" t="s">
        <v>914</v>
      </c>
      <c r="C95" s="369" t="s">
        <v>1623</v>
      </c>
      <c r="D95" s="369"/>
      <c r="E95" s="370" t="s">
        <v>851</v>
      </c>
      <c r="F95" s="369">
        <v>1059596737</v>
      </c>
      <c r="G95" s="371" t="s">
        <v>1685</v>
      </c>
    </row>
    <row r="96" spans="1:7" ht="30" x14ac:dyDescent="0.25">
      <c r="A96" s="372" t="s">
        <v>884</v>
      </c>
      <c r="B96" s="372" t="s">
        <v>1286</v>
      </c>
      <c r="C96" s="372" t="s">
        <v>1452</v>
      </c>
      <c r="D96" s="372"/>
      <c r="E96" s="373" t="s">
        <v>851</v>
      </c>
      <c r="F96" s="372">
        <v>25546688</v>
      </c>
      <c r="G96" s="375" t="s">
        <v>1684</v>
      </c>
    </row>
    <row r="97" spans="1:7" ht="30" x14ac:dyDescent="0.25">
      <c r="A97" s="369" t="s">
        <v>1629</v>
      </c>
      <c r="B97" s="369" t="s">
        <v>1249</v>
      </c>
      <c r="C97" s="369" t="s">
        <v>1630</v>
      </c>
      <c r="D97" s="369"/>
      <c r="E97" s="370" t="s">
        <v>851</v>
      </c>
      <c r="F97" s="369">
        <v>1059601748</v>
      </c>
      <c r="G97" s="371" t="s">
        <v>1685</v>
      </c>
    </row>
    <row r="98" spans="1:7" ht="30" x14ac:dyDescent="0.25">
      <c r="A98" s="372" t="s">
        <v>896</v>
      </c>
      <c r="B98" s="372" t="s">
        <v>1632</v>
      </c>
      <c r="C98" s="372" t="s">
        <v>1633</v>
      </c>
      <c r="D98" s="372"/>
      <c r="E98" s="373" t="s">
        <v>851</v>
      </c>
      <c r="F98" s="383">
        <v>1067467422</v>
      </c>
      <c r="G98" s="375" t="s">
        <v>1686</v>
      </c>
    </row>
    <row r="99" spans="1:7" ht="30" x14ac:dyDescent="0.25">
      <c r="A99" s="369" t="s">
        <v>1637</v>
      </c>
      <c r="B99" s="369" t="s">
        <v>1638</v>
      </c>
      <c r="C99" s="369" t="s">
        <v>1028</v>
      </c>
      <c r="D99" s="369"/>
      <c r="E99" s="370" t="s">
        <v>851</v>
      </c>
      <c r="F99" s="381">
        <v>1060986729</v>
      </c>
      <c r="G99" s="371" t="s">
        <v>1685</v>
      </c>
    </row>
    <row r="100" spans="1:7" ht="30" x14ac:dyDescent="0.25">
      <c r="A100" s="372" t="s">
        <v>1249</v>
      </c>
      <c r="B100" s="372" t="s">
        <v>914</v>
      </c>
      <c r="C100" s="372" t="s">
        <v>1659</v>
      </c>
      <c r="D100" s="372"/>
      <c r="E100" s="373" t="s">
        <v>851</v>
      </c>
      <c r="F100" s="372">
        <v>1059597497</v>
      </c>
      <c r="G100" s="375" t="s">
        <v>1685</v>
      </c>
    </row>
    <row r="101" spans="1:7" ht="30" x14ac:dyDescent="0.25">
      <c r="A101" s="369" t="s">
        <v>1439</v>
      </c>
      <c r="B101" s="369" t="s">
        <v>848</v>
      </c>
      <c r="C101" s="369" t="s">
        <v>1437</v>
      </c>
      <c r="D101" s="369"/>
      <c r="E101" s="370" t="s">
        <v>851</v>
      </c>
      <c r="F101" s="369">
        <v>1059595628</v>
      </c>
      <c r="G101" s="371" t="s">
        <v>1685</v>
      </c>
    </row>
    <row r="102" spans="1:7" ht="30" x14ac:dyDescent="0.25">
      <c r="A102" s="372" t="s">
        <v>953</v>
      </c>
      <c r="B102" s="372" t="s">
        <v>1660</v>
      </c>
      <c r="C102" s="372" t="s">
        <v>1217</v>
      </c>
      <c r="D102" s="372" t="s">
        <v>1661</v>
      </c>
      <c r="E102" s="373" t="s">
        <v>851</v>
      </c>
      <c r="F102" s="372">
        <v>1002848134</v>
      </c>
      <c r="G102" s="375" t="s">
        <v>1686</v>
      </c>
    </row>
    <row r="103" spans="1:7" ht="30" x14ac:dyDescent="0.25">
      <c r="A103" s="369" t="s">
        <v>848</v>
      </c>
      <c r="B103" s="369" t="s">
        <v>1034</v>
      </c>
      <c r="C103" s="369" t="s">
        <v>1612</v>
      </c>
      <c r="D103" s="369" t="s">
        <v>1662</v>
      </c>
      <c r="E103" s="370" t="s">
        <v>851</v>
      </c>
      <c r="F103" s="369">
        <v>1059601726</v>
      </c>
      <c r="G103" s="371" t="s">
        <v>1685</v>
      </c>
    </row>
    <row r="104" spans="1:7" ht="30" x14ac:dyDescent="0.25">
      <c r="A104" s="372" t="s">
        <v>1663</v>
      </c>
      <c r="B104" s="372" t="s">
        <v>1664</v>
      </c>
      <c r="C104" s="372" t="s">
        <v>938</v>
      </c>
      <c r="D104" s="372" t="s">
        <v>1665</v>
      </c>
      <c r="E104" s="373" t="s">
        <v>851</v>
      </c>
      <c r="F104" s="372">
        <v>1059601634</v>
      </c>
      <c r="G104" s="375" t="s">
        <v>1686</v>
      </c>
    </row>
    <row r="105" spans="1:7" ht="30" x14ac:dyDescent="0.25">
      <c r="A105" s="369" t="s">
        <v>980</v>
      </c>
      <c r="B105" s="369" t="s">
        <v>1666</v>
      </c>
      <c r="C105" s="369" t="s">
        <v>1287</v>
      </c>
      <c r="D105" s="369" t="s">
        <v>919</v>
      </c>
      <c r="E105" s="370" t="s">
        <v>851</v>
      </c>
      <c r="F105" s="369">
        <v>1002846819</v>
      </c>
      <c r="G105" s="371" t="s">
        <v>1685</v>
      </c>
    </row>
    <row r="106" spans="1:7" ht="30" x14ac:dyDescent="0.25">
      <c r="A106" s="372" t="s">
        <v>1667</v>
      </c>
      <c r="B106" s="372" t="s">
        <v>1668</v>
      </c>
      <c r="C106" s="372" t="s">
        <v>1669</v>
      </c>
      <c r="D106" s="372"/>
      <c r="E106" s="373" t="s">
        <v>851</v>
      </c>
      <c r="F106" s="372">
        <v>1064426895</v>
      </c>
      <c r="G106" s="375" t="s">
        <v>1685</v>
      </c>
    </row>
    <row r="107" spans="1:7" ht="30" x14ac:dyDescent="0.25">
      <c r="A107" s="369" t="s">
        <v>1210</v>
      </c>
      <c r="B107" s="369" t="s">
        <v>848</v>
      </c>
      <c r="C107" s="369" t="s">
        <v>1670</v>
      </c>
      <c r="D107" s="369" t="s">
        <v>1671</v>
      </c>
      <c r="E107" s="370" t="s">
        <v>851</v>
      </c>
      <c r="F107" s="369">
        <v>1059602883</v>
      </c>
      <c r="G107" s="371" t="s">
        <v>1685</v>
      </c>
    </row>
    <row r="108" spans="1:7" ht="30" x14ac:dyDescent="0.25">
      <c r="A108" s="372" t="s">
        <v>943</v>
      </c>
      <c r="B108" s="372" t="s">
        <v>848</v>
      </c>
      <c r="C108" s="372" t="s">
        <v>1673</v>
      </c>
      <c r="D108" s="372" t="s">
        <v>1674</v>
      </c>
      <c r="E108" s="373" t="s">
        <v>851</v>
      </c>
      <c r="F108" s="384">
        <v>1061689361</v>
      </c>
      <c r="G108" s="375" t="s">
        <v>1684</v>
      </c>
    </row>
    <row r="109" spans="1:7" ht="30" x14ac:dyDescent="0.25">
      <c r="A109" s="369" t="s">
        <v>1677</v>
      </c>
      <c r="B109" s="369" t="s">
        <v>962</v>
      </c>
      <c r="C109" s="369" t="s">
        <v>1678</v>
      </c>
      <c r="D109" s="369" t="s">
        <v>1679</v>
      </c>
      <c r="E109" s="370" t="s">
        <v>1094</v>
      </c>
      <c r="F109" s="385">
        <v>1023390806</v>
      </c>
      <c r="G109" s="371" t="s">
        <v>1684</v>
      </c>
    </row>
    <row r="110" spans="1:7" ht="30" x14ac:dyDescent="0.25">
      <c r="A110" s="372" t="s">
        <v>1286</v>
      </c>
      <c r="B110" s="372" t="s">
        <v>943</v>
      </c>
      <c r="C110" s="372" t="s">
        <v>1681</v>
      </c>
      <c r="D110" s="372"/>
      <c r="E110" s="373" t="s">
        <v>851</v>
      </c>
      <c r="F110" s="386">
        <v>25546851</v>
      </c>
      <c r="G110" s="375" t="s">
        <v>1685</v>
      </c>
    </row>
    <row r="111" spans="1:7" ht="30" x14ac:dyDescent="0.25">
      <c r="A111" s="369" t="s">
        <v>848</v>
      </c>
      <c r="B111" s="369" t="s">
        <v>914</v>
      </c>
      <c r="C111" s="369" t="s">
        <v>1683</v>
      </c>
      <c r="D111" s="369"/>
      <c r="E111" s="370" t="s">
        <v>851</v>
      </c>
      <c r="F111" s="385">
        <v>1059597833</v>
      </c>
      <c r="G111" s="371" t="s">
        <v>1686</v>
      </c>
    </row>
    <row r="112" spans="1:7" x14ac:dyDescent="0.25">
      <c r="A112" s="420" t="s">
        <v>329</v>
      </c>
      <c r="B112" s="420"/>
      <c r="C112" s="420"/>
      <c r="D112" s="420"/>
      <c r="E112" s="420"/>
      <c r="F112" s="420"/>
      <c r="G112" s="420"/>
    </row>
    <row r="113" spans="1:7" ht="50.25" customHeight="1" x14ac:dyDescent="0.25">
      <c r="A113" s="367" t="s">
        <v>94</v>
      </c>
      <c r="B113" s="367" t="s">
        <v>21</v>
      </c>
      <c r="C113" s="367" t="s">
        <v>0</v>
      </c>
      <c r="D113" s="367" t="s">
        <v>1</v>
      </c>
      <c r="E113" s="367" t="s">
        <v>2</v>
      </c>
      <c r="F113" s="367" t="s">
        <v>3</v>
      </c>
      <c r="G113" s="368" t="s">
        <v>329</v>
      </c>
    </row>
    <row r="114" spans="1:7" ht="63.75" x14ac:dyDescent="0.25">
      <c r="A114" s="369" t="s">
        <v>979</v>
      </c>
      <c r="B114" s="369" t="s">
        <v>943</v>
      </c>
      <c r="C114" s="369" t="s">
        <v>1217</v>
      </c>
      <c r="D114" s="369" t="s">
        <v>1398</v>
      </c>
      <c r="E114" s="370" t="s">
        <v>851</v>
      </c>
      <c r="F114" s="369">
        <v>1002846528</v>
      </c>
      <c r="G114" s="388" t="s">
        <v>1687</v>
      </c>
    </row>
    <row r="115" spans="1:7" x14ac:dyDescent="0.25">
      <c r="A115" s="420" t="s">
        <v>1688</v>
      </c>
      <c r="B115" s="420"/>
      <c r="C115" s="420"/>
      <c r="D115" s="420"/>
      <c r="E115" s="420"/>
      <c r="F115" s="420"/>
      <c r="G115" s="420"/>
    </row>
    <row r="116" spans="1:7" ht="45" x14ac:dyDescent="0.25">
      <c r="A116" s="367" t="s">
        <v>94</v>
      </c>
      <c r="B116" s="367" t="s">
        <v>21</v>
      </c>
      <c r="C116" s="367" t="s">
        <v>0</v>
      </c>
      <c r="D116" s="367" t="s">
        <v>1</v>
      </c>
      <c r="E116" s="367" t="s">
        <v>2</v>
      </c>
      <c r="F116" s="367" t="s">
        <v>3</v>
      </c>
      <c r="G116" s="368" t="s">
        <v>256</v>
      </c>
    </row>
    <row r="117" spans="1:7" ht="30" x14ac:dyDescent="0.25">
      <c r="A117" s="369" t="s">
        <v>1298</v>
      </c>
      <c r="B117" s="369" t="s">
        <v>914</v>
      </c>
      <c r="C117" s="369" t="s">
        <v>1299</v>
      </c>
      <c r="D117" s="369" t="s">
        <v>1300</v>
      </c>
      <c r="E117" s="370" t="s">
        <v>851</v>
      </c>
      <c r="F117" s="369" t="s">
        <v>1301</v>
      </c>
      <c r="G117" s="371">
        <v>45128</v>
      </c>
    </row>
    <row r="118" spans="1:7" ht="30" x14ac:dyDescent="0.25">
      <c r="A118" s="372" t="s">
        <v>1305</v>
      </c>
      <c r="B118" s="372" t="s">
        <v>884</v>
      </c>
      <c r="C118" s="372" t="s">
        <v>1306</v>
      </c>
      <c r="D118" s="372" t="s">
        <v>1307</v>
      </c>
      <c r="E118" s="373" t="s">
        <v>851</v>
      </c>
      <c r="F118" s="372">
        <v>1059604869</v>
      </c>
      <c r="G118" s="375">
        <v>45134</v>
      </c>
    </row>
    <row r="119" spans="1:7" ht="30" x14ac:dyDescent="0.25">
      <c r="A119" s="369" t="s">
        <v>914</v>
      </c>
      <c r="B119" s="369" t="s">
        <v>1318</v>
      </c>
      <c r="C119" s="369" t="s">
        <v>1319</v>
      </c>
      <c r="D119" s="369"/>
      <c r="E119" s="370" t="s">
        <v>851</v>
      </c>
      <c r="F119" s="369" t="s">
        <v>1320</v>
      </c>
      <c r="G119" s="371">
        <v>45127</v>
      </c>
    </row>
    <row r="120" spans="1:7" ht="30" x14ac:dyDescent="0.25">
      <c r="A120" s="372" t="s">
        <v>1332</v>
      </c>
      <c r="B120" s="372" t="s">
        <v>1091</v>
      </c>
      <c r="C120" s="372" t="s">
        <v>1333</v>
      </c>
      <c r="D120" s="372"/>
      <c r="E120" s="373" t="s">
        <v>1094</v>
      </c>
      <c r="F120" s="372">
        <v>1059595374</v>
      </c>
      <c r="G120" s="375">
        <v>44979</v>
      </c>
    </row>
    <row r="121" spans="1:7" ht="30" x14ac:dyDescent="0.25">
      <c r="A121" s="369" t="s">
        <v>914</v>
      </c>
      <c r="B121" s="369" t="s">
        <v>915</v>
      </c>
      <c r="C121" s="369" t="s">
        <v>916</v>
      </c>
      <c r="D121" s="369"/>
      <c r="E121" s="370" t="s">
        <v>1094</v>
      </c>
      <c r="F121" s="369">
        <v>1059598169</v>
      </c>
      <c r="G121" s="371">
        <v>44985</v>
      </c>
    </row>
    <row r="122" spans="1:7" ht="30" x14ac:dyDescent="0.25">
      <c r="A122" s="372" t="s">
        <v>1360</v>
      </c>
      <c r="B122" s="372" t="s">
        <v>1361</v>
      </c>
      <c r="C122" s="372" t="s">
        <v>938</v>
      </c>
      <c r="D122" s="372" t="s">
        <v>1362</v>
      </c>
      <c r="E122" s="373" t="s">
        <v>851</v>
      </c>
      <c r="F122" s="372" t="s">
        <v>1363</v>
      </c>
      <c r="G122" s="375">
        <v>45115</v>
      </c>
    </row>
    <row r="123" spans="1:7" ht="30" x14ac:dyDescent="0.25">
      <c r="A123" s="369" t="s">
        <v>1286</v>
      </c>
      <c r="B123" s="369" t="s">
        <v>914</v>
      </c>
      <c r="C123" s="369" t="s">
        <v>1198</v>
      </c>
      <c r="D123" s="369" t="s">
        <v>1364</v>
      </c>
      <c r="E123" s="370" t="s">
        <v>851</v>
      </c>
      <c r="F123" s="369">
        <v>1059600026</v>
      </c>
      <c r="G123" s="371">
        <v>45086</v>
      </c>
    </row>
    <row r="124" spans="1:7" ht="30" x14ac:dyDescent="0.25">
      <c r="A124" s="372" t="s">
        <v>857</v>
      </c>
      <c r="B124" s="372" t="s">
        <v>1365</v>
      </c>
      <c r="C124" s="372" t="s">
        <v>949</v>
      </c>
      <c r="D124" s="372" t="s">
        <v>1366</v>
      </c>
      <c r="E124" s="373" t="s">
        <v>851</v>
      </c>
      <c r="F124" s="372">
        <v>1002953350</v>
      </c>
      <c r="G124" s="375">
        <v>44993</v>
      </c>
    </row>
    <row r="125" spans="1:7" ht="30" x14ac:dyDescent="0.25">
      <c r="A125" s="369" t="s">
        <v>979</v>
      </c>
      <c r="B125" s="369" t="s">
        <v>943</v>
      </c>
      <c r="C125" s="369" t="s">
        <v>1217</v>
      </c>
      <c r="D125" s="369" t="s">
        <v>1398</v>
      </c>
      <c r="E125" s="370" t="s">
        <v>851</v>
      </c>
      <c r="F125" s="369">
        <v>1002846528</v>
      </c>
      <c r="G125" s="371">
        <v>45134</v>
      </c>
    </row>
    <row r="126" spans="1:7" ht="30" x14ac:dyDescent="0.25">
      <c r="A126" s="372" t="s">
        <v>873</v>
      </c>
      <c r="B126" s="372" t="s">
        <v>944</v>
      </c>
      <c r="C126" s="372" t="s">
        <v>1399</v>
      </c>
      <c r="D126" s="372" t="s">
        <v>1400</v>
      </c>
      <c r="E126" s="373" t="s">
        <v>851</v>
      </c>
      <c r="F126" s="372">
        <v>1002848796</v>
      </c>
      <c r="G126" s="375">
        <v>45121</v>
      </c>
    </row>
    <row r="127" spans="1:7" ht="30" x14ac:dyDescent="0.25">
      <c r="A127" s="369" t="s">
        <v>1427</v>
      </c>
      <c r="B127" s="369" t="s">
        <v>1428</v>
      </c>
      <c r="C127" s="369" t="s">
        <v>1429</v>
      </c>
      <c r="D127" s="369" t="s">
        <v>1430</v>
      </c>
      <c r="E127" s="370" t="s">
        <v>851</v>
      </c>
      <c r="F127" s="369">
        <v>1061528490</v>
      </c>
      <c r="G127" s="371">
        <v>45136</v>
      </c>
    </row>
    <row r="128" spans="1:7" ht="30" x14ac:dyDescent="0.25">
      <c r="A128" s="372" t="s">
        <v>1144</v>
      </c>
      <c r="B128" s="372" t="s">
        <v>884</v>
      </c>
      <c r="C128" s="372" t="s">
        <v>1432</v>
      </c>
      <c r="D128" s="372" t="s">
        <v>1433</v>
      </c>
      <c r="E128" s="373" t="s">
        <v>1094</v>
      </c>
      <c r="F128" s="372">
        <v>1059596594</v>
      </c>
      <c r="G128" s="375">
        <v>45120</v>
      </c>
    </row>
    <row r="129" spans="1:7" ht="30" x14ac:dyDescent="0.25">
      <c r="A129" s="369" t="s">
        <v>1441</v>
      </c>
      <c r="B129" s="369"/>
      <c r="C129" s="369" t="s">
        <v>1284</v>
      </c>
      <c r="D129" s="369" t="s">
        <v>1442</v>
      </c>
      <c r="E129" s="370" t="s">
        <v>851</v>
      </c>
      <c r="F129" s="369">
        <v>1002848635</v>
      </c>
      <c r="G129" s="371">
        <v>45136</v>
      </c>
    </row>
    <row r="130" spans="1:7" ht="30" x14ac:dyDescent="0.25">
      <c r="A130" s="372" t="s">
        <v>1179</v>
      </c>
      <c r="B130" s="372" t="s">
        <v>1435</v>
      </c>
      <c r="C130" s="372" t="s">
        <v>1448</v>
      </c>
      <c r="D130" s="372" t="s">
        <v>1294</v>
      </c>
      <c r="E130" s="373" t="s">
        <v>851</v>
      </c>
      <c r="F130" s="372">
        <v>1059594096</v>
      </c>
      <c r="G130" s="375">
        <v>45136</v>
      </c>
    </row>
    <row r="131" spans="1:7" ht="30" x14ac:dyDescent="0.25">
      <c r="A131" s="369" t="s">
        <v>1441</v>
      </c>
      <c r="B131" s="369" t="s">
        <v>914</v>
      </c>
      <c r="C131" s="369" t="s">
        <v>1451</v>
      </c>
      <c r="D131" s="369"/>
      <c r="E131" s="370" t="s">
        <v>851</v>
      </c>
      <c r="F131" s="369">
        <v>1059598007</v>
      </c>
      <c r="G131" s="371">
        <v>45115</v>
      </c>
    </row>
    <row r="132" spans="1:7" ht="30" x14ac:dyDescent="0.25">
      <c r="A132" s="372" t="s">
        <v>1458</v>
      </c>
      <c r="B132" s="372" t="s">
        <v>1459</v>
      </c>
      <c r="C132" s="372" t="s">
        <v>1460</v>
      </c>
      <c r="D132" s="372" t="s">
        <v>976</v>
      </c>
      <c r="E132" s="373" t="s">
        <v>1094</v>
      </c>
      <c r="F132" s="372">
        <v>1062295885</v>
      </c>
      <c r="G132" s="375">
        <v>45069</v>
      </c>
    </row>
    <row r="133" spans="1:7" ht="30" x14ac:dyDescent="0.25">
      <c r="A133" s="369" t="s">
        <v>964</v>
      </c>
      <c r="B133" s="369" t="s">
        <v>1465</v>
      </c>
      <c r="C133" s="369" t="s">
        <v>1002</v>
      </c>
      <c r="D133" s="369" t="s">
        <v>1366</v>
      </c>
      <c r="E133" s="370" t="s">
        <v>1094</v>
      </c>
      <c r="F133" s="369">
        <v>1061530990</v>
      </c>
      <c r="G133" s="371">
        <v>45136</v>
      </c>
    </row>
    <row r="134" spans="1:7" ht="30" x14ac:dyDescent="0.25">
      <c r="A134" s="372" t="s">
        <v>1156</v>
      </c>
      <c r="B134" s="372" t="s">
        <v>883</v>
      </c>
      <c r="C134" s="372" t="s">
        <v>1157</v>
      </c>
      <c r="D134" s="372" t="s">
        <v>1466</v>
      </c>
      <c r="E134" s="373" t="s">
        <v>851</v>
      </c>
      <c r="F134" s="372">
        <v>1059594587</v>
      </c>
      <c r="G134" s="375">
        <v>45114</v>
      </c>
    </row>
    <row r="135" spans="1:7" ht="30" x14ac:dyDescent="0.25">
      <c r="A135" s="369" t="s">
        <v>943</v>
      </c>
      <c r="B135" s="369" t="s">
        <v>1144</v>
      </c>
      <c r="C135" s="369" t="s">
        <v>1468</v>
      </c>
      <c r="D135" s="369" t="s">
        <v>1281</v>
      </c>
      <c r="E135" s="370" t="s">
        <v>851</v>
      </c>
      <c r="F135" s="369">
        <v>1059607505</v>
      </c>
      <c r="G135" s="371">
        <v>45118</v>
      </c>
    </row>
    <row r="136" spans="1:7" ht="30" x14ac:dyDescent="0.25">
      <c r="A136" s="372" t="s">
        <v>992</v>
      </c>
      <c r="B136" s="372" t="s">
        <v>1498</v>
      </c>
      <c r="C136" s="372" t="s">
        <v>938</v>
      </c>
      <c r="D136" s="372" t="s">
        <v>1499</v>
      </c>
      <c r="E136" s="373" t="s">
        <v>851</v>
      </c>
      <c r="F136" s="372" t="s">
        <v>1500</v>
      </c>
      <c r="G136" s="375">
        <v>45112</v>
      </c>
    </row>
    <row r="137" spans="1:7" ht="30" x14ac:dyDescent="0.25">
      <c r="A137" s="369" t="s">
        <v>848</v>
      </c>
      <c r="B137" s="369" t="s">
        <v>953</v>
      </c>
      <c r="C137" s="369" t="s">
        <v>1501</v>
      </c>
      <c r="D137" s="369" t="s">
        <v>919</v>
      </c>
      <c r="E137" s="370" t="s">
        <v>851</v>
      </c>
      <c r="F137" s="369" t="s">
        <v>1502</v>
      </c>
      <c r="G137" s="371">
        <v>45065</v>
      </c>
    </row>
    <row r="138" spans="1:7" ht="30" x14ac:dyDescent="0.25">
      <c r="A138" s="372" t="s">
        <v>1041</v>
      </c>
      <c r="B138" s="372" t="s">
        <v>1147</v>
      </c>
      <c r="C138" s="372" t="s">
        <v>1512</v>
      </c>
      <c r="D138" s="372"/>
      <c r="E138" s="373" t="s">
        <v>851</v>
      </c>
      <c r="F138" s="372">
        <v>1059604976</v>
      </c>
      <c r="G138" s="375">
        <v>45126</v>
      </c>
    </row>
    <row r="139" spans="1:7" ht="30" x14ac:dyDescent="0.25">
      <c r="A139" s="369" t="s">
        <v>1513</v>
      </c>
      <c r="B139" s="369" t="s">
        <v>1514</v>
      </c>
      <c r="C139" s="369" t="s">
        <v>1515</v>
      </c>
      <c r="D139" s="369"/>
      <c r="E139" s="370" t="s">
        <v>851</v>
      </c>
      <c r="F139" s="369">
        <v>1067461286</v>
      </c>
      <c r="G139" s="371">
        <v>45087</v>
      </c>
    </row>
    <row r="140" spans="1:7" ht="30" x14ac:dyDescent="0.25">
      <c r="A140" s="372" t="s">
        <v>1519</v>
      </c>
      <c r="B140" s="372" t="s">
        <v>848</v>
      </c>
      <c r="C140" s="372" t="s">
        <v>1520</v>
      </c>
      <c r="D140" s="372" t="s">
        <v>1521</v>
      </c>
      <c r="E140" s="373" t="s">
        <v>851</v>
      </c>
      <c r="F140" s="372">
        <v>1002950269</v>
      </c>
      <c r="G140" s="375">
        <v>45049</v>
      </c>
    </row>
    <row r="141" spans="1:7" ht="30" x14ac:dyDescent="0.25">
      <c r="A141" s="369" t="s">
        <v>896</v>
      </c>
      <c r="B141" s="369" t="s">
        <v>953</v>
      </c>
      <c r="C141" s="369" t="s">
        <v>1530</v>
      </c>
      <c r="D141" s="369" t="s">
        <v>1182</v>
      </c>
      <c r="E141" s="370" t="s">
        <v>851</v>
      </c>
      <c r="F141" s="369">
        <v>1059594419</v>
      </c>
      <c r="G141" s="371">
        <v>45051</v>
      </c>
    </row>
    <row r="142" spans="1:7" ht="30" x14ac:dyDescent="0.25">
      <c r="A142" s="372" t="s">
        <v>884</v>
      </c>
      <c r="B142" s="372" t="s">
        <v>1144</v>
      </c>
      <c r="C142" s="372" t="s">
        <v>1534</v>
      </c>
      <c r="D142" s="372"/>
      <c r="E142" s="373" t="s">
        <v>851</v>
      </c>
      <c r="F142" s="377">
        <v>1002846626</v>
      </c>
      <c r="G142" s="375">
        <v>45069</v>
      </c>
    </row>
    <row r="143" spans="1:7" ht="30" x14ac:dyDescent="0.25">
      <c r="A143" s="369" t="s">
        <v>1246</v>
      </c>
      <c r="B143" s="369" t="s">
        <v>943</v>
      </c>
      <c r="C143" s="369" t="s">
        <v>1535</v>
      </c>
      <c r="D143" s="369"/>
      <c r="E143" s="370" t="s">
        <v>851</v>
      </c>
      <c r="F143" s="376">
        <v>1002848307</v>
      </c>
      <c r="G143" s="371">
        <v>45121</v>
      </c>
    </row>
    <row r="144" spans="1:7" ht="30" x14ac:dyDescent="0.25">
      <c r="A144" s="372" t="s">
        <v>1540</v>
      </c>
      <c r="B144" s="372" t="s">
        <v>943</v>
      </c>
      <c r="C144" s="372" t="s">
        <v>1541</v>
      </c>
      <c r="D144" s="372" t="s">
        <v>1542</v>
      </c>
      <c r="E144" s="373" t="s">
        <v>851</v>
      </c>
      <c r="F144" s="379" t="s">
        <v>1539</v>
      </c>
      <c r="G144" s="375">
        <v>45121</v>
      </c>
    </row>
    <row r="145" spans="1:7" ht="30" x14ac:dyDescent="0.25">
      <c r="A145" s="369" t="s">
        <v>1144</v>
      </c>
      <c r="B145" s="369" t="s">
        <v>996</v>
      </c>
      <c r="C145" s="369" t="s">
        <v>1192</v>
      </c>
      <c r="D145" s="369"/>
      <c r="E145" s="370" t="s">
        <v>851</v>
      </c>
      <c r="F145" s="376">
        <v>1059604012</v>
      </c>
      <c r="G145" s="371">
        <v>45092</v>
      </c>
    </row>
    <row r="146" spans="1:7" ht="30" x14ac:dyDescent="0.25">
      <c r="A146" s="372" t="s">
        <v>896</v>
      </c>
      <c r="B146" s="372" t="s">
        <v>953</v>
      </c>
      <c r="C146" s="372" t="s">
        <v>1545</v>
      </c>
      <c r="D146" s="372"/>
      <c r="E146" s="373" t="s">
        <v>851</v>
      </c>
      <c r="F146" s="372">
        <v>25545389</v>
      </c>
      <c r="G146" s="375">
        <v>45094</v>
      </c>
    </row>
    <row r="147" spans="1:7" ht="30" x14ac:dyDescent="0.25">
      <c r="A147" s="369" t="s">
        <v>943</v>
      </c>
      <c r="B147" s="369" t="s">
        <v>1144</v>
      </c>
      <c r="C147" s="369" t="s">
        <v>1504</v>
      </c>
      <c r="D147" s="369" t="s">
        <v>1281</v>
      </c>
      <c r="E147" s="370" t="s">
        <v>1094</v>
      </c>
      <c r="F147" s="369">
        <v>1059599329</v>
      </c>
      <c r="G147" s="371">
        <v>45134</v>
      </c>
    </row>
    <row r="148" spans="1:7" ht="30" x14ac:dyDescent="0.25">
      <c r="A148" s="372" t="s">
        <v>996</v>
      </c>
      <c r="B148" s="372" t="s">
        <v>1559</v>
      </c>
      <c r="C148" s="372" t="s">
        <v>1560</v>
      </c>
      <c r="D148" s="372"/>
      <c r="E148" s="373" t="s">
        <v>851</v>
      </c>
      <c r="F148" s="372">
        <v>25552089</v>
      </c>
      <c r="G148" s="375">
        <v>45118</v>
      </c>
    </row>
    <row r="149" spans="1:7" ht="30" x14ac:dyDescent="0.25">
      <c r="A149" s="369" t="s">
        <v>953</v>
      </c>
      <c r="B149" s="369" t="s">
        <v>1378</v>
      </c>
      <c r="C149" s="369" t="s">
        <v>1617</v>
      </c>
      <c r="D149" s="369"/>
      <c r="E149" s="370" t="s">
        <v>851</v>
      </c>
      <c r="F149" s="369">
        <v>1059606238</v>
      </c>
      <c r="G149" s="371">
        <v>45115</v>
      </c>
    </row>
    <row r="150" spans="1:7" ht="30" x14ac:dyDescent="0.25">
      <c r="A150" s="372" t="s">
        <v>873</v>
      </c>
      <c r="B150" s="372" t="s">
        <v>962</v>
      </c>
      <c r="C150" s="372" t="s">
        <v>1501</v>
      </c>
      <c r="D150" s="372" t="s">
        <v>1340</v>
      </c>
      <c r="E150" s="373" t="s">
        <v>851</v>
      </c>
      <c r="F150" s="372">
        <v>1059594976</v>
      </c>
      <c r="G150" s="375">
        <v>45111</v>
      </c>
    </row>
    <row r="151" spans="1:7" x14ac:dyDescent="0.25">
      <c r="A151" s="369" t="s">
        <v>896</v>
      </c>
      <c r="B151" s="369" t="s">
        <v>953</v>
      </c>
      <c r="C151" s="369" t="s">
        <v>1634</v>
      </c>
      <c r="D151" s="369"/>
      <c r="E151" s="370"/>
      <c r="F151" s="369">
        <v>1002848733</v>
      </c>
      <c r="G151" s="371">
        <v>45113</v>
      </c>
    </row>
    <row r="152" spans="1:7" ht="30" x14ac:dyDescent="0.25">
      <c r="A152" s="372" t="s">
        <v>873</v>
      </c>
      <c r="B152" s="372" t="s">
        <v>874</v>
      </c>
      <c r="C152" s="372" t="s">
        <v>1215</v>
      </c>
      <c r="D152" s="372"/>
      <c r="E152" s="373" t="s">
        <v>851</v>
      </c>
      <c r="F152" s="372">
        <v>1002849181</v>
      </c>
      <c r="G152" s="375">
        <v>45121</v>
      </c>
    </row>
    <row r="153" spans="1:7" ht="30" x14ac:dyDescent="0.25">
      <c r="A153" s="369" t="s">
        <v>953</v>
      </c>
      <c r="B153" s="369" t="s">
        <v>1286</v>
      </c>
      <c r="C153" s="369" t="s">
        <v>1463</v>
      </c>
      <c r="D153" s="369" t="s">
        <v>1579</v>
      </c>
      <c r="E153" s="370" t="s">
        <v>851</v>
      </c>
      <c r="F153" s="382" t="s">
        <v>1578</v>
      </c>
      <c r="G153" s="371">
        <v>45121</v>
      </c>
    </row>
    <row r="154" spans="1:7" ht="30" x14ac:dyDescent="0.25">
      <c r="A154" s="372" t="s">
        <v>1580</v>
      </c>
      <c r="B154" s="372" t="s">
        <v>914</v>
      </c>
      <c r="C154" s="372" t="s">
        <v>1581</v>
      </c>
      <c r="D154" s="372" t="s">
        <v>1464</v>
      </c>
      <c r="E154" s="373" t="s">
        <v>851</v>
      </c>
      <c r="F154" s="379">
        <v>1002846447</v>
      </c>
      <c r="G154" s="375">
        <v>45121</v>
      </c>
    </row>
    <row r="155" spans="1:7" ht="30" x14ac:dyDescent="0.25">
      <c r="A155" s="369" t="s">
        <v>1583</v>
      </c>
      <c r="B155" s="369" t="s">
        <v>873</v>
      </c>
      <c r="C155" s="369" t="s">
        <v>1584</v>
      </c>
      <c r="D155" s="369"/>
      <c r="E155" s="370" t="s">
        <v>851</v>
      </c>
      <c r="F155" s="382" t="s">
        <v>1582</v>
      </c>
      <c r="G155" s="371">
        <v>45122</v>
      </c>
    </row>
    <row r="156" spans="1:7" ht="30" x14ac:dyDescent="0.25">
      <c r="A156" s="372" t="s">
        <v>1286</v>
      </c>
      <c r="B156" s="372" t="s">
        <v>1594</v>
      </c>
      <c r="C156" s="372" t="s">
        <v>1420</v>
      </c>
      <c r="D156" s="372"/>
      <c r="E156" s="373" t="s">
        <v>1094</v>
      </c>
      <c r="F156" s="379" t="s">
        <v>1593</v>
      </c>
      <c r="G156" s="375">
        <v>45134</v>
      </c>
    </row>
    <row r="157" spans="1:7" ht="30" x14ac:dyDescent="0.25">
      <c r="A157" s="369" t="s">
        <v>914</v>
      </c>
      <c r="B157" s="369" t="s">
        <v>1601</v>
      </c>
      <c r="C157" s="369" t="s">
        <v>1602</v>
      </c>
      <c r="D157" s="369"/>
      <c r="E157" s="370" t="s">
        <v>851</v>
      </c>
      <c r="F157" s="369">
        <v>1003370775</v>
      </c>
      <c r="G157" s="371">
        <v>45128</v>
      </c>
    </row>
    <row r="158" spans="1:7" ht="30" x14ac:dyDescent="0.25">
      <c r="A158" s="372" t="s">
        <v>914</v>
      </c>
      <c r="B158" s="372" t="s">
        <v>943</v>
      </c>
      <c r="C158" s="372" t="s">
        <v>1198</v>
      </c>
      <c r="D158" s="372"/>
      <c r="E158" s="373" t="s">
        <v>851</v>
      </c>
      <c r="F158" s="372">
        <v>1059605317</v>
      </c>
      <c r="G158" s="375">
        <v>45128</v>
      </c>
    </row>
    <row r="159" spans="1:7" ht="30" x14ac:dyDescent="0.25">
      <c r="A159" s="369" t="s">
        <v>896</v>
      </c>
      <c r="B159" s="369" t="s">
        <v>1632</v>
      </c>
      <c r="C159" s="369" t="s">
        <v>1633</v>
      </c>
      <c r="D159" s="369"/>
      <c r="E159" s="370" t="s">
        <v>851</v>
      </c>
      <c r="F159" s="383" t="s">
        <v>1631</v>
      </c>
      <c r="G159" s="371">
        <v>45112</v>
      </c>
    </row>
    <row r="160" spans="1:7" x14ac:dyDescent="0.25">
      <c r="A160" s="420" t="s">
        <v>1628</v>
      </c>
      <c r="B160" s="420"/>
      <c r="C160" s="420"/>
      <c r="D160" s="420"/>
      <c r="E160" s="420"/>
      <c r="F160" s="420"/>
      <c r="G160" s="420"/>
    </row>
    <row r="161" spans="1:7" ht="81.75" customHeight="1" x14ac:dyDescent="0.25">
      <c r="A161" s="367" t="s">
        <v>94</v>
      </c>
      <c r="B161" s="367" t="s">
        <v>21</v>
      </c>
      <c r="C161" s="367" t="s">
        <v>0</v>
      </c>
      <c r="D161" s="367" t="s">
        <v>1</v>
      </c>
      <c r="E161" s="367" t="s">
        <v>2</v>
      </c>
      <c r="F161" s="367" t="s">
        <v>3</v>
      </c>
      <c r="G161" s="389" t="s">
        <v>766</v>
      </c>
    </row>
    <row r="162" spans="1:7" ht="38.25" x14ac:dyDescent="0.25">
      <c r="A162" s="369" t="s">
        <v>1361</v>
      </c>
      <c r="B162" s="369" t="s">
        <v>1470</v>
      </c>
      <c r="C162" s="369" t="s">
        <v>1553</v>
      </c>
      <c r="D162" s="369"/>
      <c r="E162" s="370" t="s">
        <v>851</v>
      </c>
      <c r="F162" s="369">
        <v>1059595865</v>
      </c>
      <c r="G162" s="388" t="s">
        <v>1628</v>
      </c>
    </row>
    <row r="163" spans="1:7" x14ac:dyDescent="0.25">
      <c r="A163" s="387" t="s">
        <v>1689</v>
      </c>
      <c r="B163" s="372"/>
      <c r="C163" s="372"/>
      <c r="D163" s="372"/>
      <c r="E163" s="372"/>
      <c r="F163" s="372"/>
      <c r="G163" s="372"/>
    </row>
    <row r="164" spans="1:7" ht="45" x14ac:dyDescent="0.25">
      <c r="A164" s="367" t="s">
        <v>94</v>
      </c>
      <c r="B164" s="367" t="s">
        <v>21</v>
      </c>
      <c r="C164" s="367" t="s">
        <v>0</v>
      </c>
      <c r="D164" s="367" t="s">
        <v>1</v>
      </c>
      <c r="E164" s="367" t="s">
        <v>2</v>
      </c>
      <c r="F164" s="367" t="s">
        <v>3</v>
      </c>
      <c r="G164" s="372"/>
    </row>
    <row r="165" spans="1:7" ht="30" x14ac:dyDescent="0.25">
      <c r="A165" s="372" t="s">
        <v>914</v>
      </c>
      <c r="B165" s="372" t="s">
        <v>915</v>
      </c>
      <c r="C165" s="372" t="s">
        <v>916</v>
      </c>
      <c r="D165" s="372"/>
      <c r="E165" s="373" t="s">
        <v>1094</v>
      </c>
      <c r="F165" s="372">
        <v>1059598169</v>
      </c>
      <c r="G165" s="372"/>
    </row>
    <row r="166" spans="1:7" ht="30" x14ac:dyDescent="0.25">
      <c r="A166" s="369" t="s">
        <v>944</v>
      </c>
      <c r="B166" s="369" t="s">
        <v>943</v>
      </c>
      <c r="C166" s="369" t="s">
        <v>1421</v>
      </c>
      <c r="D166" s="369"/>
      <c r="E166" s="370" t="s">
        <v>851</v>
      </c>
      <c r="F166" s="369">
        <v>1002846330</v>
      </c>
      <c r="G166" s="372"/>
    </row>
    <row r="167" spans="1:7" ht="30" x14ac:dyDescent="0.25">
      <c r="A167" s="372" t="s">
        <v>848</v>
      </c>
      <c r="B167" s="372" t="s">
        <v>943</v>
      </c>
      <c r="C167" s="372" t="s">
        <v>1423</v>
      </c>
      <c r="D167" s="372"/>
      <c r="E167" s="373" t="s">
        <v>851</v>
      </c>
      <c r="F167" s="372">
        <v>1193097625</v>
      </c>
      <c r="G167" s="372"/>
    </row>
    <row r="168" spans="1:7" ht="30" x14ac:dyDescent="0.25">
      <c r="A168" s="369" t="s">
        <v>1427</v>
      </c>
      <c r="B168" s="369" t="s">
        <v>1428</v>
      </c>
      <c r="C168" s="369" t="s">
        <v>1429</v>
      </c>
      <c r="D168" s="369" t="s">
        <v>1430</v>
      </c>
      <c r="E168" s="370" t="s">
        <v>851</v>
      </c>
      <c r="F168" s="369">
        <v>1061528490</v>
      </c>
      <c r="G168" s="372"/>
    </row>
    <row r="169" spans="1:7" ht="30" x14ac:dyDescent="0.25">
      <c r="A169" s="372" t="s">
        <v>1144</v>
      </c>
      <c r="B169" s="372" t="s">
        <v>884</v>
      </c>
      <c r="C169" s="372" t="s">
        <v>1432</v>
      </c>
      <c r="D169" s="372" t="s">
        <v>1433</v>
      </c>
      <c r="E169" s="373" t="s">
        <v>1094</v>
      </c>
      <c r="F169" s="372">
        <v>1059596594</v>
      </c>
      <c r="G169" s="372"/>
    </row>
    <row r="170" spans="1:7" ht="30" x14ac:dyDescent="0.25">
      <c r="A170" s="369" t="s">
        <v>1443</v>
      </c>
      <c r="B170" s="369" t="s">
        <v>1444</v>
      </c>
      <c r="C170" s="369" t="s">
        <v>1445</v>
      </c>
      <c r="D170" s="369"/>
      <c r="E170" s="370" t="s">
        <v>851</v>
      </c>
      <c r="F170" s="369">
        <v>1061757665</v>
      </c>
      <c r="G170" s="372"/>
    </row>
    <row r="171" spans="1:7" ht="30" x14ac:dyDescent="0.25">
      <c r="A171" s="372" t="s">
        <v>943</v>
      </c>
      <c r="B171" s="372" t="s">
        <v>1144</v>
      </c>
      <c r="C171" s="372" t="s">
        <v>1468</v>
      </c>
      <c r="D171" s="372" t="s">
        <v>1281</v>
      </c>
      <c r="E171" s="373" t="s">
        <v>851</v>
      </c>
      <c r="F171" s="372">
        <v>1059607505</v>
      </c>
      <c r="G171" s="372"/>
    </row>
    <row r="172" spans="1:7" ht="30" x14ac:dyDescent="0.25">
      <c r="A172" s="369" t="s">
        <v>1513</v>
      </c>
      <c r="B172" s="369" t="s">
        <v>1514</v>
      </c>
      <c r="C172" s="369" t="s">
        <v>1515</v>
      </c>
      <c r="D172" s="369"/>
      <c r="E172" s="370" t="s">
        <v>851</v>
      </c>
      <c r="F172" s="369">
        <v>1067461286</v>
      </c>
      <c r="G172" s="372"/>
    </row>
    <row r="173" spans="1:7" ht="30" x14ac:dyDescent="0.25">
      <c r="A173" s="372" t="s">
        <v>896</v>
      </c>
      <c r="B173" s="372" t="s">
        <v>953</v>
      </c>
      <c r="C173" s="372" t="s">
        <v>1530</v>
      </c>
      <c r="D173" s="372" t="s">
        <v>1182</v>
      </c>
      <c r="E173" s="373" t="s">
        <v>851</v>
      </c>
      <c r="F173" s="372">
        <v>1059594419</v>
      </c>
      <c r="G173" s="372"/>
    </row>
    <row r="174" spans="1:7" ht="30" x14ac:dyDescent="0.25">
      <c r="A174" s="369" t="s">
        <v>1286</v>
      </c>
      <c r="B174" s="369" t="s">
        <v>980</v>
      </c>
      <c r="C174" s="369" t="s">
        <v>1528</v>
      </c>
      <c r="D174" s="369" t="s">
        <v>1281</v>
      </c>
      <c r="E174" s="370" t="s">
        <v>851</v>
      </c>
      <c r="F174" s="369">
        <v>1059596092</v>
      </c>
      <c r="G174" s="372"/>
    </row>
    <row r="175" spans="1:7" ht="30" x14ac:dyDescent="0.25">
      <c r="A175" s="372" t="s">
        <v>873</v>
      </c>
      <c r="B175" s="372" t="s">
        <v>1091</v>
      </c>
      <c r="C175" s="372" t="s">
        <v>1277</v>
      </c>
      <c r="D175" s="372"/>
      <c r="E175" s="373" t="s">
        <v>851</v>
      </c>
      <c r="F175" s="390">
        <v>1059598472</v>
      </c>
      <c r="G175" s="372"/>
    </row>
    <row r="176" spans="1:7" ht="30" x14ac:dyDescent="0.25">
      <c r="A176" s="369" t="s">
        <v>1580</v>
      </c>
      <c r="B176" s="369" t="s">
        <v>914</v>
      </c>
      <c r="C176" s="369" t="s">
        <v>1581</v>
      </c>
      <c r="D176" s="369" t="s">
        <v>1464</v>
      </c>
      <c r="E176" s="370" t="s">
        <v>851</v>
      </c>
      <c r="F176" s="382">
        <v>1002846447</v>
      </c>
      <c r="G176" s="372"/>
    </row>
    <row r="177" spans="1:7" ht="30" x14ac:dyDescent="0.25">
      <c r="A177" s="372" t="s">
        <v>1590</v>
      </c>
      <c r="B177" s="372" t="s">
        <v>874</v>
      </c>
      <c r="C177" s="372" t="s">
        <v>1591</v>
      </c>
      <c r="D177" s="372"/>
      <c r="E177" s="373" t="s">
        <v>851</v>
      </c>
      <c r="F177" s="379" t="s">
        <v>1589</v>
      </c>
      <c r="G177" s="372"/>
    </row>
    <row r="178" spans="1:7" ht="30" x14ac:dyDescent="0.25">
      <c r="A178" s="369" t="s">
        <v>896</v>
      </c>
      <c r="B178" s="369" t="s">
        <v>992</v>
      </c>
      <c r="C178" s="369" t="s">
        <v>1530</v>
      </c>
      <c r="D178" s="369" t="s">
        <v>1357</v>
      </c>
      <c r="E178" s="370" t="s">
        <v>851</v>
      </c>
      <c r="F178" s="369">
        <v>1002847645</v>
      </c>
      <c r="G178" s="372"/>
    </row>
    <row r="179" spans="1:7" ht="30" x14ac:dyDescent="0.25">
      <c r="A179" s="372" t="s">
        <v>896</v>
      </c>
      <c r="B179" s="372" t="s">
        <v>1599</v>
      </c>
      <c r="C179" s="372" t="s">
        <v>1607</v>
      </c>
      <c r="D179" s="372" t="s">
        <v>1608</v>
      </c>
      <c r="E179" s="373" t="s">
        <v>851</v>
      </c>
      <c r="F179" s="372">
        <v>1060800773</v>
      </c>
      <c r="G179" s="372"/>
    </row>
    <row r="180" spans="1:7" ht="30" x14ac:dyDescent="0.25">
      <c r="A180" s="369" t="s">
        <v>980</v>
      </c>
      <c r="B180" s="369" t="s">
        <v>914</v>
      </c>
      <c r="C180" s="369" t="s">
        <v>1623</v>
      </c>
      <c r="D180" s="369"/>
      <c r="E180" s="370" t="s">
        <v>851</v>
      </c>
      <c r="F180" s="369">
        <v>1059596737</v>
      </c>
      <c r="G180" s="372"/>
    </row>
    <row r="181" spans="1:7" ht="30" x14ac:dyDescent="0.25">
      <c r="A181" s="372" t="s">
        <v>1629</v>
      </c>
      <c r="B181" s="372" t="s">
        <v>1249</v>
      </c>
      <c r="C181" s="372" t="s">
        <v>1630</v>
      </c>
      <c r="D181" s="372"/>
      <c r="E181" s="373" t="s">
        <v>851</v>
      </c>
      <c r="F181" s="372">
        <v>1059601748</v>
      </c>
      <c r="G181" s="372"/>
    </row>
    <row r="182" spans="1:7" ht="30" x14ac:dyDescent="0.25">
      <c r="A182" s="369" t="s">
        <v>953</v>
      </c>
      <c r="B182" s="369" t="s">
        <v>1660</v>
      </c>
      <c r="C182" s="369" t="s">
        <v>1217</v>
      </c>
      <c r="D182" s="369" t="s">
        <v>1661</v>
      </c>
      <c r="E182" s="370" t="s">
        <v>851</v>
      </c>
      <c r="F182" s="369">
        <v>1002848134</v>
      </c>
      <c r="G182" s="372"/>
    </row>
    <row r="183" spans="1:7" ht="30" x14ac:dyDescent="0.25">
      <c r="A183" s="372" t="s">
        <v>848</v>
      </c>
      <c r="B183" s="372" t="s">
        <v>1034</v>
      </c>
      <c r="C183" s="372" t="s">
        <v>1612</v>
      </c>
      <c r="D183" s="372" t="s">
        <v>1662</v>
      </c>
      <c r="E183" s="373" t="s">
        <v>851</v>
      </c>
      <c r="F183" s="372">
        <v>1059601726</v>
      </c>
      <c r="G183" s="372"/>
    </row>
    <row r="184" spans="1:7" ht="30" x14ac:dyDescent="0.25">
      <c r="A184" s="369" t="s">
        <v>1663</v>
      </c>
      <c r="B184" s="369" t="s">
        <v>1664</v>
      </c>
      <c r="C184" s="369" t="s">
        <v>938</v>
      </c>
      <c r="D184" s="369" t="s">
        <v>1665</v>
      </c>
      <c r="E184" s="370" t="s">
        <v>851</v>
      </c>
      <c r="F184" s="369">
        <v>1059601634</v>
      </c>
      <c r="G184" s="372"/>
    </row>
    <row r="185" spans="1:7" ht="30" x14ac:dyDescent="0.25">
      <c r="A185" s="372" t="s">
        <v>1667</v>
      </c>
      <c r="B185" s="372" t="s">
        <v>1668</v>
      </c>
      <c r="C185" s="372" t="s">
        <v>1669</v>
      </c>
      <c r="D185" s="372"/>
      <c r="E185" s="373" t="s">
        <v>851</v>
      </c>
      <c r="F185" s="372">
        <v>1064426895</v>
      </c>
      <c r="G185" s="372"/>
    </row>
    <row r="186" spans="1:7" ht="30" x14ac:dyDescent="0.25">
      <c r="A186" s="369" t="s">
        <v>1210</v>
      </c>
      <c r="B186" s="369" t="s">
        <v>848</v>
      </c>
      <c r="C186" s="369" t="s">
        <v>1670</v>
      </c>
      <c r="D186" s="369" t="s">
        <v>1671</v>
      </c>
      <c r="E186" s="370" t="s">
        <v>851</v>
      </c>
      <c r="F186" s="369">
        <v>1059602883</v>
      </c>
      <c r="G186" s="372"/>
    </row>
    <row r="187" spans="1:7" ht="30" x14ac:dyDescent="0.25">
      <c r="A187" s="372" t="s">
        <v>943</v>
      </c>
      <c r="B187" s="372" t="s">
        <v>848</v>
      </c>
      <c r="C187" s="372" t="s">
        <v>1673</v>
      </c>
      <c r="D187" s="372" t="s">
        <v>1674</v>
      </c>
      <c r="E187" s="373" t="s">
        <v>851</v>
      </c>
      <c r="F187" s="384" t="s">
        <v>1672</v>
      </c>
      <c r="G187" s="372"/>
    </row>
    <row r="188" spans="1:7" ht="30" x14ac:dyDescent="0.25">
      <c r="A188" s="369" t="s">
        <v>1677</v>
      </c>
      <c r="B188" s="369" t="s">
        <v>962</v>
      </c>
      <c r="C188" s="369" t="s">
        <v>1678</v>
      </c>
      <c r="D188" s="369" t="s">
        <v>1679</v>
      </c>
      <c r="E188" s="370" t="s">
        <v>1094</v>
      </c>
      <c r="F188" s="385" t="s">
        <v>1676</v>
      </c>
      <c r="G188" s="372"/>
    </row>
    <row r="189" spans="1:7" ht="30" x14ac:dyDescent="0.25">
      <c r="A189" s="372" t="s">
        <v>1286</v>
      </c>
      <c r="B189" s="372" t="s">
        <v>943</v>
      </c>
      <c r="C189" s="372" t="s">
        <v>1681</v>
      </c>
      <c r="D189" s="372"/>
      <c r="E189" s="373" t="s">
        <v>851</v>
      </c>
      <c r="F189" s="386" t="s">
        <v>1680</v>
      </c>
      <c r="G189" s="372"/>
    </row>
    <row r="190" spans="1:7" ht="30" x14ac:dyDescent="0.25">
      <c r="A190" s="369" t="s">
        <v>848</v>
      </c>
      <c r="B190" s="369" t="s">
        <v>914</v>
      </c>
      <c r="C190" s="369" t="s">
        <v>1683</v>
      </c>
      <c r="D190" s="369"/>
      <c r="E190" s="370" t="s">
        <v>851</v>
      </c>
      <c r="F190" s="385" t="s">
        <v>1682</v>
      </c>
      <c r="G190" s="372"/>
    </row>
    <row r="191" spans="1:7" x14ac:dyDescent="0.25">
      <c r="A191" s="387" t="s">
        <v>332</v>
      </c>
      <c r="B191" s="372"/>
      <c r="C191" s="372"/>
      <c r="D191" s="372"/>
      <c r="E191" s="372"/>
      <c r="F191" s="372"/>
      <c r="G191" s="372"/>
    </row>
    <row r="192" spans="1:7" ht="45" x14ac:dyDescent="0.25">
      <c r="A192" s="367" t="s">
        <v>94</v>
      </c>
      <c r="B192" s="367" t="s">
        <v>21</v>
      </c>
      <c r="C192" s="367" t="s">
        <v>0</v>
      </c>
      <c r="D192" s="367" t="s">
        <v>1</v>
      </c>
      <c r="E192" s="367" t="s">
        <v>2</v>
      </c>
      <c r="F192" s="367" t="s">
        <v>3</v>
      </c>
      <c r="G192" s="372"/>
    </row>
    <row r="193" spans="1:7" ht="30" x14ac:dyDescent="0.25">
      <c r="A193" s="372" t="s">
        <v>874</v>
      </c>
      <c r="B193" s="372" t="s">
        <v>943</v>
      </c>
      <c r="C193" s="372" t="s">
        <v>1340</v>
      </c>
      <c r="D193" s="372"/>
      <c r="E193" s="373" t="s">
        <v>1094</v>
      </c>
      <c r="F193" s="372">
        <v>1059597393</v>
      </c>
      <c r="G193" s="372"/>
    </row>
    <row r="194" spans="1:7" ht="30" x14ac:dyDescent="0.25">
      <c r="A194" s="369" t="s">
        <v>914</v>
      </c>
      <c r="B194" s="369" t="s">
        <v>915</v>
      </c>
      <c r="C194" s="369" t="s">
        <v>916</v>
      </c>
      <c r="D194" s="369"/>
      <c r="E194" s="370" t="s">
        <v>1094</v>
      </c>
      <c r="F194" s="369">
        <v>1059598169</v>
      </c>
      <c r="G194" s="372"/>
    </row>
    <row r="195" spans="1:7" ht="30" x14ac:dyDescent="0.25">
      <c r="A195" s="372" t="s">
        <v>857</v>
      </c>
      <c r="B195" s="372" t="s">
        <v>1365</v>
      </c>
      <c r="C195" s="372" t="s">
        <v>949</v>
      </c>
      <c r="D195" s="372" t="s">
        <v>1366</v>
      </c>
      <c r="E195" s="373" t="s">
        <v>851</v>
      </c>
      <c r="F195" s="372">
        <v>1002953350</v>
      </c>
      <c r="G195" s="372"/>
    </row>
    <row r="196" spans="1:7" ht="30" x14ac:dyDescent="0.25">
      <c r="A196" s="369" t="s">
        <v>896</v>
      </c>
      <c r="B196" s="369" t="s">
        <v>943</v>
      </c>
      <c r="C196" s="369" t="s">
        <v>1452</v>
      </c>
      <c r="D196" s="369" t="s">
        <v>1372</v>
      </c>
      <c r="E196" s="370" t="s">
        <v>851</v>
      </c>
      <c r="F196" s="369">
        <v>1059599315</v>
      </c>
      <c r="G196" s="372"/>
    </row>
    <row r="197" spans="1:7" ht="30" x14ac:dyDescent="0.25">
      <c r="A197" s="372" t="s">
        <v>943</v>
      </c>
      <c r="B197" s="372" t="s">
        <v>1144</v>
      </c>
      <c r="C197" s="372" t="s">
        <v>1468</v>
      </c>
      <c r="D197" s="372" t="s">
        <v>1281</v>
      </c>
      <c r="E197" s="373" t="s">
        <v>851</v>
      </c>
      <c r="F197" s="372">
        <v>1059607505</v>
      </c>
      <c r="G197" s="372"/>
    </row>
    <row r="198" spans="1:7" ht="30" x14ac:dyDescent="0.25">
      <c r="A198" s="369" t="s">
        <v>884</v>
      </c>
      <c r="B198" s="369" t="s">
        <v>914</v>
      </c>
      <c r="C198" s="369" t="s">
        <v>1479</v>
      </c>
      <c r="D198" s="369" t="s">
        <v>1480</v>
      </c>
      <c r="E198" s="370" t="s">
        <v>851</v>
      </c>
      <c r="F198" s="369">
        <v>1002847894</v>
      </c>
      <c r="G198" s="372"/>
    </row>
    <row r="199" spans="1:7" ht="30" x14ac:dyDescent="0.25">
      <c r="A199" s="372" t="s">
        <v>1513</v>
      </c>
      <c r="B199" s="372" t="s">
        <v>1514</v>
      </c>
      <c r="C199" s="372" t="s">
        <v>1515</v>
      </c>
      <c r="D199" s="372"/>
      <c r="E199" s="373" t="s">
        <v>851</v>
      </c>
      <c r="F199" s="372">
        <v>1067461286</v>
      </c>
      <c r="G199" s="372"/>
    </row>
    <row r="200" spans="1:7" ht="30" x14ac:dyDescent="0.25">
      <c r="A200" s="369" t="s">
        <v>873</v>
      </c>
      <c r="B200" s="369" t="s">
        <v>1091</v>
      </c>
      <c r="C200" s="369" t="s">
        <v>1277</v>
      </c>
      <c r="D200" s="369"/>
      <c r="E200" s="370" t="s">
        <v>851</v>
      </c>
      <c r="F200" s="378">
        <v>1059598472</v>
      </c>
      <c r="G200" s="372"/>
    </row>
    <row r="201" spans="1:7" ht="30" x14ac:dyDescent="0.25">
      <c r="A201" s="372" t="s">
        <v>1549</v>
      </c>
      <c r="B201" s="372" t="s">
        <v>1298</v>
      </c>
      <c r="C201" s="372" t="s">
        <v>1550</v>
      </c>
      <c r="D201" s="372" t="s">
        <v>1551</v>
      </c>
      <c r="E201" s="373" t="s">
        <v>851</v>
      </c>
      <c r="F201" s="380" t="s">
        <v>1548</v>
      </c>
      <c r="G201" s="372"/>
    </row>
    <row r="202" spans="1:7" ht="30" x14ac:dyDescent="0.25">
      <c r="A202" s="369" t="s">
        <v>1580</v>
      </c>
      <c r="B202" s="369" t="s">
        <v>914</v>
      </c>
      <c r="C202" s="369" t="s">
        <v>1581</v>
      </c>
      <c r="D202" s="369" t="s">
        <v>1464</v>
      </c>
      <c r="E202" s="370" t="s">
        <v>851</v>
      </c>
      <c r="F202" s="382">
        <v>1002846447</v>
      </c>
      <c r="G202" s="372"/>
    </row>
    <row r="203" spans="1:7" ht="30" x14ac:dyDescent="0.25">
      <c r="A203" s="372" t="s">
        <v>1590</v>
      </c>
      <c r="B203" s="372" t="s">
        <v>874</v>
      </c>
      <c r="C203" s="372" t="s">
        <v>1591</v>
      </c>
      <c r="D203" s="372"/>
      <c r="E203" s="373" t="s">
        <v>851</v>
      </c>
      <c r="F203" s="379" t="s">
        <v>1589</v>
      </c>
      <c r="G203" s="372"/>
    </row>
    <row r="204" spans="1:7" ht="30" x14ac:dyDescent="0.25">
      <c r="A204" s="369" t="s">
        <v>896</v>
      </c>
      <c r="B204" s="369" t="s">
        <v>992</v>
      </c>
      <c r="C204" s="369" t="s">
        <v>1530</v>
      </c>
      <c r="D204" s="369" t="s">
        <v>1357</v>
      </c>
      <c r="E204" s="370" t="s">
        <v>851</v>
      </c>
      <c r="F204" s="369">
        <v>1002847645</v>
      </c>
      <c r="G204" s="372"/>
    </row>
    <row r="205" spans="1:7" ht="30" x14ac:dyDescent="0.25">
      <c r="A205" s="372" t="s">
        <v>896</v>
      </c>
      <c r="B205" s="372" t="s">
        <v>1599</v>
      </c>
      <c r="C205" s="372" t="s">
        <v>1607</v>
      </c>
      <c r="D205" s="372" t="s">
        <v>1608</v>
      </c>
      <c r="E205" s="373" t="s">
        <v>851</v>
      </c>
      <c r="F205" s="372">
        <v>1060800773</v>
      </c>
      <c r="G205" s="372"/>
    </row>
    <row r="206" spans="1:7" ht="30" x14ac:dyDescent="0.25">
      <c r="A206" s="369" t="s">
        <v>980</v>
      </c>
      <c r="B206" s="369" t="s">
        <v>914</v>
      </c>
      <c r="C206" s="369" t="s">
        <v>1623</v>
      </c>
      <c r="D206" s="369"/>
      <c r="E206" s="370" t="s">
        <v>851</v>
      </c>
      <c r="F206" s="369">
        <v>1059596737</v>
      </c>
      <c r="G206" s="372"/>
    </row>
    <row r="207" spans="1:7" ht="30" x14ac:dyDescent="0.25">
      <c r="A207" s="372" t="s">
        <v>1629</v>
      </c>
      <c r="B207" s="372" t="s">
        <v>1249</v>
      </c>
      <c r="C207" s="372" t="s">
        <v>1630</v>
      </c>
      <c r="D207" s="372"/>
      <c r="E207" s="373" t="s">
        <v>851</v>
      </c>
      <c r="F207" s="372">
        <v>1059601748</v>
      </c>
      <c r="G207" s="372"/>
    </row>
    <row r="208" spans="1:7" ht="30" x14ac:dyDescent="0.25">
      <c r="A208" s="369" t="s">
        <v>953</v>
      </c>
      <c r="B208" s="369" t="s">
        <v>1660</v>
      </c>
      <c r="C208" s="369" t="s">
        <v>1217</v>
      </c>
      <c r="D208" s="369" t="s">
        <v>1661</v>
      </c>
      <c r="E208" s="370" t="s">
        <v>851</v>
      </c>
      <c r="F208" s="369">
        <v>1002848134</v>
      </c>
      <c r="G208" s="372"/>
    </row>
    <row r="209" spans="1:7" ht="30" x14ac:dyDescent="0.25">
      <c r="A209" s="372" t="s">
        <v>848</v>
      </c>
      <c r="B209" s="372" t="s">
        <v>1034</v>
      </c>
      <c r="C209" s="372" t="s">
        <v>1612</v>
      </c>
      <c r="D209" s="372" t="s">
        <v>1662</v>
      </c>
      <c r="E209" s="373" t="s">
        <v>851</v>
      </c>
      <c r="F209" s="372">
        <v>1059601726</v>
      </c>
      <c r="G209" s="372"/>
    </row>
    <row r="210" spans="1:7" ht="30" x14ac:dyDescent="0.25">
      <c r="A210" s="369" t="s">
        <v>1663</v>
      </c>
      <c r="B210" s="369" t="s">
        <v>1664</v>
      </c>
      <c r="C210" s="369" t="s">
        <v>938</v>
      </c>
      <c r="D210" s="369" t="s">
        <v>1665</v>
      </c>
      <c r="E210" s="370" t="s">
        <v>851</v>
      </c>
      <c r="F210" s="369">
        <v>1059601634</v>
      </c>
      <c r="G210" s="372"/>
    </row>
    <row r="211" spans="1:7" ht="30" x14ac:dyDescent="0.25">
      <c r="A211" s="372" t="s">
        <v>1667</v>
      </c>
      <c r="B211" s="372" t="s">
        <v>1668</v>
      </c>
      <c r="C211" s="372" t="s">
        <v>1669</v>
      </c>
      <c r="D211" s="372"/>
      <c r="E211" s="373" t="s">
        <v>851</v>
      </c>
      <c r="F211" s="372">
        <v>1064426895</v>
      </c>
      <c r="G211" s="372"/>
    </row>
    <row r="212" spans="1:7" ht="30" x14ac:dyDescent="0.25">
      <c r="A212" s="369" t="s">
        <v>1210</v>
      </c>
      <c r="B212" s="369" t="s">
        <v>848</v>
      </c>
      <c r="C212" s="369" t="s">
        <v>1670</v>
      </c>
      <c r="D212" s="369" t="s">
        <v>1671</v>
      </c>
      <c r="E212" s="370" t="s">
        <v>851</v>
      </c>
      <c r="F212" s="369">
        <v>1059602883</v>
      </c>
      <c r="G212" s="372"/>
    </row>
    <row r="213" spans="1:7" ht="30" x14ac:dyDescent="0.25">
      <c r="A213" s="372" t="s">
        <v>943</v>
      </c>
      <c r="B213" s="372" t="s">
        <v>848</v>
      </c>
      <c r="C213" s="372" t="s">
        <v>1673</v>
      </c>
      <c r="D213" s="372" t="s">
        <v>1674</v>
      </c>
      <c r="E213" s="373" t="s">
        <v>851</v>
      </c>
      <c r="F213" s="384" t="s">
        <v>1672</v>
      </c>
      <c r="G213" s="372"/>
    </row>
    <row r="214" spans="1:7" ht="30" x14ac:dyDescent="0.25">
      <c r="A214" s="369" t="s">
        <v>1677</v>
      </c>
      <c r="B214" s="369" t="s">
        <v>962</v>
      </c>
      <c r="C214" s="369" t="s">
        <v>1678</v>
      </c>
      <c r="D214" s="369" t="s">
        <v>1679</v>
      </c>
      <c r="E214" s="370" t="s">
        <v>1094</v>
      </c>
      <c r="F214" s="385" t="s">
        <v>1676</v>
      </c>
      <c r="G214" s="372"/>
    </row>
    <row r="215" spans="1:7" ht="30" x14ac:dyDescent="0.25">
      <c r="A215" s="372" t="s">
        <v>1286</v>
      </c>
      <c r="B215" s="372" t="s">
        <v>943</v>
      </c>
      <c r="C215" s="372" t="s">
        <v>1681</v>
      </c>
      <c r="D215" s="372"/>
      <c r="E215" s="373" t="s">
        <v>851</v>
      </c>
      <c r="F215" s="386" t="s">
        <v>1680</v>
      </c>
      <c r="G215" s="372"/>
    </row>
    <row r="216" spans="1:7" ht="30" x14ac:dyDescent="0.25">
      <c r="A216" s="369" t="s">
        <v>848</v>
      </c>
      <c r="B216" s="369" t="s">
        <v>914</v>
      </c>
      <c r="C216" s="369" t="s">
        <v>1683</v>
      </c>
      <c r="D216" s="369"/>
      <c r="E216" s="370" t="s">
        <v>851</v>
      </c>
      <c r="F216" s="385" t="s">
        <v>1682</v>
      </c>
      <c r="G216" s="372"/>
    </row>
    <row r="217" spans="1:7" x14ac:dyDescent="0.25">
      <c r="A217" s="420" t="s">
        <v>1690</v>
      </c>
      <c r="B217" s="420"/>
      <c r="C217" s="420"/>
      <c r="D217" s="420"/>
      <c r="E217" s="420"/>
      <c r="F217" s="420"/>
      <c r="G217" s="372"/>
    </row>
    <row r="218" spans="1:7" ht="45" x14ac:dyDescent="0.25">
      <c r="A218" s="367" t="s">
        <v>94</v>
      </c>
      <c r="B218" s="367" t="s">
        <v>21</v>
      </c>
      <c r="C218" s="367" t="s">
        <v>0</v>
      </c>
      <c r="D218" s="367" t="s">
        <v>1</v>
      </c>
      <c r="E218" s="367" t="s">
        <v>2</v>
      </c>
      <c r="F218" s="367" t="s">
        <v>3</v>
      </c>
      <c r="G218" s="372"/>
    </row>
    <row r="219" spans="1:7" ht="30" x14ac:dyDescent="0.25">
      <c r="A219" s="369" t="s">
        <v>1441</v>
      </c>
      <c r="B219" s="369" t="s">
        <v>914</v>
      </c>
      <c r="C219" s="369" t="s">
        <v>1451</v>
      </c>
      <c r="D219" s="369"/>
      <c r="E219" s="370" t="s">
        <v>851</v>
      </c>
      <c r="F219" s="369">
        <v>1059598007</v>
      </c>
      <c r="G219" s="372"/>
    </row>
    <row r="220" spans="1:7" ht="30" x14ac:dyDescent="0.25">
      <c r="A220" s="372" t="s">
        <v>896</v>
      </c>
      <c r="B220" s="372" t="s">
        <v>943</v>
      </c>
      <c r="C220" s="372" t="s">
        <v>1452</v>
      </c>
      <c r="D220" s="372" t="s">
        <v>1372</v>
      </c>
      <c r="E220" s="373" t="s">
        <v>851</v>
      </c>
      <c r="F220" s="372">
        <v>1059599315</v>
      </c>
      <c r="G220" s="372"/>
    </row>
    <row r="221" spans="1:7" ht="30" x14ac:dyDescent="0.25">
      <c r="A221" s="369" t="s">
        <v>1156</v>
      </c>
      <c r="B221" s="369" t="s">
        <v>883</v>
      </c>
      <c r="C221" s="369" t="s">
        <v>1157</v>
      </c>
      <c r="D221" s="369" t="s">
        <v>1466</v>
      </c>
      <c r="E221" s="370" t="s">
        <v>851</v>
      </c>
      <c r="F221" s="369">
        <v>1059594587</v>
      </c>
      <c r="G221" s="372"/>
    </row>
    <row r="222" spans="1:7" ht="30" x14ac:dyDescent="0.25">
      <c r="A222" s="372" t="s">
        <v>883</v>
      </c>
      <c r="B222" s="372" t="s">
        <v>1290</v>
      </c>
      <c r="C222" s="372" t="s">
        <v>1476</v>
      </c>
      <c r="D222" s="372"/>
      <c r="E222" s="373" t="s">
        <v>851</v>
      </c>
      <c r="F222" s="372">
        <v>1059604081</v>
      </c>
      <c r="G222" s="372"/>
    </row>
    <row r="223" spans="1:7" ht="30" x14ac:dyDescent="0.25">
      <c r="A223" s="369" t="s">
        <v>974</v>
      </c>
      <c r="B223" s="369" t="s">
        <v>943</v>
      </c>
      <c r="C223" s="369" t="s">
        <v>1217</v>
      </c>
      <c r="D223" s="369" t="s">
        <v>1490</v>
      </c>
      <c r="E223" s="370" t="s">
        <v>851</v>
      </c>
      <c r="F223" s="369" t="s">
        <v>1491</v>
      </c>
      <c r="G223" s="372"/>
    </row>
    <row r="224" spans="1:7" ht="30" x14ac:dyDescent="0.25">
      <c r="A224" s="372" t="s">
        <v>884</v>
      </c>
      <c r="B224" s="372" t="s">
        <v>1378</v>
      </c>
      <c r="C224" s="372" t="s">
        <v>1494</v>
      </c>
      <c r="D224" s="372" t="s">
        <v>1495</v>
      </c>
      <c r="E224" s="373" t="s">
        <v>851</v>
      </c>
      <c r="F224" s="372" t="s">
        <v>1496</v>
      </c>
      <c r="G224" s="372"/>
    </row>
    <row r="225" spans="1:7" ht="30" x14ac:dyDescent="0.25">
      <c r="A225" s="369" t="s">
        <v>992</v>
      </c>
      <c r="B225" s="369" t="s">
        <v>1498</v>
      </c>
      <c r="C225" s="369" t="s">
        <v>938</v>
      </c>
      <c r="D225" s="369" t="s">
        <v>1499</v>
      </c>
      <c r="E225" s="370" t="s">
        <v>851</v>
      </c>
      <c r="F225" s="369" t="s">
        <v>1500</v>
      </c>
      <c r="G225" s="372"/>
    </row>
    <row r="226" spans="1:7" ht="30" x14ac:dyDescent="0.25">
      <c r="A226" s="372" t="s">
        <v>848</v>
      </c>
      <c r="B226" s="372" t="s">
        <v>953</v>
      </c>
      <c r="C226" s="372" t="s">
        <v>1501</v>
      </c>
      <c r="D226" s="372" t="s">
        <v>919</v>
      </c>
      <c r="E226" s="373" t="s">
        <v>851</v>
      </c>
      <c r="F226" s="372" t="s">
        <v>1502</v>
      </c>
      <c r="G226" s="372"/>
    </row>
    <row r="227" spans="1:7" ht="30" x14ac:dyDescent="0.25">
      <c r="A227" s="369" t="s">
        <v>1041</v>
      </c>
      <c r="B227" s="369" t="s">
        <v>1147</v>
      </c>
      <c r="C227" s="369" t="s">
        <v>1512</v>
      </c>
      <c r="D227" s="369"/>
      <c r="E227" s="370" t="s">
        <v>851</v>
      </c>
      <c r="F227" s="369">
        <v>1059604976</v>
      </c>
      <c r="G227" s="372"/>
    </row>
    <row r="228" spans="1:7" ht="30" x14ac:dyDescent="0.25">
      <c r="A228" s="372" t="s">
        <v>896</v>
      </c>
      <c r="B228" s="372" t="s">
        <v>953</v>
      </c>
      <c r="C228" s="372" t="s">
        <v>1530</v>
      </c>
      <c r="D228" s="372" t="s">
        <v>1182</v>
      </c>
      <c r="E228" s="373" t="s">
        <v>851</v>
      </c>
      <c r="F228" s="372">
        <v>1059594419</v>
      </c>
      <c r="G228" s="372"/>
    </row>
    <row r="229" spans="1:7" ht="30" x14ac:dyDescent="0.25">
      <c r="A229" s="369" t="s">
        <v>896</v>
      </c>
      <c r="B229" s="369" t="s">
        <v>1091</v>
      </c>
      <c r="C229" s="369" t="s">
        <v>1538</v>
      </c>
      <c r="D229" s="369"/>
      <c r="E229" s="370" t="s">
        <v>851</v>
      </c>
      <c r="F229" s="369">
        <v>1002846350</v>
      </c>
      <c r="G229" s="372"/>
    </row>
    <row r="230" spans="1:7" ht="30" x14ac:dyDescent="0.25">
      <c r="A230" s="372" t="s">
        <v>1144</v>
      </c>
      <c r="B230" s="372" t="s">
        <v>996</v>
      </c>
      <c r="C230" s="372" t="s">
        <v>1192</v>
      </c>
      <c r="D230" s="372"/>
      <c r="E230" s="373" t="s">
        <v>851</v>
      </c>
      <c r="F230" s="377">
        <v>1059604012</v>
      </c>
      <c r="G230" s="372"/>
    </row>
    <row r="231" spans="1:7" ht="30" x14ac:dyDescent="0.25">
      <c r="A231" s="369" t="s">
        <v>873</v>
      </c>
      <c r="B231" s="369" t="s">
        <v>962</v>
      </c>
      <c r="C231" s="369" t="s">
        <v>1501</v>
      </c>
      <c r="D231" s="369" t="s">
        <v>1340</v>
      </c>
      <c r="E231" s="370" t="s">
        <v>851</v>
      </c>
      <c r="F231" s="369">
        <v>1059594976</v>
      </c>
      <c r="G231" s="372"/>
    </row>
    <row r="232" spans="1:7" ht="30" x14ac:dyDescent="0.25">
      <c r="A232" s="372" t="s">
        <v>896</v>
      </c>
      <c r="B232" s="372" t="s">
        <v>915</v>
      </c>
      <c r="C232" s="372" t="s">
        <v>1585</v>
      </c>
      <c r="D232" s="372"/>
      <c r="E232" s="373" t="s">
        <v>851</v>
      </c>
      <c r="F232" s="372">
        <v>1059595460</v>
      </c>
      <c r="G232" s="372"/>
    </row>
    <row r="233" spans="1:7" ht="30" x14ac:dyDescent="0.25">
      <c r="A233" s="369" t="s">
        <v>1156</v>
      </c>
      <c r="B233" s="369" t="s">
        <v>884</v>
      </c>
      <c r="C233" s="369" t="s">
        <v>1481</v>
      </c>
      <c r="D233" s="369" t="s">
        <v>1482</v>
      </c>
      <c r="E233" s="370" t="s">
        <v>851</v>
      </c>
      <c r="F233" s="381" t="s">
        <v>1483</v>
      </c>
      <c r="G233" s="372"/>
    </row>
    <row r="234" spans="1:7" ht="30" x14ac:dyDescent="0.25">
      <c r="A234" s="372" t="s">
        <v>1580</v>
      </c>
      <c r="B234" s="372" t="s">
        <v>914</v>
      </c>
      <c r="C234" s="372" t="s">
        <v>1581</v>
      </c>
      <c r="D234" s="372" t="s">
        <v>1464</v>
      </c>
      <c r="E234" s="373" t="s">
        <v>851</v>
      </c>
      <c r="F234" s="379">
        <v>1002846447</v>
      </c>
      <c r="G234" s="372"/>
    </row>
    <row r="235" spans="1:7" ht="30" x14ac:dyDescent="0.25">
      <c r="A235" s="369" t="s">
        <v>896</v>
      </c>
      <c r="B235" s="369" t="s">
        <v>992</v>
      </c>
      <c r="C235" s="369" t="s">
        <v>1530</v>
      </c>
      <c r="D235" s="369" t="s">
        <v>1357</v>
      </c>
      <c r="E235" s="370" t="s">
        <v>851</v>
      </c>
      <c r="F235" s="369">
        <v>1002847645</v>
      </c>
      <c r="G235" s="372"/>
    </row>
    <row r="236" spans="1:7" x14ac:dyDescent="0.25">
      <c r="A236" s="422" t="s">
        <v>1691</v>
      </c>
      <c r="B236" s="422"/>
      <c r="C236" s="422"/>
      <c r="D236" s="422"/>
      <c r="E236" s="422"/>
      <c r="F236" s="422"/>
      <c r="G236" s="372"/>
    </row>
    <row r="237" spans="1:7" ht="45" x14ac:dyDescent="0.25">
      <c r="A237" s="367" t="s">
        <v>94</v>
      </c>
      <c r="B237" s="367" t="s">
        <v>21</v>
      </c>
      <c r="C237" s="367" t="s">
        <v>0</v>
      </c>
      <c r="D237" s="367" t="s">
        <v>1</v>
      </c>
      <c r="E237" s="367" t="s">
        <v>2</v>
      </c>
      <c r="F237" s="367" t="s">
        <v>3</v>
      </c>
      <c r="G237" s="372"/>
    </row>
    <row r="238" spans="1:7" ht="30" x14ac:dyDescent="0.25">
      <c r="A238" s="369" t="s">
        <v>1549</v>
      </c>
      <c r="B238" s="369" t="s">
        <v>1298</v>
      </c>
      <c r="C238" s="369" t="s">
        <v>1550</v>
      </c>
      <c r="D238" s="369" t="s">
        <v>1551</v>
      </c>
      <c r="E238" s="370" t="s">
        <v>851</v>
      </c>
      <c r="F238" s="381" t="s">
        <v>1548</v>
      </c>
      <c r="G238" s="372"/>
    </row>
    <row r="239" spans="1:7" ht="30" x14ac:dyDescent="0.25">
      <c r="A239" s="372" t="s">
        <v>1286</v>
      </c>
      <c r="B239" s="372" t="s">
        <v>943</v>
      </c>
      <c r="C239" s="372" t="s">
        <v>1681</v>
      </c>
      <c r="D239" s="372"/>
      <c r="E239" s="373" t="s">
        <v>851</v>
      </c>
      <c r="F239" s="386" t="s">
        <v>1680</v>
      </c>
      <c r="G239" s="372"/>
    </row>
    <row r="240" spans="1:7" x14ac:dyDescent="0.25">
      <c r="A240" s="420" t="s">
        <v>1692</v>
      </c>
      <c r="B240" s="420"/>
      <c r="C240" s="420"/>
      <c r="D240" s="420"/>
      <c r="E240" s="420"/>
      <c r="F240" s="420"/>
      <c r="G240" s="372"/>
    </row>
    <row r="241" spans="1:7" ht="45" x14ac:dyDescent="0.25">
      <c r="A241" s="367" t="s">
        <v>94</v>
      </c>
      <c r="B241" s="367" t="s">
        <v>21</v>
      </c>
      <c r="C241" s="367" t="s">
        <v>0</v>
      </c>
      <c r="D241" s="367" t="s">
        <v>1</v>
      </c>
      <c r="E241" s="367" t="s">
        <v>2</v>
      </c>
      <c r="F241" s="367" t="s">
        <v>3</v>
      </c>
      <c r="G241" s="372"/>
    </row>
    <row r="242" spans="1:7" ht="30" x14ac:dyDescent="0.25">
      <c r="A242" s="372" t="s">
        <v>974</v>
      </c>
      <c r="B242" s="372" t="s">
        <v>1144</v>
      </c>
      <c r="C242" s="372" t="s">
        <v>1192</v>
      </c>
      <c r="D242" s="372" t="s">
        <v>1193</v>
      </c>
      <c r="E242" s="373" t="s">
        <v>1094</v>
      </c>
      <c r="F242" s="372">
        <v>1059595334</v>
      </c>
      <c r="G242" s="372"/>
    </row>
    <row r="243" spans="1:7" ht="30" x14ac:dyDescent="0.25">
      <c r="A243" s="369" t="s">
        <v>896</v>
      </c>
      <c r="B243" s="369" t="s">
        <v>943</v>
      </c>
      <c r="C243" s="369" t="s">
        <v>1452</v>
      </c>
      <c r="D243" s="369" t="s">
        <v>1372</v>
      </c>
      <c r="E243" s="370" t="s">
        <v>851</v>
      </c>
      <c r="F243" s="369">
        <v>1059599315</v>
      </c>
      <c r="G243" s="372"/>
    </row>
    <row r="244" spans="1:7" ht="30" x14ac:dyDescent="0.25">
      <c r="A244" s="372" t="s">
        <v>1156</v>
      </c>
      <c r="B244" s="372" t="s">
        <v>883</v>
      </c>
      <c r="C244" s="372" t="s">
        <v>1157</v>
      </c>
      <c r="D244" s="372" t="s">
        <v>1466</v>
      </c>
      <c r="E244" s="373" t="s">
        <v>851</v>
      </c>
      <c r="F244" s="372">
        <v>1059594587</v>
      </c>
      <c r="G244" s="372"/>
    </row>
    <row r="245" spans="1:7" ht="30" x14ac:dyDescent="0.25">
      <c r="A245" s="369" t="s">
        <v>883</v>
      </c>
      <c r="B245" s="369" t="s">
        <v>1290</v>
      </c>
      <c r="C245" s="369" t="s">
        <v>1476</v>
      </c>
      <c r="D245" s="369"/>
      <c r="E245" s="370" t="s">
        <v>851</v>
      </c>
      <c r="F245" s="369">
        <v>1059604081</v>
      </c>
      <c r="G245" s="372"/>
    </row>
    <row r="246" spans="1:7" ht="30" x14ac:dyDescent="0.25">
      <c r="A246" s="372" t="s">
        <v>967</v>
      </c>
      <c r="B246" s="372" t="s">
        <v>980</v>
      </c>
      <c r="C246" s="372" t="s">
        <v>1492</v>
      </c>
      <c r="D246" s="372"/>
      <c r="E246" s="373" t="s">
        <v>851</v>
      </c>
      <c r="F246" s="372" t="s">
        <v>1493</v>
      </c>
      <c r="G246" s="372"/>
    </row>
    <row r="247" spans="1:7" ht="30" x14ac:dyDescent="0.25">
      <c r="A247" s="369" t="s">
        <v>848</v>
      </c>
      <c r="B247" s="369" t="s">
        <v>953</v>
      </c>
      <c r="C247" s="369" t="s">
        <v>1501</v>
      </c>
      <c r="D247" s="369" t="s">
        <v>919</v>
      </c>
      <c r="E247" s="370" t="s">
        <v>851</v>
      </c>
      <c r="F247" s="369" t="s">
        <v>1502</v>
      </c>
      <c r="G247" s="372"/>
    </row>
    <row r="248" spans="1:7" ht="30" x14ac:dyDescent="0.25">
      <c r="A248" s="372" t="s">
        <v>992</v>
      </c>
      <c r="B248" s="372" t="s">
        <v>848</v>
      </c>
      <c r="C248" s="372" t="s">
        <v>1504</v>
      </c>
      <c r="D248" s="372" t="s">
        <v>1157</v>
      </c>
      <c r="E248" s="373" t="s">
        <v>851</v>
      </c>
      <c r="F248" s="372">
        <v>1002848292</v>
      </c>
      <c r="G248" s="372"/>
    </row>
    <row r="249" spans="1:7" ht="30" x14ac:dyDescent="0.25">
      <c r="A249" s="369" t="s">
        <v>1507</v>
      </c>
      <c r="B249" s="369" t="s">
        <v>1365</v>
      </c>
      <c r="C249" s="369" t="s">
        <v>1508</v>
      </c>
      <c r="D249" s="369"/>
      <c r="E249" s="370" t="s">
        <v>851</v>
      </c>
      <c r="F249" s="369">
        <v>1059600322</v>
      </c>
      <c r="G249" s="372"/>
    </row>
    <row r="250" spans="1:7" ht="30" x14ac:dyDescent="0.25">
      <c r="A250" s="372" t="s">
        <v>896</v>
      </c>
      <c r="B250" s="372" t="s">
        <v>953</v>
      </c>
      <c r="C250" s="372" t="s">
        <v>1530</v>
      </c>
      <c r="D250" s="372" t="s">
        <v>1182</v>
      </c>
      <c r="E250" s="373" t="s">
        <v>851</v>
      </c>
      <c r="F250" s="372">
        <v>1059594419</v>
      </c>
      <c r="G250" s="372"/>
    </row>
    <row r="251" spans="1:7" ht="30" x14ac:dyDescent="0.25">
      <c r="A251" s="369" t="s">
        <v>896</v>
      </c>
      <c r="B251" s="369" t="s">
        <v>1091</v>
      </c>
      <c r="C251" s="369" t="s">
        <v>1538</v>
      </c>
      <c r="D251" s="369"/>
      <c r="E251" s="370" t="s">
        <v>851</v>
      </c>
      <c r="F251" s="369">
        <v>1002846350</v>
      </c>
      <c r="G251" s="372"/>
    </row>
    <row r="252" spans="1:7" ht="30" x14ac:dyDescent="0.25">
      <c r="A252" s="372" t="s">
        <v>896</v>
      </c>
      <c r="B252" s="372" t="s">
        <v>953</v>
      </c>
      <c r="C252" s="372" t="s">
        <v>1217</v>
      </c>
      <c r="D252" s="372" t="s">
        <v>1471</v>
      </c>
      <c r="E252" s="373" t="s">
        <v>851</v>
      </c>
      <c r="F252" s="377">
        <v>1059602285</v>
      </c>
      <c r="G252" s="372"/>
    </row>
    <row r="253" spans="1:7" ht="30" x14ac:dyDescent="0.25">
      <c r="A253" s="369" t="s">
        <v>896</v>
      </c>
      <c r="B253" s="369" t="s">
        <v>953</v>
      </c>
      <c r="C253" s="369" t="s">
        <v>1545</v>
      </c>
      <c r="D253" s="369"/>
      <c r="E253" s="370" t="s">
        <v>851</v>
      </c>
      <c r="F253" s="369">
        <v>25545389</v>
      </c>
      <c r="G253" s="372"/>
    </row>
    <row r="254" spans="1:7" ht="30" x14ac:dyDescent="0.25">
      <c r="A254" s="372" t="s">
        <v>943</v>
      </c>
      <c r="B254" s="372" t="s">
        <v>1144</v>
      </c>
      <c r="C254" s="372" t="s">
        <v>1504</v>
      </c>
      <c r="D254" s="372" t="s">
        <v>1281</v>
      </c>
      <c r="E254" s="373" t="s">
        <v>1094</v>
      </c>
      <c r="F254" s="372">
        <v>1059599329</v>
      </c>
      <c r="G254" s="372"/>
    </row>
    <row r="255" spans="1:7" ht="30" x14ac:dyDescent="0.25">
      <c r="A255" s="369" t="s">
        <v>1361</v>
      </c>
      <c r="B255" s="369" t="s">
        <v>1470</v>
      </c>
      <c r="C255" s="369" t="s">
        <v>1553</v>
      </c>
      <c r="D255" s="369"/>
      <c r="E255" s="370" t="s">
        <v>851</v>
      </c>
      <c r="F255" s="369">
        <v>1059595865</v>
      </c>
      <c r="G255" s="372"/>
    </row>
    <row r="256" spans="1:7" ht="30" x14ac:dyDescent="0.25">
      <c r="A256" s="372" t="s">
        <v>953</v>
      </c>
      <c r="B256" s="372" t="s">
        <v>1378</v>
      </c>
      <c r="C256" s="372" t="s">
        <v>1617</v>
      </c>
      <c r="D256" s="372"/>
      <c r="E256" s="373" t="s">
        <v>851</v>
      </c>
      <c r="F256" s="372">
        <v>1059606238</v>
      </c>
      <c r="G256" s="372"/>
    </row>
    <row r="257" spans="1:7" ht="30" x14ac:dyDescent="0.25">
      <c r="A257" s="369" t="s">
        <v>874</v>
      </c>
      <c r="B257" s="369" t="s">
        <v>873</v>
      </c>
      <c r="C257" s="369" t="s">
        <v>1635</v>
      </c>
      <c r="D257" s="369" t="s">
        <v>1294</v>
      </c>
      <c r="E257" s="370" t="s">
        <v>1094</v>
      </c>
      <c r="F257" s="369">
        <v>1059597986</v>
      </c>
      <c r="G257" s="372"/>
    </row>
    <row r="258" spans="1:7" ht="30" x14ac:dyDescent="0.25">
      <c r="A258" s="372" t="s">
        <v>1156</v>
      </c>
      <c r="B258" s="372" t="s">
        <v>884</v>
      </c>
      <c r="C258" s="372" t="s">
        <v>1481</v>
      </c>
      <c r="D258" s="372" t="s">
        <v>1482</v>
      </c>
      <c r="E258" s="373" t="s">
        <v>851</v>
      </c>
      <c r="F258" s="380" t="s">
        <v>1483</v>
      </c>
      <c r="G258" s="372"/>
    </row>
    <row r="259" spans="1:7" ht="30" x14ac:dyDescent="0.25">
      <c r="A259" s="369" t="s">
        <v>1583</v>
      </c>
      <c r="B259" s="369" t="s">
        <v>873</v>
      </c>
      <c r="C259" s="369" t="s">
        <v>1584</v>
      </c>
      <c r="D259" s="369"/>
      <c r="E259" s="370" t="s">
        <v>851</v>
      </c>
      <c r="F259" s="382" t="s">
        <v>1582</v>
      </c>
      <c r="G259" s="372"/>
    </row>
    <row r="260" spans="1:7" ht="30" x14ac:dyDescent="0.25">
      <c r="A260" s="372" t="s">
        <v>1322</v>
      </c>
      <c r="B260" s="372" t="s">
        <v>1378</v>
      </c>
      <c r="C260" s="372" t="s">
        <v>1587</v>
      </c>
      <c r="D260" s="372"/>
      <c r="E260" s="373" t="s">
        <v>851</v>
      </c>
      <c r="F260" s="379" t="s">
        <v>1586</v>
      </c>
      <c r="G260" s="372"/>
    </row>
    <row r="261" spans="1:7" ht="30" x14ac:dyDescent="0.25">
      <c r="A261" s="369" t="s">
        <v>1590</v>
      </c>
      <c r="B261" s="369" t="s">
        <v>874</v>
      </c>
      <c r="C261" s="369" t="s">
        <v>1591</v>
      </c>
      <c r="D261" s="369"/>
      <c r="E261" s="370" t="s">
        <v>851</v>
      </c>
      <c r="F261" s="382" t="s">
        <v>1589</v>
      </c>
      <c r="G261" s="372"/>
    </row>
    <row r="262" spans="1:7" ht="30" x14ac:dyDescent="0.25">
      <c r="A262" s="372" t="s">
        <v>1286</v>
      </c>
      <c r="B262" s="372" t="s">
        <v>1594</v>
      </c>
      <c r="C262" s="372" t="s">
        <v>1420</v>
      </c>
      <c r="D262" s="372"/>
      <c r="E262" s="373" t="s">
        <v>1094</v>
      </c>
      <c r="F262" s="379" t="s">
        <v>1593</v>
      </c>
      <c r="G262" s="372"/>
    </row>
    <row r="263" spans="1:7" ht="30" x14ac:dyDescent="0.25">
      <c r="A263" s="369" t="s">
        <v>914</v>
      </c>
      <c r="B263" s="369" t="s">
        <v>1601</v>
      </c>
      <c r="C263" s="369" t="s">
        <v>1602</v>
      </c>
      <c r="D263" s="369"/>
      <c r="E263" s="370" t="s">
        <v>851</v>
      </c>
      <c r="F263" s="369">
        <v>1003370775</v>
      </c>
      <c r="G263" s="372"/>
    </row>
    <row r="264" spans="1:7" ht="30" x14ac:dyDescent="0.25">
      <c r="A264" s="372" t="s">
        <v>896</v>
      </c>
      <c r="B264" s="372" t="s">
        <v>992</v>
      </c>
      <c r="C264" s="372" t="s">
        <v>1530</v>
      </c>
      <c r="D264" s="372" t="s">
        <v>1357</v>
      </c>
      <c r="E264" s="373" t="s">
        <v>851</v>
      </c>
      <c r="F264" s="372">
        <v>1002847645</v>
      </c>
      <c r="G264" s="372"/>
    </row>
    <row r="265" spans="1:7" ht="30" x14ac:dyDescent="0.25">
      <c r="A265" s="369" t="s">
        <v>914</v>
      </c>
      <c r="B265" s="369" t="s">
        <v>943</v>
      </c>
      <c r="C265" s="369" t="s">
        <v>1198</v>
      </c>
      <c r="D265" s="369"/>
      <c r="E265" s="370" t="s">
        <v>851</v>
      </c>
      <c r="F265" s="369">
        <v>1059605317</v>
      </c>
      <c r="G265" s="372"/>
    </row>
    <row r="266" spans="1:7" ht="30" x14ac:dyDescent="0.25">
      <c r="A266" s="372" t="s">
        <v>873</v>
      </c>
      <c r="B266" s="372" t="s">
        <v>874</v>
      </c>
      <c r="C266" s="372" t="s">
        <v>1612</v>
      </c>
      <c r="D266" s="372" t="s">
        <v>1613</v>
      </c>
      <c r="E266" s="373" t="s">
        <v>851</v>
      </c>
      <c r="F266" s="372">
        <v>1002849103</v>
      </c>
      <c r="G266" s="372"/>
    </row>
    <row r="267" spans="1:7" ht="30" x14ac:dyDescent="0.25">
      <c r="A267" s="369" t="s">
        <v>1621</v>
      </c>
      <c r="B267" s="369" t="s">
        <v>1622</v>
      </c>
      <c r="C267" s="369" t="s">
        <v>1619</v>
      </c>
      <c r="D267" s="369" t="s">
        <v>1620</v>
      </c>
      <c r="E267" s="370" t="s">
        <v>851</v>
      </c>
      <c r="F267" s="369">
        <v>1104776221</v>
      </c>
      <c r="G267" s="372"/>
    </row>
    <row r="268" spans="1:7" ht="30" x14ac:dyDescent="0.25">
      <c r="A268" s="372" t="s">
        <v>980</v>
      </c>
      <c r="B268" s="372" t="s">
        <v>914</v>
      </c>
      <c r="C268" s="372" t="s">
        <v>1623</v>
      </c>
      <c r="D268" s="372"/>
      <c r="E268" s="373" t="s">
        <v>851</v>
      </c>
      <c r="F268" s="372">
        <v>1059596737</v>
      </c>
      <c r="G268" s="372"/>
    </row>
    <row r="269" spans="1:7" ht="30" x14ac:dyDescent="0.25">
      <c r="A269" s="369" t="s">
        <v>1629</v>
      </c>
      <c r="B269" s="369" t="s">
        <v>1249</v>
      </c>
      <c r="C269" s="369" t="s">
        <v>1630</v>
      </c>
      <c r="D269" s="369"/>
      <c r="E269" s="370" t="s">
        <v>851</v>
      </c>
      <c r="F269" s="369">
        <v>1059601748</v>
      </c>
      <c r="G269" s="372"/>
    </row>
    <row r="270" spans="1:7" ht="30" x14ac:dyDescent="0.25">
      <c r="A270" s="372" t="s">
        <v>896</v>
      </c>
      <c r="B270" s="372" t="s">
        <v>1632</v>
      </c>
      <c r="C270" s="372" t="s">
        <v>1633</v>
      </c>
      <c r="D270" s="372"/>
      <c r="E270" s="373" t="s">
        <v>851</v>
      </c>
      <c r="F270" s="383" t="s">
        <v>1631</v>
      </c>
      <c r="G270" s="372"/>
    </row>
    <row r="271" spans="1:7" ht="30" x14ac:dyDescent="0.25">
      <c r="A271" s="369" t="s">
        <v>953</v>
      </c>
      <c r="B271" s="369" t="s">
        <v>1660</v>
      </c>
      <c r="C271" s="369" t="s">
        <v>1217</v>
      </c>
      <c r="D271" s="369" t="s">
        <v>1661</v>
      </c>
      <c r="E271" s="370" t="s">
        <v>851</v>
      </c>
      <c r="F271" s="369">
        <v>1002848134</v>
      </c>
      <c r="G271" s="372"/>
    </row>
    <row r="272" spans="1:7" ht="30" x14ac:dyDescent="0.25">
      <c r="A272" s="372" t="s">
        <v>848</v>
      </c>
      <c r="B272" s="372" t="s">
        <v>1034</v>
      </c>
      <c r="C272" s="372" t="s">
        <v>1612</v>
      </c>
      <c r="D272" s="372" t="s">
        <v>1662</v>
      </c>
      <c r="E272" s="373" t="s">
        <v>851</v>
      </c>
      <c r="F272" s="372">
        <v>1059601726</v>
      </c>
      <c r="G272" s="372"/>
    </row>
    <row r="273" spans="1:7" ht="30" x14ac:dyDescent="0.25">
      <c r="A273" s="369" t="s">
        <v>1663</v>
      </c>
      <c r="B273" s="369" t="s">
        <v>1664</v>
      </c>
      <c r="C273" s="369" t="s">
        <v>938</v>
      </c>
      <c r="D273" s="369" t="s">
        <v>1665</v>
      </c>
      <c r="E273" s="370" t="s">
        <v>851</v>
      </c>
      <c r="F273" s="369">
        <v>1059601634</v>
      </c>
      <c r="G273" s="372"/>
    </row>
    <row r="274" spans="1:7" ht="30" x14ac:dyDescent="0.25">
      <c r="A274" s="372" t="s">
        <v>980</v>
      </c>
      <c r="B274" s="372" t="s">
        <v>1666</v>
      </c>
      <c r="C274" s="372" t="s">
        <v>1287</v>
      </c>
      <c r="D274" s="372" t="s">
        <v>919</v>
      </c>
      <c r="E274" s="373" t="s">
        <v>851</v>
      </c>
      <c r="F274" s="372">
        <v>1002846819</v>
      </c>
      <c r="G274" s="372"/>
    </row>
    <row r="275" spans="1:7" ht="30" x14ac:dyDescent="0.25">
      <c r="A275" s="369" t="s">
        <v>1667</v>
      </c>
      <c r="B275" s="369" t="s">
        <v>1668</v>
      </c>
      <c r="C275" s="369" t="s">
        <v>1669</v>
      </c>
      <c r="D275" s="369"/>
      <c r="E275" s="370" t="s">
        <v>851</v>
      </c>
      <c r="F275" s="369">
        <v>1064426895</v>
      </c>
      <c r="G275" s="372"/>
    </row>
    <row r="276" spans="1:7" ht="30" x14ac:dyDescent="0.25">
      <c r="A276" s="372" t="s">
        <v>943</v>
      </c>
      <c r="B276" s="372" t="s">
        <v>848</v>
      </c>
      <c r="C276" s="372" t="s">
        <v>1673</v>
      </c>
      <c r="D276" s="372" t="s">
        <v>1674</v>
      </c>
      <c r="E276" s="373" t="s">
        <v>851</v>
      </c>
      <c r="F276" s="384" t="s">
        <v>1672</v>
      </c>
      <c r="G276" s="372"/>
    </row>
    <row r="277" spans="1:7" ht="30" x14ac:dyDescent="0.25">
      <c r="A277" s="369" t="s">
        <v>848</v>
      </c>
      <c r="B277" s="369" t="s">
        <v>914</v>
      </c>
      <c r="C277" s="369" t="s">
        <v>1683</v>
      </c>
      <c r="D277" s="369"/>
      <c r="E277" s="370" t="s">
        <v>851</v>
      </c>
      <c r="F277" s="385" t="s">
        <v>1682</v>
      </c>
      <c r="G277" s="372"/>
    </row>
    <row r="278" spans="1:7" x14ac:dyDescent="0.25">
      <c r="A278" s="422" t="s">
        <v>1693</v>
      </c>
      <c r="B278" s="422"/>
      <c r="C278" s="422"/>
      <c r="D278" s="422"/>
      <c r="E278" s="422"/>
      <c r="F278" s="422"/>
      <c r="G278" s="372"/>
    </row>
    <row r="279" spans="1:7" ht="45" x14ac:dyDescent="0.25">
      <c r="A279" s="367" t="s">
        <v>94</v>
      </c>
      <c r="B279" s="367" t="s">
        <v>21</v>
      </c>
      <c r="C279" s="367" t="s">
        <v>0</v>
      </c>
      <c r="D279" s="367" t="s">
        <v>1</v>
      </c>
      <c r="E279" s="367" t="s">
        <v>2</v>
      </c>
      <c r="F279" s="367" t="s">
        <v>3</v>
      </c>
      <c r="G279" s="372"/>
    </row>
    <row r="280" spans="1:7" ht="30" x14ac:dyDescent="0.25">
      <c r="A280" s="372" t="s">
        <v>914</v>
      </c>
      <c r="B280" s="372" t="s">
        <v>884</v>
      </c>
      <c r="C280" s="372" t="s">
        <v>1296</v>
      </c>
      <c r="D280" s="372" t="s">
        <v>850</v>
      </c>
      <c r="E280" s="373" t="s">
        <v>851</v>
      </c>
      <c r="F280" s="372">
        <v>1060186045</v>
      </c>
      <c r="G280" s="372"/>
    </row>
    <row r="281" spans="1:7" ht="30" x14ac:dyDescent="0.25">
      <c r="A281" s="369" t="s">
        <v>1305</v>
      </c>
      <c r="B281" s="369" t="s">
        <v>884</v>
      </c>
      <c r="C281" s="369" t="s">
        <v>1306</v>
      </c>
      <c r="D281" s="369" t="s">
        <v>1307</v>
      </c>
      <c r="E281" s="370" t="s">
        <v>851</v>
      </c>
      <c r="F281" s="369">
        <v>1059604869</v>
      </c>
      <c r="G281" s="372"/>
    </row>
    <row r="282" spans="1:7" ht="30" x14ac:dyDescent="0.25">
      <c r="A282" s="372" t="s">
        <v>914</v>
      </c>
      <c r="B282" s="372" t="s">
        <v>1318</v>
      </c>
      <c r="C282" s="372" t="s">
        <v>1319</v>
      </c>
      <c r="D282" s="372"/>
      <c r="E282" s="373" t="s">
        <v>851</v>
      </c>
      <c r="F282" s="372" t="s">
        <v>1320</v>
      </c>
      <c r="G282" s="372"/>
    </row>
    <row r="283" spans="1:7" ht="30" x14ac:dyDescent="0.25">
      <c r="A283" s="369" t="s">
        <v>1332</v>
      </c>
      <c r="B283" s="369" t="s">
        <v>1091</v>
      </c>
      <c r="C283" s="369" t="s">
        <v>1333</v>
      </c>
      <c r="D283" s="369"/>
      <c r="E283" s="370" t="s">
        <v>1094</v>
      </c>
      <c r="F283" s="369">
        <v>1059595374</v>
      </c>
      <c r="G283" s="372"/>
    </row>
    <row r="284" spans="1:7" ht="30" x14ac:dyDescent="0.25">
      <c r="A284" s="372" t="s">
        <v>874</v>
      </c>
      <c r="B284" s="372" t="s">
        <v>943</v>
      </c>
      <c r="C284" s="372" t="s">
        <v>1340</v>
      </c>
      <c r="D284" s="372"/>
      <c r="E284" s="373" t="s">
        <v>1094</v>
      </c>
      <c r="F284" s="372">
        <v>1059597393</v>
      </c>
      <c r="G284" s="372"/>
    </row>
    <row r="285" spans="1:7" ht="30" x14ac:dyDescent="0.25">
      <c r="A285" s="369" t="s">
        <v>914</v>
      </c>
      <c r="B285" s="369" t="s">
        <v>915</v>
      </c>
      <c r="C285" s="369" t="s">
        <v>916</v>
      </c>
      <c r="D285" s="369"/>
      <c r="E285" s="370" t="s">
        <v>1094</v>
      </c>
      <c r="F285" s="369">
        <v>1059598169</v>
      </c>
      <c r="G285" s="372"/>
    </row>
    <row r="286" spans="1:7" ht="30" x14ac:dyDescent="0.25">
      <c r="A286" s="372" t="s">
        <v>1360</v>
      </c>
      <c r="B286" s="372" t="s">
        <v>1361</v>
      </c>
      <c r="C286" s="372" t="s">
        <v>938</v>
      </c>
      <c r="D286" s="372" t="s">
        <v>1362</v>
      </c>
      <c r="E286" s="373" t="s">
        <v>851</v>
      </c>
      <c r="F286" s="372" t="s">
        <v>1363</v>
      </c>
      <c r="G286" s="372"/>
    </row>
    <row r="287" spans="1:7" ht="30" x14ac:dyDescent="0.25">
      <c r="A287" s="369" t="s">
        <v>1286</v>
      </c>
      <c r="B287" s="369" t="s">
        <v>914</v>
      </c>
      <c r="C287" s="369" t="s">
        <v>1198</v>
      </c>
      <c r="D287" s="369" t="s">
        <v>1364</v>
      </c>
      <c r="E287" s="370" t="s">
        <v>851</v>
      </c>
      <c r="F287" s="369">
        <v>1059600026</v>
      </c>
      <c r="G287" s="372"/>
    </row>
    <row r="288" spans="1:7" ht="30" x14ac:dyDescent="0.25">
      <c r="A288" s="372" t="s">
        <v>857</v>
      </c>
      <c r="B288" s="372" t="s">
        <v>1365</v>
      </c>
      <c r="C288" s="372" t="s">
        <v>949</v>
      </c>
      <c r="D288" s="372" t="s">
        <v>1366</v>
      </c>
      <c r="E288" s="373" t="s">
        <v>851</v>
      </c>
      <c r="F288" s="372">
        <v>1002953350</v>
      </c>
      <c r="G288" s="372"/>
    </row>
    <row r="289" spans="1:7" ht="30" x14ac:dyDescent="0.25">
      <c r="A289" s="369" t="s">
        <v>1368</v>
      </c>
      <c r="B289" s="369" t="s">
        <v>1369</v>
      </c>
      <c r="C289" s="369" t="s">
        <v>1370</v>
      </c>
      <c r="D289" s="369" t="s">
        <v>982</v>
      </c>
      <c r="E289" s="370" t="s">
        <v>851</v>
      </c>
      <c r="F289" s="369">
        <v>1059603417</v>
      </c>
      <c r="G289" s="372"/>
    </row>
    <row r="290" spans="1:7" ht="30" x14ac:dyDescent="0.25">
      <c r="A290" s="372" t="s">
        <v>1382</v>
      </c>
      <c r="B290" s="372" t="s">
        <v>1382</v>
      </c>
      <c r="C290" s="372" t="s">
        <v>1383</v>
      </c>
      <c r="D290" s="372"/>
      <c r="E290" s="373" t="s">
        <v>851</v>
      </c>
      <c r="F290" s="372">
        <v>1003371767</v>
      </c>
      <c r="G290" s="372"/>
    </row>
    <row r="291" spans="1:7" ht="30" x14ac:dyDescent="0.25">
      <c r="A291" s="369" t="s">
        <v>873</v>
      </c>
      <c r="B291" s="369" t="s">
        <v>1391</v>
      </c>
      <c r="C291" s="369" t="s">
        <v>985</v>
      </c>
      <c r="D291" s="369" t="s">
        <v>1392</v>
      </c>
      <c r="E291" s="370" t="s">
        <v>851</v>
      </c>
      <c r="F291" s="369">
        <v>25547491</v>
      </c>
      <c r="G291" s="372"/>
    </row>
    <row r="292" spans="1:7" ht="30" x14ac:dyDescent="0.25">
      <c r="A292" s="372" t="s">
        <v>979</v>
      </c>
      <c r="B292" s="372" t="s">
        <v>943</v>
      </c>
      <c r="C292" s="372" t="s">
        <v>1217</v>
      </c>
      <c r="D292" s="372" t="s">
        <v>1398</v>
      </c>
      <c r="E292" s="373" t="s">
        <v>851</v>
      </c>
      <c r="F292" s="372">
        <v>1002846528</v>
      </c>
      <c r="G292" s="372"/>
    </row>
    <row r="293" spans="1:7" ht="30" x14ac:dyDescent="0.25">
      <c r="A293" s="369" t="s">
        <v>873</v>
      </c>
      <c r="B293" s="369" t="s">
        <v>944</v>
      </c>
      <c r="C293" s="369" t="s">
        <v>1399</v>
      </c>
      <c r="D293" s="369" t="s">
        <v>1400</v>
      </c>
      <c r="E293" s="370" t="s">
        <v>851</v>
      </c>
      <c r="F293" s="369">
        <v>1002848796</v>
      </c>
      <c r="G293" s="372"/>
    </row>
    <row r="294" spans="1:7" ht="30" x14ac:dyDescent="0.25">
      <c r="A294" s="372" t="s">
        <v>1405</v>
      </c>
      <c r="B294" s="372" t="s">
        <v>884</v>
      </c>
      <c r="C294" s="372" t="s">
        <v>1406</v>
      </c>
      <c r="D294" s="372" t="s">
        <v>1407</v>
      </c>
      <c r="E294" s="373" t="s">
        <v>851</v>
      </c>
      <c r="F294" s="372">
        <v>1059601552</v>
      </c>
      <c r="G294" s="372"/>
    </row>
    <row r="295" spans="1:7" ht="30" x14ac:dyDescent="0.25">
      <c r="A295" s="369" t="s">
        <v>1034</v>
      </c>
      <c r="B295" s="369" t="s">
        <v>1166</v>
      </c>
      <c r="C295" s="369" t="s">
        <v>1408</v>
      </c>
      <c r="D295" s="369" t="s">
        <v>1409</v>
      </c>
      <c r="E295" s="370" t="s">
        <v>851</v>
      </c>
      <c r="F295" s="369">
        <v>1005860830</v>
      </c>
      <c r="G295" s="372"/>
    </row>
    <row r="296" spans="1:7" ht="30" x14ac:dyDescent="0.25">
      <c r="A296" s="372" t="s">
        <v>944</v>
      </c>
      <c r="B296" s="372" t="s">
        <v>943</v>
      </c>
      <c r="C296" s="372" t="s">
        <v>1421</v>
      </c>
      <c r="D296" s="372"/>
      <c r="E296" s="373" t="s">
        <v>851</v>
      </c>
      <c r="F296" s="372">
        <v>1002846330</v>
      </c>
      <c r="G296" s="372"/>
    </row>
    <row r="297" spans="1:7" ht="30" x14ac:dyDescent="0.25">
      <c r="A297" s="369" t="s">
        <v>848</v>
      </c>
      <c r="B297" s="369" t="s">
        <v>943</v>
      </c>
      <c r="C297" s="369" t="s">
        <v>1423</v>
      </c>
      <c r="D297" s="369"/>
      <c r="E297" s="370" t="s">
        <v>851</v>
      </c>
      <c r="F297" s="369">
        <v>1193097625</v>
      </c>
      <c r="G297" s="372"/>
    </row>
    <row r="298" spans="1:7" ht="30" x14ac:dyDescent="0.25">
      <c r="A298" s="372" t="s">
        <v>1427</v>
      </c>
      <c r="B298" s="372" t="s">
        <v>1428</v>
      </c>
      <c r="C298" s="372" t="s">
        <v>1429</v>
      </c>
      <c r="D298" s="372" t="s">
        <v>1430</v>
      </c>
      <c r="E298" s="373" t="s">
        <v>851</v>
      </c>
      <c r="F298" s="372">
        <v>1061528490</v>
      </c>
      <c r="G298" s="372"/>
    </row>
    <row r="299" spans="1:7" ht="30" x14ac:dyDescent="0.25">
      <c r="A299" s="369" t="s">
        <v>873</v>
      </c>
      <c r="B299" s="369" t="s">
        <v>1435</v>
      </c>
      <c r="C299" s="369" t="s">
        <v>1436</v>
      </c>
      <c r="D299" s="369" t="s">
        <v>1437</v>
      </c>
      <c r="E299" s="370" t="s">
        <v>851</v>
      </c>
      <c r="F299" s="369">
        <v>1059601742</v>
      </c>
      <c r="G299" s="372"/>
    </row>
    <row r="300" spans="1:7" ht="30" x14ac:dyDescent="0.25">
      <c r="A300" s="372" t="s">
        <v>1439</v>
      </c>
      <c r="B300" s="372" t="s">
        <v>884</v>
      </c>
      <c r="C300" s="372" t="s">
        <v>1440</v>
      </c>
      <c r="D300" s="372" t="s">
        <v>1294</v>
      </c>
      <c r="E300" s="373" t="s">
        <v>851</v>
      </c>
      <c r="F300" s="372">
        <v>1002847533</v>
      </c>
      <c r="G300" s="372"/>
    </row>
    <row r="301" spans="1:7" ht="30" x14ac:dyDescent="0.25">
      <c r="A301" s="369" t="s">
        <v>1441</v>
      </c>
      <c r="B301" s="369"/>
      <c r="C301" s="369" t="s">
        <v>1284</v>
      </c>
      <c r="D301" s="369" t="s">
        <v>1442</v>
      </c>
      <c r="E301" s="370" t="s">
        <v>851</v>
      </c>
      <c r="F301" s="369">
        <v>1002848635</v>
      </c>
      <c r="G301" s="372"/>
    </row>
    <row r="302" spans="1:7" ht="30" x14ac:dyDescent="0.25">
      <c r="A302" s="372" t="s">
        <v>1443</v>
      </c>
      <c r="B302" s="372" t="s">
        <v>1444</v>
      </c>
      <c r="C302" s="372" t="s">
        <v>1445</v>
      </c>
      <c r="D302" s="372"/>
      <c r="E302" s="373" t="s">
        <v>851</v>
      </c>
      <c r="F302" s="372">
        <v>1061757665</v>
      </c>
      <c r="G302" s="372"/>
    </row>
    <row r="303" spans="1:7" ht="30" x14ac:dyDescent="0.25">
      <c r="A303" s="369" t="s">
        <v>1179</v>
      </c>
      <c r="B303" s="369" t="s">
        <v>1435</v>
      </c>
      <c r="C303" s="369" t="s">
        <v>1448</v>
      </c>
      <c r="D303" s="369" t="s">
        <v>1294</v>
      </c>
      <c r="E303" s="370" t="s">
        <v>851</v>
      </c>
      <c r="F303" s="369">
        <v>1059594096</v>
      </c>
      <c r="G303" s="372"/>
    </row>
    <row r="304" spans="1:7" ht="30" x14ac:dyDescent="0.25">
      <c r="A304" s="372" t="s">
        <v>1441</v>
      </c>
      <c r="B304" s="372" t="s">
        <v>914</v>
      </c>
      <c r="C304" s="372" t="s">
        <v>1451</v>
      </c>
      <c r="D304" s="372"/>
      <c r="E304" s="373" t="s">
        <v>851</v>
      </c>
      <c r="F304" s="372">
        <v>1059598007</v>
      </c>
      <c r="G304" s="372"/>
    </row>
    <row r="305" spans="1:7" ht="30" x14ac:dyDescent="0.25">
      <c r="A305" s="369" t="s">
        <v>1455</v>
      </c>
      <c r="B305" s="369" t="s">
        <v>974</v>
      </c>
      <c r="C305" s="369" t="s">
        <v>1305</v>
      </c>
      <c r="D305" s="369" t="s">
        <v>1456</v>
      </c>
      <c r="E305" s="370" t="s">
        <v>1094</v>
      </c>
      <c r="F305" s="369">
        <v>1059595977</v>
      </c>
      <c r="G305" s="372"/>
    </row>
    <row r="306" spans="1:7" ht="30" x14ac:dyDescent="0.25">
      <c r="A306" s="372" t="s">
        <v>1441</v>
      </c>
      <c r="B306" s="372" t="s">
        <v>884</v>
      </c>
      <c r="C306" s="372" t="s">
        <v>1457</v>
      </c>
      <c r="D306" s="372"/>
      <c r="E306" s="373" t="s">
        <v>851</v>
      </c>
      <c r="F306" s="372">
        <v>25545401</v>
      </c>
      <c r="G306" s="372"/>
    </row>
    <row r="307" spans="1:7" ht="30" x14ac:dyDescent="0.25">
      <c r="A307" s="369" t="s">
        <v>1458</v>
      </c>
      <c r="B307" s="369" t="s">
        <v>1459</v>
      </c>
      <c r="C307" s="369" t="s">
        <v>1460</v>
      </c>
      <c r="D307" s="369" t="s">
        <v>976</v>
      </c>
      <c r="E307" s="370" t="s">
        <v>1094</v>
      </c>
      <c r="F307" s="369">
        <v>1062295885</v>
      </c>
      <c r="G307" s="372"/>
    </row>
    <row r="308" spans="1:7" ht="30" x14ac:dyDescent="0.25">
      <c r="A308" s="372" t="s">
        <v>944</v>
      </c>
      <c r="B308" s="372" t="s">
        <v>943</v>
      </c>
      <c r="C308" s="372" t="s">
        <v>1463</v>
      </c>
      <c r="D308" s="372" t="s">
        <v>1464</v>
      </c>
      <c r="E308" s="373" t="s">
        <v>1094</v>
      </c>
      <c r="F308" s="372">
        <v>1060186081</v>
      </c>
      <c r="G308" s="372"/>
    </row>
    <row r="309" spans="1:7" ht="30" x14ac:dyDescent="0.25">
      <c r="A309" s="369" t="s">
        <v>964</v>
      </c>
      <c r="B309" s="369" t="s">
        <v>1465</v>
      </c>
      <c r="C309" s="369" t="s">
        <v>1002</v>
      </c>
      <c r="D309" s="369" t="s">
        <v>1366</v>
      </c>
      <c r="E309" s="370" t="s">
        <v>1094</v>
      </c>
      <c r="F309" s="369">
        <v>1061530990</v>
      </c>
      <c r="G309" s="372"/>
    </row>
    <row r="310" spans="1:7" ht="30" x14ac:dyDescent="0.25">
      <c r="A310" s="372" t="s">
        <v>943</v>
      </c>
      <c r="B310" s="372" t="s">
        <v>1144</v>
      </c>
      <c r="C310" s="372" t="s">
        <v>1468</v>
      </c>
      <c r="D310" s="372" t="s">
        <v>1281</v>
      </c>
      <c r="E310" s="373" t="s">
        <v>851</v>
      </c>
      <c r="F310" s="372">
        <v>1059607505</v>
      </c>
      <c r="G310" s="372"/>
    </row>
    <row r="311" spans="1:7" ht="30" x14ac:dyDescent="0.25">
      <c r="A311" s="369" t="s">
        <v>914</v>
      </c>
      <c r="B311" s="369" t="s">
        <v>1276</v>
      </c>
      <c r="C311" s="369" t="s">
        <v>938</v>
      </c>
      <c r="D311" s="369" t="s">
        <v>1484</v>
      </c>
      <c r="E311" s="370" t="s">
        <v>851</v>
      </c>
      <c r="F311" s="369">
        <v>1002846249</v>
      </c>
      <c r="G311" s="372"/>
    </row>
    <row r="312" spans="1:7" ht="30" x14ac:dyDescent="0.25">
      <c r="A312" s="372" t="s">
        <v>914</v>
      </c>
      <c r="B312" s="372" t="s">
        <v>848</v>
      </c>
      <c r="C312" s="372" t="s">
        <v>1485</v>
      </c>
      <c r="D312" s="372" t="s">
        <v>1285</v>
      </c>
      <c r="E312" s="373" t="s">
        <v>851</v>
      </c>
      <c r="F312" s="372" t="s">
        <v>1486</v>
      </c>
      <c r="G312" s="372"/>
    </row>
    <row r="313" spans="1:7" ht="30" x14ac:dyDescent="0.25">
      <c r="A313" s="369" t="s">
        <v>974</v>
      </c>
      <c r="B313" s="369" t="s">
        <v>943</v>
      </c>
      <c r="C313" s="369" t="s">
        <v>1217</v>
      </c>
      <c r="D313" s="369" t="s">
        <v>1490</v>
      </c>
      <c r="E313" s="370" t="s">
        <v>851</v>
      </c>
      <c r="F313" s="369" t="s">
        <v>1491</v>
      </c>
      <c r="G313" s="372"/>
    </row>
    <row r="314" spans="1:7" ht="30" x14ac:dyDescent="0.25">
      <c r="A314" s="372" t="s">
        <v>992</v>
      </c>
      <c r="B314" s="372" t="s">
        <v>1498</v>
      </c>
      <c r="C314" s="372" t="s">
        <v>938</v>
      </c>
      <c r="D314" s="372" t="s">
        <v>1499</v>
      </c>
      <c r="E314" s="373" t="s">
        <v>851</v>
      </c>
      <c r="F314" s="372" t="s">
        <v>1500</v>
      </c>
      <c r="G314" s="372"/>
    </row>
    <row r="315" spans="1:7" ht="30" x14ac:dyDescent="0.25">
      <c r="A315" s="369" t="s">
        <v>1041</v>
      </c>
      <c r="B315" s="369" t="s">
        <v>1147</v>
      </c>
      <c r="C315" s="369" t="s">
        <v>1512</v>
      </c>
      <c r="D315" s="369"/>
      <c r="E315" s="370" t="s">
        <v>851</v>
      </c>
      <c r="F315" s="369">
        <v>1059604976</v>
      </c>
      <c r="G315" s="372"/>
    </row>
    <row r="316" spans="1:7" ht="30" x14ac:dyDescent="0.25">
      <c r="A316" s="372" t="s">
        <v>1513</v>
      </c>
      <c r="B316" s="372" t="s">
        <v>1514</v>
      </c>
      <c r="C316" s="372" t="s">
        <v>1515</v>
      </c>
      <c r="D316" s="372"/>
      <c r="E316" s="373" t="s">
        <v>851</v>
      </c>
      <c r="F316" s="372">
        <v>1067461286</v>
      </c>
      <c r="G316" s="372"/>
    </row>
    <row r="317" spans="1:7" ht="30" x14ac:dyDescent="0.25">
      <c r="A317" s="369" t="s">
        <v>1519</v>
      </c>
      <c r="B317" s="369" t="s">
        <v>848</v>
      </c>
      <c r="C317" s="369" t="s">
        <v>1520</v>
      </c>
      <c r="D317" s="369" t="s">
        <v>1521</v>
      </c>
      <c r="E317" s="370" t="s">
        <v>851</v>
      </c>
      <c r="F317" s="369">
        <v>1002950269</v>
      </c>
      <c r="G317" s="372"/>
    </row>
    <row r="318" spans="1:7" ht="30" x14ac:dyDescent="0.25">
      <c r="A318" s="372" t="s">
        <v>884</v>
      </c>
      <c r="B318" s="372" t="s">
        <v>1524</v>
      </c>
      <c r="C318" s="372" t="s">
        <v>945</v>
      </c>
      <c r="D318" s="372" t="s">
        <v>919</v>
      </c>
      <c r="E318" s="373" t="s">
        <v>851</v>
      </c>
      <c r="F318" s="372">
        <v>1002970266</v>
      </c>
      <c r="G318" s="372"/>
    </row>
    <row r="319" spans="1:7" ht="30" x14ac:dyDescent="0.25">
      <c r="A319" s="369" t="s">
        <v>1361</v>
      </c>
      <c r="B319" s="369" t="s">
        <v>992</v>
      </c>
      <c r="C319" s="369" t="s">
        <v>1531</v>
      </c>
      <c r="D319" s="369"/>
      <c r="E319" s="370" t="s">
        <v>851</v>
      </c>
      <c r="F319" s="369">
        <v>1151452891</v>
      </c>
      <c r="G319" s="372"/>
    </row>
    <row r="320" spans="1:7" ht="30" x14ac:dyDescent="0.25">
      <c r="A320" s="372" t="s">
        <v>914</v>
      </c>
      <c r="B320" s="372" t="s">
        <v>1470</v>
      </c>
      <c r="C320" s="372" t="s">
        <v>1167</v>
      </c>
      <c r="D320" s="372" t="s">
        <v>1043</v>
      </c>
      <c r="E320" s="373" t="s">
        <v>851</v>
      </c>
      <c r="F320" s="372">
        <v>1193105051</v>
      </c>
      <c r="G320" s="372"/>
    </row>
    <row r="321" spans="1:7" ht="30" x14ac:dyDescent="0.25">
      <c r="A321" s="369" t="s">
        <v>1286</v>
      </c>
      <c r="B321" s="369" t="s">
        <v>980</v>
      </c>
      <c r="C321" s="369" t="s">
        <v>1528</v>
      </c>
      <c r="D321" s="369" t="s">
        <v>1281</v>
      </c>
      <c r="E321" s="370" t="s">
        <v>851</v>
      </c>
      <c r="F321" s="369">
        <v>1059596092</v>
      </c>
      <c r="G321" s="372"/>
    </row>
    <row r="322" spans="1:7" ht="30" x14ac:dyDescent="0.25">
      <c r="A322" s="372" t="s">
        <v>884</v>
      </c>
      <c r="B322" s="372" t="s">
        <v>1144</v>
      </c>
      <c r="C322" s="372" t="s">
        <v>1534</v>
      </c>
      <c r="D322" s="372"/>
      <c r="E322" s="373" t="s">
        <v>851</v>
      </c>
      <c r="F322" s="377">
        <v>1002846626</v>
      </c>
      <c r="G322" s="372"/>
    </row>
    <row r="323" spans="1:7" ht="30" x14ac:dyDescent="0.25">
      <c r="A323" s="369" t="s">
        <v>1246</v>
      </c>
      <c r="B323" s="369" t="s">
        <v>943</v>
      </c>
      <c r="C323" s="369" t="s">
        <v>1535</v>
      </c>
      <c r="D323" s="369"/>
      <c r="E323" s="370" t="s">
        <v>851</v>
      </c>
      <c r="F323" s="376">
        <v>1002848307</v>
      </c>
      <c r="G323" s="372"/>
    </row>
    <row r="324" spans="1:7" ht="30" x14ac:dyDescent="0.25">
      <c r="A324" s="372" t="s">
        <v>873</v>
      </c>
      <c r="B324" s="372" t="s">
        <v>1091</v>
      </c>
      <c r="C324" s="372" t="s">
        <v>1277</v>
      </c>
      <c r="D324" s="372"/>
      <c r="E324" s="373" t="s">
        <v>851</v>
      </c>
      <c r="F324" s="390">
        <v>1059598472</v>
      </c>
      <c r="G324" s="372"/>
    </row>
    <row r="325" spans="1:7" ht="30" x14ac:dyDescent="0.25">
      <c r="A325" s="369" t="s">
        <v>1540</v>
      </c>
      <c r="B325" s="369" t="s">
        <v>943</v>
      </c>
      <c r="C325" s="369" t="s">
        <v>1541</v>
      </c>
      <c r="D325" s="369" t="s">
        <v>1542</v>
      </c>
      <c r="E325" s="370" t="s">
        <v>851</v>
      </c>
      <c r="F325" s="382" t="s">
        <v>1539</v>
      </c>
      <c r="G325" s="372"/>
    </row>
    <row r="326" spans="1:7" x14ac:dyDescent="0.25">
      <c r="A326" s="372" t="s">
        <v>943</v>
      </c>
      <c r="B326" s="372" t="s">
        <v>848</v>
      </c>
      <c r="C326" s="372" t="s">
        <v>1553</v>
      </c>
      <c r="D326" s="372"/>
      <c r="E326" s="373"/>
      <c r="F326" s="372">
        <v>1059594153</v>
      </c>
      <c r="G326" s="372"/>
    </row>
    <row r="327" spans="1:7" ht="30" x14ac:dyDescent="0.25">
      <c r="A327" s="369" t="s">
        <v>953</v>
      </c>
      <c r="B327" s="369" t="s">
        <v>1249</v>
      </c>
      <c r="C327" s="369" t="s">
        <v>1556</v>
      </c>
      <c r="D327" s="369"/>
      <c r="E327" s="370" t="s">
        <v>1094</v>
      </c>
      <c r="F327" s="369">
        <v>1059599873</v>
      </c>
      <c r="G327" s="372"/>
    </row>
    <row r="328" spans="1:7" x14ac:dyDescent="0.25">
      <c r="A328" s="372" t="s">
        <v>896</v>
      </c>
      <c r="B328" s="372" t="s">
        <v>953</v>
      </c>
      <c r="C328" s="372" t="s">
        <v>1634</v>
      </c>
      <c r="D328" s="372"/>
      <c r="E328" s="373"/>
      <c r="F328" s="372">
        <v>1002848733</v>
      </c>
      <c r="G328" s="372"/>
    </row>
    <row r="329" spans="1:7" ht="30" x14ac:dyDescent="0.25">
      <c r="A329" s="369" t="s">
        <v>896</v>
      </c>
      <c r="B329" s="369" t="s">
        <v>915</v>
      </c>
      <c r="C329" s="369" t="s">
        <v>1585</v>
      </c>
      <c r="D329" s="369"/>
      <c r="E329" s="370" t="s">
        <v>851</v>
      </c>
      <c r="F329" s="369">
        <v>1059595460</v>
      </c>
      <c r="G329" s="372"/>
    </row>
    <row r="330" spans="1:7" ht="30" x14ac:dyDescent="0.25">
      <c r="A330" s="372" t="s">
        <v>873</v>
      </c>
      <c r="B330" s="372" t="s">
        <v>874</v>
      </c>
      <c r="C330" s="372" t="s">
        <v>1215</v>
      </c>
      <c r="D330" s="372"/>
      <c r="E330" s="373" t="s">
        <v>851</v>
      </c>
      <c r="F330" s="372">
        <v>1002849181</v>
      </c>
      <c r="G330" s="372"/>
    </row>
    <row r="331" spans="1:7" ht="30" x14ac:dyDescent="0.25">
      <c r="A331" s="369" t="s">
        <v>953</v>
      </c>
      <c r="B331" s="369" t="s">
        <v>1286</v>
      </c>
      <c r="C331" s="369" t="s">
        <v>1463</v>
      </c>
      <c r="D331" s="369" t="s">
        <v>1579</v>
      </c>
      <c r="E331" s="370" t="s">
        <v>851</v>
      </c>
      <c r="F331" s="382" t="s">
        <v>1578</v>
      </c>
      <c r="G331" s="372"/>
    </row>
    <row r="332" spans="1:7" ht="30" x14ac:dyDescent="0.25">
      <c r="A332" s="372" t="s">
        <v>1580</v>
      </c>
      <c r="B332" s="372" t="s">
        <v>914</v>
      </c>
      <c r="C332" s="372" t="s">
        <v>1581</v>
      </c>
      <c r="D332" s="372" t="s">
        <v>1464</v>
      </c>
      <c r="E332" s="373" t="s">
        <v>851</v>
      </c>
      <c r="F332" s="379">
        <v>1002846447</v>
      </c>
      <c r="G332" s="372"/>
    </row>
    <row r="333" spans="1:7" ht="30" x14ac:dyDescent="0.25">
      <c r="A333" s="369" t="s">
        <v>884</v>
      </c>
      <c r="B333" s="369" t="s">
        <v>1286</v>
      </c>
      <c r="C333" s="369" t="s">
        <v>1452</v>
      </c>
      <c r="D333" s="369"/>
      <c r="E333" s="370" t="s">
        <v>851</v>
      </c>
      <c r="F333" s="369">
        <v>25546688</v>
      </c>
      <c r="G333" s="372"/>
    </row>
    <row r="334" spans="1:7" ht="30" x14ac:dyDescent="0.25">
      <c r="A334" s="372" t="s">
        <v>1637</v>
      </c>
      <c r="B334" s="372" t="s">
        <v>1638</v>
      </c>
      <c r="C334" s="372" t="s">
        <v>1028</v>
      </c>
      <c r="D334" s="372"/>
      <c r="E334" s="373" t="s">
        <v>851</v>
      </c>
      <c r="F334" s="380">
        <v>1060986729</v>
      </c>
      <c r="G334" s="372"/>
    </row>
    <row r="335" spans="1:7" ht="30" x14ac:dyDescent="0.25">
      <c r="A335" s="369" t="s">
        <v>1210</v>
      </c>
      <c r="B335" s="369" t="s">
        <v>848</v>
      </c>
      <c r="C335" s="369" t="s">
        <v>1670</v>
      </c>
      <c r="D335" s="369" t="s">
        <v>1671</v>
      </c>
      <c r="E335" s="370" t="s">
        <v>851</v>
      </c>
      <c r="F335" s="369">
        <v>1059602883</v>
      </c>
      <c r="G335" s="372"/>
    </row>
    <row r="336" spans="1:7" ht="30" x14ac:dyDescent="0.25">
      <c r="A336" s="372" t="s">
        <v>1677</v>
      </c>
      <c r="B336" s="372" t="s">
        <v>962</v>
      </c>
      <c r="C336" s="372" t="s">
        <v>1678</v>
      </c>
      <c r="D336" s="372" t="s">
        <v>1679</v>
      </c>
      <c r="E336" s="373" t="s">
        <v>1094</v>
      </c>
      <c r="F336" s="386" t="s">
        <v>1676</v>
      </c>
      <c r="G336" s="372"/>
    </row>
    <row r="337" spans="1:7" x14ac:dyDescent="0.25">
      <c r="A337" s="420" t="s">
        <v>1694</v>
      </c>
      <c r="B337" s="420"/>
      <c r="C337" s="420"/>
      <c r="D337" s="420"/>
      <c r="E337" s="420"/>
      <c r="F337" s="420"/>
      <c r="G337" s="372"/>
    </row>
    <row r="338" spans="1:7" ht="45" x14ac:dyDescent="0.25">
      <c r="A338" s="367" t="s">
        <v>94</v>
      </c>
      <c r="B338" s="367" t="s">
        <v>21</v>
      </c>
      <c r="C338" s="367" t="s">
        <v>0</v>
      </c>
      <c r="D338" s="367" t="s">
        <v>1</v>
      </c>
      <c r="E338" s="367" t="s">
        <v>2</v>
      </c>
      <c r="F338" s="367" t="s">
        <v>3</v>
      </c>
      <c r="G338" s="372"/>
    </row>
    <row r="339" spans="1:7" ht="30" x14ac:dyDescent="0.25">
      <c r="A339" s="369" t="s">
        <v>1549</v>
      </c>
      <c r="B339" s="369" t="s">
        <v>1298</v>
      </c>
      <c r="C339" s="369" t="s">
        <v>1550</v>
      </c>
      <c r="D339" s="369" t="s">
        <v>1551</v>
      </c>
      <c r="E339" s="370" t="s">
        <v>851</v>
      </c>
      <c r="F339" s="381" t="s">
        <v>1548</v>
      </c>
      <c r="G339" s="372"/>
    </row>
    <row r="340" spans="1:7" ht="30" x14ac:dyDescent="0.25">
      <c r="A340" s="372" t="s">
        <v>1286</v>
      </c>
      <c r="B340" s="372" t="s">
        <v>943</v>
      </c>
      <c r="C340" s="372" t="s">
        <v>1681</v>
      </c>
      <c r="D340" s="372"/>
      <c r="E340" s="373" t="s">
        <v>851</v>
      </c>
      <c r="F340" s="386" t="s">
        <v>1680</v>
      </c>
      <c r="G340" s="372"/>
    </row>
    <row r="341" spans="1:7" x14ac:dyDescent="0.25">
      <c r="A341" s="420" t="s">
        <v>1695</v>
      </c>
      <c r="B341" s="420"/>
      <c r="C341" s="420"/>
      <c r="D341" s="420"/>
      <c r="E341" s="420"/>
      <c r="F341" s="420"/>
      <c r="G341" s="372"/>
    </row>
    <row r="342" spans="1:7" ht="45" x14ac:dyDescent="0.25">
      <c r="A342" s="367" t="s">
        <v>94</v>
      </c>
      <c r="B342" s="367" t="s">
        <v>21</v>
      </c>
      <c r="C342" s="367" t="s">
        <v>0</v>
      </c>
      <c r="D342" s="367" t="s">
        <v>1</v>
      </c>
      <c r="E342" s="367" t="s">
        <v>2</v>
      </c>
      <c r="F342" s="367" t="s">
        <v>3</v>
      </c>
      <c r="G342" s="372"/>
    </row>
    <row r="343" spans="1:7" ht="30" x14ac:dyDescent="0.25">
      <c r="A343" s="369" t="s">
        <v>974</v>
      </c>
      <c r="B343" s="369" t="s">
        <v>1144</v>
      </c>
      <c r="C343" s="369" t="s">
        <v>1192</v>
      </c>
      <c r="D343" s="369" t="s">
        <v>1193</v>
      </c>
      <c r="E343" s="370" t="s">
        <v>1094</v>
      </c>
      <c r="F343" s="369">
        <v>1059595334</v>
      </c>
      <c r="G343" s="372"/>
    </row>
    <row r="344" spans="1:7" ht="30" x14ac:dyDescent="0.25">
      <c r="A344" s="372" t="s">
        <v>896</v>
      </c>
      <c r="B344" s="372" t="s">
        <v>943</v>
      </c>
      <c r="C344" s="372" t="s">
        <v>1452</v>
      </c>
      <c r="D344" s="372" t="s">
        <v>1372</v>
      </c>
      <c r="E344" s="373" t="s">
        <v>851</v>
      </c>
      <c r="F344" s="372">
        <v>1059599315</v>
      </c>
      <c r="G344" s="372"/>
    </row>
    <row r="345" spans="1:7" ht="30" x14ac:dyDescent="0.25">
      <c r="A345" s="369" t="s">
        <v>1156</v>
      </c>
      <c r="B345" s="369" t="s">
        <v>883</v>
      </c>
      <c r="C345" s="369" t="s">
        <v>1157</v>
      </c>
      <c r="D345" s="369" t="s">
        <v>1466</v>
      </c>
      <c r="E345" s="370" t="s">
        <v>851</v>
      </c>
      <c r="F345" s="369">
        <v>1059594587</v>
      </c>
      <c r="G345" s="372"/>
    </row>
    <row r="346" spans="1:7" ht="30" x14ac:dyDescent="0.25">
      <c r="A346" s="372" t="s">
        <v>883</v>
      </c>
      <c r="B346" s="372" t="s">
        <v>1290</v>
      </c>
      <c r="C346" s="372" t="s">
        <v>1476</v>
      </c>
      <c r="D346" s="372"/>
      <c r="E346" s="373" t="s">
        <v>851</v>
      </c>
      <c r="F346" s="372">
        <v>1059604081</v>
      </c>
      <c r="G346" s="372"/>
    </row>
    <row r="347" spans="1:7" ht="30" x14ac:dyDescent="0.25">
      <c r="A347" s="369" t="s">
        <v>967</v>
      </c>
      <c r="B347" s="369" t="s">
        <v>980</v>
      </c>
      <c r="C347" s="369" t="s">
        <v>1492</v>
      </c>
      <c r="D347" s="369"/>
      <c r="E347" s="370" t="s">
        <v>851</v>
      </c>
      <c r="F347" s="369" t="s">
        <v>1493</v>
      </c>
      <c r="G347" s="372"/>
    </row>
    <row r="348" spans="1:7" ht="30" x14ac:dyDescent="0.25">
      <c r="A348" s="372" t="s">
        <v>884</v>
      </c>
      <c r="B348" s="372" t="s">
        <v>1378</v>
      </c>
      <c r="C348" s="372" t="s">
        <v>1494</v>
      </c>
      <c r="D348" s="372" t="s">
        <v>1495</v>
      </c>
      <c r="E348" s="373" t="s">
        <v>851</v>
      </c>
      <c r="F348" s="372" t="s">
        <v>1496</v>
      </c>
      <c r="G348" s="372"/>
    </row>
    <row r="349" spans="1:7" ht="30" x14ac:dyDescent="0.25">
      <c r="A349" s="369" t="s">
        <v>848</v>
      </c>
      <c r="B349" s="369" t="s">
        <v>953</v>
      </c>
      <c r="C349" s="369" t="s">
        <v>1501</v>
      </c>
      <c r="D349" s="369" t="s">
        <v>919</v>
      </c>
      <c r="E349" s="370" t="s">
        <v>851</v>
      </c>
      <c r="F349" s="369" t="s">
        <v>1502</v>
      </c>
      <c r="G349" s="372"/>
    </row>
    <row r="350" spans="1:7" ht="30" x14ac:dyDescent="0.25">
      <c r="A350" s="372" t="s">
        <v>992</v>
      </c>
      <c r="B350" s="372" t="s">
        <v>848</v>
      </c>
      <c r="C350" s="372" t="s">
        <v>1504</v>
      </c>
      <c r="D350" s="372" t="s">
        <v>1157</v>
      </c>
      <c r="E350" s="373" t="s">
        <v>851</v>
      </c>
      <c r="F350" s="372">
        <v>1002848292</v>
      </c>
      <c r="G350" s="372"/>
    </row>
    <row r="351" spans="1:7" ht="30" x14ac:dyDescent="0.25">
      <c r="A351" s="369" t="s">
        <v>1507</v>
      </c>
      <c r="B351" s="369" t="s">
        <v>1365</v>
      </c>
      <c r="C351" s="369" t="s">
        <v>1508</v>
      </c>
      <c r="D351" s="369"/>
      <c r="E351" s="370" t="s">
        <v>851</v>
      </c>
      <c r="F351" s="369">
        <v>1059600322</v>
      </c>
      <c r="G351" s="372"/>
    </row>
    <row r="352" spans="1:7" ht="30" x14ac:dyDescent="0.25">
      <c r="A352" s="372" t="s">
        <v>896</v>
      </c>
      <c r="B352" s="372" t="s">
        <v>953</v>
      </c>
      <c r="C352" s="372" t="s">
        <v>1530</v>
      </c>
      <c r="D352" s="372" t="s">
        <v>1182</v>
      </c>
      <c r="E352" s="373" t="s">
        <v>851</v>
      </c>
      <c r="F352" s="372">
        <v>1059594419</v>
      </c>
      <c r="G352" s="372"/>
    </row>
    <row r="353" spans="1:7" ht="30" x14ac:dyDescent="0.25">
      <c r="A353" s="369" t="s">
        <v>896</v>
      </c>
      <c r="B353" s="369" t="s">
        <v>1091</v>
      </c>
      <c r="C353" s="369" t="s">
        <v>1538</v>
      </c>
      <c r="D353" s="369"/>
      <c r="E353" s="370" t="s">
        <v>851</v>
      </c>
      <c r="F353" s="369">
        <v>1002846350</v>
      </c>
      <c r="G353" s="372"/>
    </row>
    <row r="354" spans="1:7" ht="30" x14ac:dyDescent="0.25">
      <c r="A354" s="372" t="s">
        <v>896</v>
      </c>
      <c r="B354" s="372" t="s">
        <v>953</v>
      </c>
      <c r="C354" s="372" t="s">
        <v>1217</v>
      </c>
      <c r="D354" s="372" t="s">
        <v>1471</v>
      </c>
      <c r="E354" s="373" t="s">
        <v>851</v>
      </c>
      <c r="F354" s="377">
        <v>1059602285</v>
      </c>
      <c r="G354" s="372"/>
    </row>
    <row r="355" spans="1:7" ht="30" x14ac:dyDescent="0.25">
      <c r="A355" s="369" t="s">
        <v>896</v>
      </c>
      <c r="B355" s="369" t="s">
        <v>953</v>
      </c>
      <c r="C355" s="369" t="s">
        <v>1545</v>
      </c>
      <c r="D355" s="369"/>
      <c r="E355" s="370" t="s">
        <v>851</v>
      </c>
      <c r="F355" s="369">
        <v>25545389</v>
      </c>
      <c r="G355" s="372"/>
    </row>
    <row r="356" spans="1:7" ht="30" x14ac:dyDescent="0.25">
      <c r="A356" s="372" t="s">
        <v>943</v>
      </c>
      <c r="B356" s="372" t="s">
        <v>1144</v>
      </c>
      <c r="C356" s="372" t="s">
        <v>1504</v>
      </c>
      <c r="D356" s="372" t="s">
        <v>1281</v>
      </c>
      <c r="E356" s="373" t="s">
        <v>1094</v>
      </c>
      <c r="F356" s="372">
        <v>1059599329</v>
      </c>
      <c r="G356" s="372"/>
    </row>
    <row r="357" spans="1:7" ht="30" x14ac:dyDescent="0.25">
      <c r="A357" s="369" t="s">
        <v>1361</v>
      </c>
      <c r="B357" s="369" t="s">
        <v>1470</v>
      </c>
      <c r="C357" s="369" t="s">
        <v>1553</v>
      </c>
      <c r="D357" s="369"/>
      <c r="E357" s="370" t="s">
        <v>851</v>
      </c>
      <c r="F357" s="369">
        <v>1059595865</v>
      </c>
      <c r="G357" s="372"/>
    </row>
    <row r="358" spans="1:7" ht="30" x14ac:dyDescent="0.25">
      <c r="A358" s="372" t="s">
        <v>953</v>
      </c>
      <c r="B358" s="372" t="s">
        <v>1378</v>
      </c>
      <c r="C358" s="372" t="s">
        <v>1617</v>
      </c>
      <c r="D358" s="372"/>
      <c r="E358" s="373" t="s">
        <v>851</v>
      </c>
      <c r="F358" s="372">
        <v>1059606238</v>
      </c>
      <c r="G358" s="372"/>
    </row>
    <row r="359" spans="1:7" ht="30" x14ac:dyDescent="0.25">
      <c r="A359" s="369" t="s">
        <v>874</v>
      </c>
      <c r="B359" s="369" t="s">
        <v>873</v>
      </c>
      <c r="C359" s="369" t="s">
        <v>1635</v>
      </c>
      <c r="D359" s="369" t="s">
        <v>1294</v>
      </c>
      <c r="E359" s="370" t="s">
        <v>1094</v>
      </c>
      <c r="F359" s="369">
        <v>1059597986</v>
      </c>
      <c r="G359" s="372"/>
    </row>
    <row r="360" spans="1:7" ht="30" x14ac:dyDescent="0.25">
      <c r="A360" s="372" t="s">
        <v>1156</v>
      </c>
      <c r="B360" s="372" t="s">
        <v>884</v>
      </c>
      <c r="C360" s="372" t="s">
        <v>1481</v>
      </c>
      <c r="D360" s="372" t="s">
        <v>1482</v>
      </c>
      <c r="E360" s="373" t="s">
        <v>851</v>
      </c>
      <c r="F360" s="380" t="s">
        <v>1483</v>
      </c>
      <c r="G360" s="372"/>
    </row>
    <row r="361" spans="1:7" ht="30" x14ac:dyDescent="0.25">
      <c r="A361" s="369" t="s">
        <v>1583</v>
      </c>
      <c r="B361" s="369" t="s">
        <v>873</v>
      </c>
      <c r="C361" s="369" t="s">
        <v>1584</v>
      </c>
      <c r="D361" s="369"/>
      <c r="E361" s="370" t="s">
        <v>851</v>
      </c>
      <c r="F361" s="382" t="s">
        <v>1582</v>
      </c>
      <c r="G361" s="372"/>
    </row>
    <row r="362" spans="1:7" ht="30" x14ac:dyDescent="0.25">
      <c r="A362" s="372" t="s">
        <v>1322</v>
      </c>
      <c r="B362" s="372" t="s">
        <v>1378</v>
      </c>
      <c r="C362" s="372" t="s">
        <v>1587</v>
      </c>
      <c r="D362" s="372"/>
      <c r="E362" s="373" t="s">
        <v>851</v>
      </c>
      <c r="F362" s="379" t="s">
        <v>1586</v>
      </c>
      <c r="G362" s="372"/>
    </row>
    <row r="363" spans="1:7" ht="30" x14ac:dyDescent="0.25">
      <c r="A363" s="369" t="s">
        <v>1590</v>
      </c>
      <c r="B363" s="369" t="s">
        <v>874</v>
      </c>
      <c r="C363" s="369" t="s">
        <v>1591</v>
      </c>
      <c r="D363" s="369"/>
      <c r="E363" s="370" t="s">
        <v>851</v>
      </c>
      <c r="F363" s="382" t="s">
        <v>1589</v>
      </c>
      <c r="G363" s="372"/>
    </row>
    <row r="364" spans="1:7" ht="30" x14ac:dyDescent="0.25">
      <c r="A364" s="372" t="s">
        <v>1286</v>
      </c>
      <c r="B364" s="372" t="s">
        <v>1594</v>
      </c>
      <c r="C364" s="372" t="s">
        <v>1420</v>
      </c>
      <c r="D364" s="372"/>
      <c r="E364" s="373" t="s">
        <v>1094</v>
      </c>
      <c r="F364" s="379" t="s">
        <v>1593</v>
      </c>
      <c r="G364" s="372"/>
    </row>
    <row r="365" spans="1:7" ht="30" x14ac:dyDescent="0.25">
      <c r="A365" s="369" t="s">
        <v>914</v>
      </c>
      <c r="B365" s="369" t="s">
        <v>1601</v>
      </c>
      <c r="C365" s="369" t="s">
        <v>1602</v>
      </c>
      <c r="D365" s="369"/>
      <c r="E365" s="370" t="s">
        <v>851</v>
      </c>
      <c r="F365" s="369">
        <v>1003370775</v>
      </c>
      <c r="G365" s="372"/>
    </row>
    <row r="366" spans="1:7" ht="30" x14ac:dyDescent="0.25">
      <c r="A366" s="372" t="s">
        <v>896</v>
      </c>
      <c r="B366" s="372" t="s">
        <v>992</v>
      </c>
      <c r="C366" s="372" t="s">
        <v>1530</v>
      </c>
      <c r="D366" s="372" t="s">
        <v>1357</v>
      </c>
      <c r="E366" s="373" t="s">
        <v>851</v>
      </c>
      <c r="F366" s="372">
        <v>1002847645</v>
      </c>
      <c r="G366" s="372"/>
    </row>
    <row r="367" spans="1:7" ht="30" x14ac:dyDescent="0.25">
      <c r="A367" s="369" t="s">
        <v>914</v>
      </c>
      <c r="B367" s="369" t="s">
        <v>943</v>
      </c>
      <c r="C367" s="369" t="s">
        <v>1198</v>
      </c>
      <c r="D367" s="369"/>
      <c r="E367" s="370" t="s">
        <v>851</v>
      </c>
      <c r="F367" s="369">
        <v>1059605317</v>
      </c>
      <c r="G367" s="372"/>
    </row>
    <row r="368" spans="1:7" ht="30" x14ac:dyDescent="0.25">
      <c r="A368" s="372" t="s">
        <v>873</v>
      </c>
      <c r="B368" s="372" t="s">
        <v>874</v>
      </c>
      <c r="C368" s="372" t="s">
        <v>1612</v>
      </c>
      <c r="D368" s="372" t="s">
        <v>1613</v>
      </c>
      <c r="E368" s="373" t="s">
        <v>851</v>
      </c>
      <c r="F368" s="372">
        <v>1002849103</v>
      </c>
      <c r="G368" s="372"/>
    </row>
    <row r="369" spans="1:7" ht="30" x14ac:dyDescent="0.25">
      <c r="A369" s="369" t="s">
        <v>1621</v>
      </c>
      <c r="B369" s="369" t="s">
        <v>1622</v>
      </c>
      <c r="C369" s="369" t="s">
        <v>1619</v>
      </c>
      <c r="D369" s="369" t="s">
        <v>1620</v>
      </c>
      <c r="E369" s="370" t="s">
        <v>851</v>
      </c>
      <c r="F369" s="369">
        <v>1104776221</v>
      </c>
      <c r="G369" s="372"/>
    </row>
    <row r="370" spans="1:7" ht="30" x14ac:dyDescent="0.25">
      <c r="A370" s="372" t="s">
        <v>980</v>
      </c>
      <c r="B370" s="372" t="s">
        <v>914</v>
      </c>
      <c r="C370" s="372" t="s">
        <v>1623</v>
      </c>
      <c r="D370" s="372"/>
      <c r="E370" s="373" t="s">
        <v>851</v>
      </c>
      <c r="F370" s="372">
        <v>1059596737</v>
      </c>
      <c r="G370" s="372"/>
    </row>
    <row r="371" spans="1:7" ht="30" x14ac:dyDescent="0.25">
      <c r="A371" s="369" t="s">
        <v>1629</v>
      </c>
      <c r="B371" s="369" t="s">
        <v>1249</v>
      </c>
      <c r="C371" s="369" t="s">
        <v>1630</v>
      </c>
      <c r="D371" s="369"/>
      <c r="E371" s="370" t="s">
        <v>851</v>
      </c>
      <c r="F371" s="369">
        <v>1059601748</v>
      </c>
      <c r="G371" s="372"/>
    </row>
    <row r="372" spans="1:7" ht="30" x14ac:dyDescent="0.25">
      <c r="A372" s="372" t="s">
        <v>896</v>
      </c>
      <c r="B372" s="372" t="s">
        <v>1632</v>
      </c>
      <c r="C372" s="372" t="s">
        <v>1633</v>
      </c>
      <c r="D372" s="372"/>
      <c r="E372" s="373" t="s">
        <v>851</v>
      </c>
      <c r="F372" s="383" t="s">
        <v>1631</v>
      </c>
      <c r="G372" s="372"/>
    </row>
    <row r="373" spans="1:7" ht="30" x14ac:dyDescent="0.25">
      <c r="A373" s="369" t="s">
        <v>953</v>
      </c>
      <c r="B373" s="369" t="s">
        <v>1660</v>
      </c>
      <c r="C373" s="369" t="s">
        <v>1217</v>
      </c>
      <c r="D373" s="369" t="s">
        <v>1661</v>
      </c>
      <c r="E373" s="370" t="s">
        <v>851</v>
      </c>
      <c r="F373" s="369">
        <v>1002848134</v>
      </c>
      <c r="G373" s="372"/>
    </row>
    <row r="374" spans="1:7" ht="30" x14ac:dyDescent="0.25">
      <c r="A374" s="372" t="s">
        <v>848</v>
      </c>
      <c r="B374" s="372" t="s">
        <v>1034</v>
      </c>
      <c r="C374" s="372" t="s">
        <v>1612</v>
      </c>
      <c r="D374" s="372" t="s">
        <v>1662</v>
      </c>
      <c r="E374" s="373" t="s">
        <v>851</v>
      </c>
      <c r="F374" s="372">
        <v>1059601726</v>
      </c>
      <c r="G374" s="372"/>
    </row>
    <row r="375" spans="1:7" ht="30" x14ac:dyDescent="0.25">
      <c r="A375" s="369" t="s">
        <v>1663</v>
      </c>
      <c r="B375" s="369" t="s">
        <v>1664</v>
      </c>
      <c r="C375" s="369" t="s">
        <v>938</v>
      </c>
      <c r="D375" s="369" t="s">
        <v>1665</v>
      </c>
      <c r="E375" s="370" t="s">
        <v>851</v>
      </c>
      <c r="F375" s="369">
        <v>1059601634</v>
      </c>
      <c r="G375" s="372"/>
    </row>
    <row r="376" spans="1:7" ht="30" x14ac:dyDescent="0.25">
      <c r="A376" s="372" t="s">
        <v>980</v>
      </c>
      <c r="B376" s="372" t="s">
        <v>1666</v>
      </c>
      <c r="C376" s="372" t="s">
        <v>1287</v>
      </c>
      <c r="D376" s="372" t="s">
        <v>919</v>
      </c>
      <c r="E376" s="373" t="s">
        <v>851</v>
      </c>
      <c r="F376" s="372">
        <v>1002846819</v>
      </c>
      <c r="G376" s="372"/>
    </row>
    <row r="377" spans="1:7" ht="30" x14ac:dyDescent="0.25">
      <c r="A377" s="369" t="s">
        <v>1667</v>
      </c>
      <c r="B377" s="369" t="s">
        <v>1668</v>
      </c>
      <c r="C377" s="369" t="s">
        <v>1669</v>
      </c>
      <c r="D377" s="369"/>
      <c r="E377" s="370" t="s">
        <v>851</v>
      </c>
      <c r="F377" s="369">
        <v>1064426895</v>
      </c>
      <c r="G377" s="372"/>
    </row>
    <row r="378" spans="1:7" ht="30" x14ac:dyDescent="0.25">
      <c r="A378" s="372" t="s">
        <v>943</v>
      </c>
      <c r="B378" s="372" t="s">
        <v>848</v>
      </c>
      <c r="C378" s="372" t="s">
        <v>1673</v>
      </c>
      <c r="D378" s="372" t="s">
        <v>1674</v>
      </c>
      <c r="E378" s="373" t="s">
        <v>851</v>
      </c>
      <c r="F378" s="384" t="s">
        <v>1672</v>
      </c>
      <c r="G378" s="372"/>
    </row>
    <row r="379" spans="1:7" ht="30" x14ac:dyDescent="0.25">
      <c r="A379" s="369" t="s">
        <v>848</v>
      </c>
      <c r="B379" s="369" t="s">
        <v>914</v>
      </c>
      <c r="C379" s="369" t="s">
        <v>1683</v>
      </c>
      <c r="D379" s="369"/>
      <c r="E379" s="370" t="s">
        <v>851</v>
      </c>
      <c r="F379" s="385" t="s">
        <v>1682</v>
      </c>
      <c r="G379" s="372"/>
    </row>
    <row r="380" spans="1:7" x14ac:dyDescent="0.25">
      <c r="A380" s="420" t="s">
        <v>1696</v>
      </c>
      <c r="B380" s="420"/>
      <c r="C380" s="420"/>
      <c r="D380" s="420"/>
      <c r="E380" s="420"/>
      <c r="F380" s="420"/>
      <c r="G380" s="372"/>
    </row>
    <row r="381" spans="1:7" ht="45" x14ac:dyDescent="0.25">
      <c r="A381" s="367" t="s">
        <v>94</v>
      </c>
      <c r="B381" s="367" t="s">
        <v>21</v>
      </c>
      <c r="C381" s="367" t="s">
        <v>0</v>
      </c>
      <c r="D381" s="367" t="s">
        <v>1</v>
      </c>
      <c r="E381" s="367" t="s">
        <v>2</v>
      </c>
      <c r="F381" s="367" t="s">
        <v>3</v>
      </c>
      <c r="G381" s="372"/>
    </row>
    <row r="382" spans="1:7" ht="30" x14ac:dyDescent="0.25">
      <c r="A382" s="369" t="s">
        <v>914</v>
      </c>
      <c r="B382" s="369" t="s">
        <v>884</v>
      </c>
      <c r="C382" s="369" t="s">
        <v>1296</v>
      </c>
      <c r="D382" s="369" t="s">
        <v>850</v>
      </c>
      <c r="E382" s="370" t="s">
        <v>851</v>
      </c>
      <c r="F382" s="369">
        <v>1060186045</v>
      </c>
      <c r="G382" s="372"/>
    </row>
    <row r="383" spans="1:7" ht="30" x14ac:dyDescent="0.25">
      <c r="A383" s="372" t="s">
        <v>1298</v>
      </c>
      <c r="B383" s="372" t="s">
        <v>914</v>
      </c>
      <c r="C383" s="372" t="s">
        <v>1299</v>
      </c>
      <c r="D383" s="372" t="s">
        <v>1300</v>
      </c>
      <c r="E383" s="373" t="s">
        <v>851</v>
      </c>
      <c r="F383" s="372" t="s">
        <v>1301</v>
      </c>
      <c r="G383" s="372"/>
    </row>
    <row r="384" spans="1:7" ht="30" x14ac:dyDescent="0.25">
      <c r="A384" s="369" t="s">
        <v>1305</v>
      </c>
      <c r="B384" s="369" t="s">
        <v>884</v>
      </c>
      <c r="C384" s="369" t="s">
        <v>1306</v>
      </c>
      <c r="D384" s="369" t="s">
        <v>1307</v>
      </c>
      <c r="E384" s="370" t="s">
        <v>851</v>
      </c>
      <c r="F384" s="369">
        <v>1059604869</v>
      </c>
      <c r="G384" s="372"/>
    </row>
    <row r="385" spans="1:7" ht="30" x14ac:dyDescent="0.25">
      <c r="A385" s="372" t="s">
        <v>953</v>
      </c>
      <c r="B385" s="372" t="s">
        <v>1316</v>
      </c>
      <c r="C385" s="372" t="s">
        <v>1317</v>
      </c>
      <c r="D385" s="372" t="s">
        <v>1028</v>
      </c>
      <c r="E385" s="373" t="s">
        <v>851</v>
      </c>
      <c r="F385" s="372">
        <v>1059594373</v>
      </c>
      <c r="G385" s="372"/>
    </row>
    <row r="386" spans="1:7" ht="30" x14ac:dyDescent="0.25">
      <c r="A386" s="369" t="s">
        <v>914</v>
      </c>
      <c r="B386" s="369" t="s">
        <v>1318</v>
      </c>
      <c r="C386" s="369" t="s">
        <v>1319</v>
      </c>
      <c r="D386" s="369"/>
      <c r="E386" s="370" t="s">
        <v>851</v>
      </c>
      <c r="F386" s="369" t="s">
        <v>1320</v>
      </c>
      <c r="G386" s="372"/>
    </row>
    <row r="387" spans="1:7" ht="30" x14ac:dyDescent="0.25">
      <c r="A387" s="372" t="s">
        <v>1332</v>
      </c>
      <c r="B387" s="372" t="s">
        <v>1091</v>
      </c>
      <c r="C387" s="372" t="s">
        <v>1333</v>
      </c>
      <c r="D387" s="372"/>
      <c r="E387" s="373" t="s">
        <v>1094</v>
      </c>
      <c r="F387" s="372">
        <v>1059595374</v>
      </c>
      <c r="G387" s="372"/>
    </row>
    <row r="388" spans="1:7" ht="30" x14ac:dyDescent="0.25">
      <c r="A388" s="369" t="s">
        <v>874</v>
      </c>
      <c r="B388" s="369" t="s">
        <v>943</v>
      </c>
      <c r="C388" s="369" t="s">
        <v>1340</v>
      </c>
      <c r="D388" s="369"/>
      <c r="E388" s="370" t="s">
        <v>1094</v>
      </c>
      <c r="F388" s="369">
        <v>1059597393</v>
      </c>
      <c r="G388" s="372"/>
    </row>
    <row r="389" spans="1:7" ht="30" x14ac:dyDescent="0.25">
      <c r="A389" s="372" t="s">
        <v>914</v>
      </c>
      <c r="B389" s="372" t="s">
        <v>915</v>
      </c>
      <c r="C389" s="372" t="s">
        <v>916</v>
      </c>
      <c r="D389" s="372"/>
      <c r="E389" s="373" t="s">
        <v>1094</v>
      </c>
      <c r="F389" s="372">
        <v>1059598169</v>
      </c>
      <c r="G389" s="372"/>
    </row>
    <row r="390" spans="1:7" ht="30" x14ac:dyDescent="0.25">
      <c r="A390" s="369" t="s">
        <v>1360</v>
      </c>
      <c r="B390" s="369" t="s">
        <v>1361</v>
      </c>
      <c r="C390" s="369" t="s">
        <v>938</v>
      </c>
      <c r="D390" s="369" t="s">
        <v>1362</v>
      </c>
      <c r="E390" s="370" t="s">
        <v>851</v>
      </c>
      <c r="F390" s="369" t="s">
        <v>1363</v>
      </c>
      <c r="G390" s="372"/>
    </row>
    <row r="391" spans="1:7" ht="30" x14ac:dyDescent="0.25">
      <c r="A391" s="372" t="s">
        <v>1286</v>
      </c>
      <c r="B391" s="372" t="s">
        <v>914</v>
      </c>
      <c r="C391" s="372" t="s">
        <v>1198</v>
      </c>
      <c r="D391" s="372" t="s">
        <v>1364</v>
      </c>
      <c r="E391" s="373" t="s">
        <v>851</v>
      </c>
      <c r="F391" s="372">
        <v>1059600026</v>
      </c>
      <c r="G391" s="372"/>
    </row>
    <row r="392" spans="1:7" ht="30" x14ac:dyDescent="0.25">
      <c r="A392" s="369" t="s">
        <v>857</v>
      </c>
      <c r="B392" s="369" t="s">
        <v>1365</v>
      </c>
      <c r="C392" s="369" t="s">
        <v>949</v>
      </c>
      <c r="D392" s="369" t="s">
        <v>1366</v>
      </c>
      <c r="E392" s="370" t="s">
        <v>851</v>
      </c>
      <c r="F392" s="369">
        <v>1002953350</v>
      </c>
      <c r="G392" s="372"/>
    </row>
    <row r="393" spans="1:7" ht="30" x14ac:dyDescent="0.25">
      <c r="A393" s="372" t="s">
        <v>1368</v>
      </c>
      <c r="B393" s="372" t="s">
        <v>1369</v>
      </c>
      <c r="C393" s="372" t="s">
        <v>1370</v>
      </c>
      <c r="D393" s="372" t="s">
        <v>982</v>
      </c>
      <c r="E393" s="373" t="s">
        <v>851</v>
      </c>
      <c r="F393" s="372">
        <v>1059603417</v>
      </c>
      <c r="G393" s="372"/>
    </row>
    <row r="394" spans="1:7" ht="30" x14ac:dyDescent="0.25">
      <c r="A394" s="369" t="s">
        <v>1382</v>
      </c>
      <c r="B394" s="369" t="s">
        <v>1382</v>
      </c>
      <c r="C394" s="369" t="s">
        <v>1383</v>
      </c>
      <c r="D394" s="369"/>
      <c r="E394" s="370" t="s">
        <v>851</v>
      </c>
      <c r="F394" s="369">
        <v>1003371767</v>
      </c>
      <c r="G394" s="372"/>
    </row>
    <row r="395" spans="1:7" ht="30" x14ac:dyDescent="0.25">
      <c r="A395" s="372" t="s">
        <v>873</v>
      </c>
      <c r="B395" s="372" t="s">
        <v>1391</v>
      </c>
      <c r="C395" s="372" t="s">
        <v>985</v>
      </c>
      <c r="D395" s="372" t="s">
        <v>1392</v>
      </c>
      <c r="E395" s="373" t="s">
        <v>851</v>
      </c>
      <c r="F395" s="372">
        <v>25547491</v>
      </c>
      <c r="G395" s="372"/>
    </row>
    <row r="396" spans="1:7" ht="30" x14ac:dyDescent="0.25">
      <c r="A396" s="369" t="s">
        <v>979</v>
      </c>
      <c r="B396" s="369" t="s">
        <v>943</v>
      </c>
      <c r="C396" s="369" t="s">
        <v>1217</v>
      </c>
      <c r="D396" s="369" t="s">
        <v>1398</v>
      </c>
      <c r="E396" s="370" t="s">
        <v>851</v>
      </c>
      <c r="F396" s="369">
        <v>1002846528</v>
      </c>
      <c r="G396" s="372"/>
    </row>
    <row r="397" spans="1:7" ht="30" x14ac:dyDescent="0.25">
      <c r="A397" s="372" t="s">
        <v>873</v>
      </c>
      <c r="B397" s="372" t="s">
        <v>944</v>
      </c>
      <c r="C397" s="372" t="s">
        <v>1399</v>
      </c>
      <c r="D397" s="372" t="s">
        <v>1400</v>
      </c>
      <c r="E397" s="373" t="s">
        <v>851</v>
      </c>
      <c r="F397" s="372">
        <v>1002848796</v>
      </c>
      <c r="G397" s="372"/>
    </row>
    <row r="398" spans="1:7" ht="30" x14ac:dyDescent="0.25">
      <c r="A398" s="369" t="s">
        <v>1405</v>
      </c>
      <c r="B398" s="369" t="s">
        <v>884</v>
      </c>
      <c r="C398" s="369" t="s">
        <v>1406</v>
      </c>
      <c r="D398" s="369" t="s">
        <v>1407</v>
      </c>
      <c r="E398" s="370" t="s">
        <v>851</v>
      </c>
      <c r="F398" s="369">
        <v>1059601552</v>
      </c>
      <c r="G398" s="372"/>
    </row>
    <row r="399" spans="1:7" ht="30" x14ac:dyDescent="0.25">
      <c r="A399" s="372" t="s">
        <v>1034</v>
      </c>
      <c r="B399" s="372" t="s">
        <v>1166</v>
      </c>
      <c r="C399" s="372" t="s">
        <v>1408</v>
      </c>
      <c r="D399" s="372" t="s">
        <v>1409</v>
      </c>
      <c r="E399" s="373" t="s">
        <v>851</v>
      </c>
      <c r="F399" s="372">
        <v>1005860830</v>
      </c>
      <c r="G399" s="372"/>
    </row>
    <row r="400" spans="1:7" ht="30" x14ac:dyDescent="0.25">
      <c r="A400" s="369" t="s">
        <v>944</v>
      </c>
      <c r="B400" s="369" t="s">
        <v>943</v>
      </c>
      <c r="C400" s="369" t="s">
        <v>1421</v>
      </c>
      <c r="D400" s="369"/>
      <c r="E400" s="370" t="s">
        <v>851</v>
      </c>
      <c r="F400" s="369">
        <v>1002846330</v>
      </c>
      <c r="G400" s="372"/>
    </row>
    <row r="401" spans="1:7" ht="30" x14ac:dyDescent="0.25">
      <c r="A401" s="372" t="s">
        <v>848</v>
      </c>
      <c r="B401" s="372" t="s">
        <v>943</v>
      </c>
      <c r="C401" s="372" t="s">
        <v>1423</v>
      </c>
      <c r="D401" s="372"/>
      <c r="E401" s="373" t="s">
        <v>851</v>
      </c>
      <c r="F401" s="372">
        <v>1193097625</v>
      </c>
      <c r="G401" s="372"/>
    </row>
    <row r="402" spans="1:7" ht="30" x14ac:dyDescent="0.25">
      <c r="A402" s="369" t="s">
        <v>1427</v>
      </c>
      <c r="B402" s="369" t="s">
        <v>1428</v>
      </c>
      <c r="C402" s="369" t="s">
        <v>1429</v>
      </c>
      <c r="D402" s="369" t="s">
        <v>1430</v>
      </c>
      <c r="E402" s="370" t="s">
        <v>851</v>
      </c>
      <c r="F402" s="369">
        <v>1061528490</v>
      </c>
      <c r="G402" s="372"/>
    </row>
    <row r="403" spans="1:7" ht="30" x14ac:dyDescent="0.25">
      <c r="A403" s="372" t="s">
        <v>1144</v>
      </c>
      <c r="B403" s="372" t="s">
        <v>884</v>
      </c>
      <c r="C403" s="372" t="s">
        <v>1432</v>
      </c>
      <c r="D403" s="372" t="s">
        <v>1433</v>
      </c>
      <c r="E403" s="373" t="s">
        <v>1094</v>
      </c>
      <c r="F403" s="372">
        <v>1059596594</v>
      </c>
      <c r="G403" s="372"/>
    </row>
    <row r="404" spans="1:7" ht="30" x14ac:dyDescent="0.25">
      <c r="A404" s="369" t="s">
        <v>873</v>
      </c>
      <c r="B404" s="369" t="s">
        <v>1435</v>
      </c>
      <c r="C404" s="369" t="s">
        <v>1436</v>
      </c>
      <c r="D404" s="369" t="s">
        <v>1437</v>
      </c>
      <c r="E404" s="370" t="s">
        <v>851</v>
      </c>
      <c r="F404" s="369">
        <v>1059601742</v>
      </c>
      <c r="G404" s="372"/>
    </row>
    <row r="405" spans="1:7" ht="30" x14ac:dyDescent="0.25">
      <c r="A405" s="372" t="s">
        <v>1439</v>
      </c>
      <c r="B405" s="372" t="s">
        <v>884</v>
      </c>
      <c r="C405" s="372" t="s">
        <v>1440</v>
      </c>
      <c r="D405" s="372" t="s">
        <v>1294</v>
      </c>
      <c r="E405" s="373" t="s">
        <v>851</v>
      </c>
      <c r="F405" s="372">
        <v>1002847533</v>
      </c>
      <c r="G405" s="372"/>
    </row>
    <row r="406" spans="1:7" ht="30" x14ac:dyDescent="0.25">
      <c r="A406" s="369" t="s">
        <v>1441</v>
      </c>
      <c r="B406" s="369"/>
      <c r="C406" s="369" t="s">
        <v>1284</v>
      </c>
      <c r="D406" s="369" t="s">
        <v>1442</v>
      </c>
      <c r="E406" s="370" t="s">
        <v>851</v>
      </c>
      <c r="F406" s="369">
        <v>1002848635</v>
      </c>
      <c r="G406" s="372"/>
    </row>
    <row r="407" spans="1:7" ht="30" x14ac:dyDescent="0.25">
      <c r="A407" s="372" t="s">
        <v>1443</v>
      </c>
      <c r="B407" s="372" t="s">
        <v>1444</v>
      </c>
      <c r="C407" s="372" t="s">
        <v>1445</v>
      </c>
      <c r="D407" s="372"/>
      <c r="E407" s="373" t="s">
        <v>851</v>
      </c>
      <c r="F407" s="372">
        <v>1061757665</v>
      </c>
      <c r="G407" s="372"/>
    </row>
    <row r="408" spans="1:7" ht="30" x14ac:dyDescent="0.25">
      <c r="A408" s="369" t="s">
        <v>1179</v>
      </c>
      <c r="B408" s="369" t="s">
        <v>1435</v>
      </c>
      <c r="C408" s="369" t="s">
        <v>1448</v>
      </c>
      <c r="D408" s="369" t="s">
        <v>1294</v>
      </c>
      <c r="E408" s="370" t="s">
        <v>851</v>
      </c>
      <c r="F408" s="369">
        <v>1059594096</v>
      </c>
      <c r="G408" s="372"/>
    </row>
    <row r="409" spans="1:7" ht="30" x14ac:dyDescent="0.25">
      <c r="A409" s="372" t="s">
        <v>1455</v>
      </c>
      <c r="B409" s="372" t="s">
        <v>974</v>
      </c>
      <c r="C409" s="372" t="s">
        <v>1305</v>
      </c>
      <c r="D409" s="372" t="s">
        <v>1456</v>
      </c>
      <c r="E409" s="373" t="s">
        <v>1094</v>
      </c>
      <c r="F409" s="372">
        <v>1059595977</v>
      </c>
      <c r="G409" s="372"/>
    </row>
    <row r="410" spans="1:7" ht="30" x14ac:dyDescent="0.25">
      <c r="A410" s="369" t="s">
        <v>1441</v>
      </c>
      <c r="B410" s="369" t="s">
        <v>884</v>
      </c>
      <c r="C410" s="369" t="s">
        <v>1457</v>
      </c>
      <c r="D410" s="369"/>
      <c r="E410" s="370" t="s">
        <v>851</v>
      </c>
      <c r="F410" s="369">
        <v>25545401</v>
      </c>
      <c r="G410" s="372"/>
    </row>
    <row r="411" spans="1:7" ht="30" x14ac:dyDescent="0.25">
      <c r="A411" s="372" t="s">
        <v>1458</v>
      </c>
      <c r="B411" s="372" t="s">
        <v>1459</v>
      </c>
      <c r="C411" s="372" t="s">
        <v>1460</v>
      </c>
      <c r="D411" s="372" t="s">
        <v>976</v>
      </c>
      <c r="E411" s="373" t="s">
        <v>1094</v>
      </c>
      <c r="F411" s="372">
        <v>1062295885</v>
      </c>
      <c r="G411" s="372"/>
    </row>
    <row r="412" spans="1:7" ht="30" x14ac:dyDescent="0.25">
      <c r="A412" s="369" t="s">
        <v>944</v>
      </c>
      <c r="B412" s="369" t="s">
        <v>943</v>
      </c>
      <c r="C412" s="369" t="s">
        <v>1463</v>
      </c>
      <c r="D412" s="369" t="s">
        <v>1464</v>
      </c>
      <c r="E412" s="370" t="s">
        <v>1094</v>
      </c>
      <c r="F412" s="369">
        <v>1060186081</v>
      </c>
      <c r="G412" s="372"/>
    </row>
    <row r="413" spans="1:7" ht="30" x14ac:dyDescent="0.25">
      <c r="A413" s="372" t="s">
        <v>964</v>
      </c>
      <c r="B413" s="372" t="s">
        <v>1465</v>
      </c>
      <c r="C413" s="372" t="s">
        <v>1002</v>
      </c>
      <c r="D413" s="372" t="s">
        <v>1366</v>
      </c>
      <c r="E413" s="373" t="s">
        <v>1094</v>
      </c>
      <c r="F413" s="372">
        <v>1061530990</v>
      </c>
      <c r="G413" s="372"/>
    </row>
    <row r="414" spans="1:7" ht="30" x14ac:dyDescent="0.25">
      <c r="A414" s="369" t="s">
        <v>943</v>
      </c>
      <c r="B414" s="369" t="s">
        <v>1144</v>
      </c>
      <c r="C414" s="369" t="s">
        <v>1468</v>
      </c>
      <c r="D414" s="369" t="s">
        <v>1281</v>
      </c>
      <c r="E414" s="370" t="s">
        <v>851</v>
      </c>
      <c r="F414" s="369">
        <v>1059607505</v>
      </c>
      <c r="G414" s="372"/>
    </row>
    <row r="415" spans="1:7" ht="30" x14ac:dyDescent="0.25">
      <c r="A415" s="372" t="s">
        <v>914</v>
      </c>
      <c r="B415" s="372" t="s">
        <v>1276</v>
      </c>
      <c r="C415" s="372" t="s">
        <v>938</v>
      </c>
      <c r="D415" s="372" t="s">
        <v>1484</v>
      </c>
      <c r="E415" s="373" t="s">
        <v>851</v>
      </c>
      <c r="F415" s="372">
        <v>1002846249</v>
      </c>
      <c r="G415" s="372"/>
    </row>
    <row r="416" spans="1:7" ht="30" x14ac:dyDescent="0.25">
      <c r="A416" s="369" t="s">
        <v>914</v>
      </c>
      <c r="B416" s="369" t="s">
        <v>848</v>
      </c>
      <c r="C416" s="369" t="s">
        <v>1485</v>
      </c>
      <c r="D416" s="369" t="s">
        <v>1285</v>
      </c>
      <c r="E416" s="370" t="s">
        <v>851</v>
      </c>
      <c r="F416" s="369" t="s">
        <v>1486</v>
      </c>
      <c r="G416" s="372"/>
    </row>
    <row r="417" spans="1:7" ht="30" x14ac:dyDescent="0.25">
      <c r="A417" s="372" t="s">
        <v>992</v>
      </c>
      <c r="B417" s="372" t="s">
        <v>1498</v>
      </c>
      <c r="C417" s="372" t="s">
        <v>938</v>
      </c>
      <c r="D417" s="372" t="s">
        <v>1499</v>
      </c>
      <c r="E417" s="373" t="s">
        <v>851</v>
      </c>
      <c r="F417" s="372" t="s">
        <v>1500</v>
      </c>
      <c r="G417" s="372"/>
    </row>
    <row r="418" spans="1:7" ht="30" x14ac:dyDescent="0.25">
      <c r="A418" s="369" t="s">
        <v>1513</v>
      </c>
      <c r="B418" s="369" t="s">
        <v>1514</v>
      </c>
      <c r="C418" s="369" t="s">
        <v>1515</v>
      </c>
      <c r="D418" s="369"/>
      <c r="E418" s="370" t="s">
        <v>851</v>
      </c>
      <c r="F418" s="369">
        <v>1067461286</v>
      </c>
      <c r="G418" s="372"/>
    </row>
    <row r="419" spans="1:7" ht="30" x14ac:dyDescent="0.25">
      <c r="A419" s="372" t="s">
        <v>1519</v>
      </c>
      <c r="B419" s="372" t="s">
        <v>848</v>
      </c>
      <c r="C419" s="372" t="s">
        <v>1520</v>
      </c>
      <c r="D419" s="372" t="s">
        <v>1521</v>
      </c>
      <c r="E419" s="373" t="s">
        <v>851</v>
      </c>
      <c r="F419" s="372">
        <v>1002950269</v>
      </c>
      <c r="G419" s="372"/>
    </row>
    <row r="420" spans="1:7" ht="30" x14ac:dyDescent="0.25">
      <c r="A420" s="369" t="s">
        <v>884</v>
      </c>
      <c r="B420" s="369" t="s">
        <v>1524</v>
      </c>
      <c r="C420" s="369" t="s">
        <v>945</v>
      </c>
      <c r="D420" s="369" t="s">
        <v>919</v>
      </c>
      <c r="E420" s="370" t="s">
        <v>851</v>
      </c>
      <c r="F420" s="369">
        <v>1002970266</v>
      </c>
      <c r="G420" s="372"/>
    </row>
    <row r="421" spans="1:7" ht="30" x14ac:dyDescent="0.25">
      <c r="A421" s="372" t="s">
        <v>1361</v>
      </c>
      <c r="B421" s="372" t="s">
        <v>992</v>
      </c>
      <c r="C421" s="372" t="s">
        <v>1531</v>
      </c>
      <c r="D421" s="372"/>
      <c r="E421" s="373" t="s">
        <v>851</v>
      </c>
      <c r="F421" s="372">
        <v>1151452891</v>
      </c>
      <c r="G421" s="372"/>
    </row>
    <row r="422" spans="1:7" ht="30" x14ac:dyDescent="0.25">
      <c r="A422" s="369" t="s">
        <v>914</v>
      </c>
      <c r="B422" s="369" t="s">
        <v>1470</v>
      </c>
      <c r="C422" s="369" t="s">
        <v>1167</v>
      </c>
      <c r="D422" s="369" t="s">
        <v>1043</v>
      </c>
      <c r="E422" s="370" t="s">
        <v>851</v>
      </c>
      <c r="F422" s="369">
        <v>1193105051</v>
      </c>
      <c r="G422" s="372"/>
    </row>
    <row r="423" spans="1:7" ht="30" x14ac:dyDescent="0.25">
      <c r="A423" s="372" t="s">
        <v>1286</v>
      </c>
      <c r="B423" s="372" t="s">
        <v>980</v>
      </c>
      <c r="C423" s="372" t="s">
        <v>1528</v>
      </c>
      <c r="D423" s="372" t="s">
        <v>1281</v>
      </c>
      <c r="E423" s="373" t="s">
        <v>851</v>
      </c>
      <c r="F423" s="372">
        <v>1059596092</v>
      </c>
      <c r="G423" s="372"/>
    </row>
    <row r="424" spans="1:7" ht="30" x14ac:dyDescent="0.25">
      <c r="A424" s="369" t="s">
        <v>884</v>
      </c>
      <c r="B424" s="369" t="s">
        <v>1144</v>
      </c>
      <c r="C424" s="369" t="s">
        <v>1534</v>
      </c>
      <c r="D424" s="369"/>
      <c r="E424" s="370" t="s">
        <v>851</v>
      </c>
      <c r="F424" s="376">
        <v>1002846626</v>
      </c>
      <c r="G424" s="372"/>
    </row>
    <row r="425" spans="1:7" ht="30" x14ac:dyDescent="0.25">
      <c r="A425" s="372" t="s">
        <v>1246</v>
      </c>
      <c r="B425" s="372" t="s">
        <v>943</v>
      </c>
      <c r="C425" s="372" t="s">
        <v>1535</v>
      </c>
      <c r="D425" s="372"/>
      <c r="E425" s="373" t="s">
        <v>851</v>
      </c>
      <c r="F425" s="377">
        <v>1002848307</v>
      </c>
      <c r="G425" s="372"/>
    </row>
    <row r="426" spans="1:7" ht="30" x14ac:dyDescent="0.25">
      <c r="A426" s="369" t="s">
        <v>873</v>
      </c>
      <c r="B426" s="369" t="s">
        <v>1091</v>
      </c>
      <c r="C426" s="369" t="s">
        <v>1277</v>
      </c>
      <c r="D426" s="369"/>
      <c r="E426" s="370" t="s">
        <v>851</v>
      </c>
      <c r="F426" s="378">
        <v>1059598472</v>
      </c>
      <c r="G426" s="372"/>
    </row>
    <row r="427" spans="1:7" ht="30" x14ac:dyDescent="0.25">
      <c r="A427" s="372" t="s">
        <v>1540</v>
      </c>
      <c r="B427" s="372" t="s">
        <v>943</v>
      </c>
      <c r="C427" s="372" t="s">
        <v>1541</v>
      </c>
      <c r="D427" s="372" t="s">
        <v>1542</v>
      </c>
      <c r="E427" s="373" t="s">
        <v>851</v>
      </c>
      <c r="F427" s="379" t="s">
        <v>1539</v>
      </c>
      <c r="G427" s="372"/>
    </row>
    <row r="428" spans="1:7" x14ac:dyDescent="0.25">
      <c r="A428" s="369" t="s">
        <v>943</v>
      </c>
      <c r="B428" s="369" t="s">
        <v>848</v>
      </c>
      <c r="C428" s="369" t="s">
        <v>1553</v>
      </c>
      <c r="D428" s="369"/>
      <c r="E428" s="370"/>
      <c r="F428" s="369">
        <v>1059594153</v>
      </c>
      <c r="G428" s="372"/>
    </row>
    <row r="429" spans="1:7" ht="30" x14ac:dyDescent="0.25">
      <c r="A429" s="372" t="s">
        <v>953</v>
      </c>
      <c r="B429" s="372" t="s">
        <v>1249</v>
      </c>
      <c r="C429" s="372" t="s">
        <v>1556</v>
      </c>
      <c r="D429" s="372"/>
      <c r="E429" s="373" t="s">
        <v>1094</v>
      </c>
      <c r="F429" s="372">
        <v>1059599873</v>
      </c>
      <c r="G429" s="372"/>
    </row>
    <row r="430" spans="1:7" x14ac:dyDescent="0.25">
      <c r="A430" s="369" t="s">
        <v>896</v>
      </c>
      <c r="B430" s="369" t="s">
        <v>953</v>
      </c>
      <c r="C430" s="369" t="s">
        <v>1634</v>
      </c>
      <c r="D430" s="369"/>
      <c r="E430" s="370"/>
      <c r="F430" s="369">
        <v>1002848733</v>
      </c>
      <c r="G430" s="372"/>
    </row>
    <row r="431" spans="1:7" ht="30" x14ac:dyDescent="0.25">
      <c r="A431" s="372" t="s">
        <v>873</v>
      </c>
      <c r="B431" s="372" t="s">
        <v>874</v>
      </c>
      <c r="C431" s="372" t="s">
        <v>1215</v>
      </c>
      <c r="D431" s="372"/>
      <c r="E431" s="373" t="s">
        <v>851</v>
      </c>
      <c r="F431" s="372">
        <v>1002849181</v>
      </c>
      <c r="G431" s="372"/>
    </row>
    <row r="432" spans="1:7" ht="30" x14ac:dyDescent="0.25">
      <c r="A432" s="369" t="s">
        <v>953</v>
      </c>
      <c r="B432" s="369" t="s">
        <v>1286</v>
      </c>
      <c r="C432" s="369" t="s">
        <v>1463</v>
      </c>
      <c r="D432" s="369" t="s">
        <v>1579</v>
      </c>
      <c r="E432" s="370" t="s">
        <v>851</v>
      </c>
      <c r="F432" s="382" t="s">
        <v>1578</v>
      </c>
      <c r="G432" s="372"/>
    </row>
    <row r="433" spans="1:7" ht="30" x14ac:dyDescent="0.25">
      <c r="A433" s="372" t="s">
        <v>884</v>
      </c>
      <c r="B433" s="372" t="s">
        <v>1286</v>
      </c>
      <c r="C433" s="372" t="s">
        <v>1452</v>
      </c>
      <c r="D433" s="372"/>
      <c r="E433" s="373" t="s">
        <v>851</v>
      </c>
      <c r="F433" s="372">
        <v>25546688</v>
      </c>
      <c r="G433" s="372"/>
    </row>
    <row r="434" spans="1:7" ht="30" x14ac:dyDescent="0.25">
      <c r="A434" s="369" t="s">
        <v>1637</v>
      </c>
      <c r="B434" s="369" t="s">
        <v>1638</v>
      </c>
      <c r="C434" s="369" t="s">
        <v>1028</v>
      </c>
      <c r="D434" s="369"/>
      <c r="E434" s="370" t="s">
        <v>851</v>
      </c>
      <c r="F434" s="381">
        <v>1060986729</v>
      </c>
      <c r="G434" s="372"/>
    </row>
    <row r="435" spans="1:7" ht="30" x14ac:dyDescent="0.25">
      <c r="A435" s="372" t="s">
        <v>1210</v>
      </c>
      <c r="B435" s="372" t="s">
        <v>848</v>
      </c>
      <c r="C435" s="372" t="s">
        <v>1670</v>
      </c>
      <c r="D435" s="372" t="s">
        <v>1671</v>
      </c>
      <c r="E435" s="373" t="s">
        <v>851</v>
      </c>
      <c r="F435" s="372">
        <v>1059602883</v>
      </c>
      <c r="G435" s="372"/>
    </row>
    <row r="436" spans="1:7" ht="30" x14ac:dyDescent="0.25">
      <c r="A436" s="369" t="s">
        <v>1677</v>
      </c>
      <c r="B436" s="369" t="s">
        <v>962</v>
      </c>
      <c r="C436" s="369" t="s">
        <v>1678</v>
      </c>
      <c r="D436" s="369" t="s">
        <v>1679</v>
      </c>
      <c r="E436" s="370" t="s">
        <v>1094</v>
      </c>
      <c r="F436" s="385" t="s">
        <v>1676</v>
      </c>
      <c r="G436" s="372"/>
    </row>
    <row r="437" spans="1:7" x14ac:dyDescent="0.25">
      <c r="A437" s="420" t="s">
        <v>1697</v>
      </c>
      <c r="B437" s="420"/>
      <c r="C437" s="420"/>
      <c r="D437" s="420"/>
      <c r="E437" s="420"/>
      <c r="F437" s="420"/>
      <c r="G437" s="372"/>
    </row>
    <row r="438" spans="1:7" ht="30" x14ac:dyDescent="0.25">
      <c r="A438" s="369" t="s">
        <v>914</v>
      </c>
      <c r="B438" s="369" t="s">
        <v>915</v>
      </c>
      <c r="C438" s="369" t="s">
        <v>916</v>
      </c>
      <c r="D438" s="369"/>
      <c r="E438" s="370" t="s">
        <v>1094</v>
      </c>
      <c r="F438" s="369">
        <v>1059598169</v>
      </c>
      <c r="G438" s="372"/>
    </row>
    <row r="439" spans="1:7" ht="30" x14ac:dyDescent="0.25">
      <c r="A439" s="372" t="s">
        <v>857</v>
      </c>
      <c r="B439" s="372" t="s">
        <v>1365</v>
      </c>
      <c r="C439" s="372" t="s">
        <v>949</v>
      </c>
      <c r="D439" s="372" t="s">
        <v>1366</v>
      </c>
      <c r="E439" s="373" t="s">
        <v>851</v>
      </c>
      <c r="F439" s="372">
        <v>1002953350</v>
      </c>
      <c r="G439" s="372"/>
    </row>
    <row r="440" spans="1:7" ht="30" x14ac:dyDescent="0.25">
      <c r="A440" s="369" t="s">
        <v>1368</v>
      </c>
      <c r="B440" s="369" t="s">
        <v>1369</v>
      </c>
      <c r="C440" s="369" t="s">
        <v>1370</v>
      </c>
      <c r="D440" s="369" t="s">
        <v>982</v>
      </c>
      <c r="E440" s="370" t="s">
        <v>851</v>
      </c>
      <c r="F440" s="369">
        <v>1059603417</v>
      </c>
      <c r="G440" s="372"/>
    </row>
    <row r="441" spans="1:7" ht="30" x14ac:dyDescent="0.25">
      <c r="A441" s="372" t="s">
        <v>1441</v>
      </c>
      <c r="B441" s="372" t="s">
        <v>914</v>
      </c>
      <c r="C441" s="372" t="s">
        <v>1451</v>
      </c>
      <c r="D441" s="372"/>
      <c r="E441" s="373" t="s">
        <v>851</v>
      </c>
      <c r="F441" s="372">
        <v>1059598007</v>
      </c>
      <c r="G441" s="372"/>
    </row>
    <row r="442" spans="1:7" ht="30" x14ac:dyDescent="0.25">
      <c r="A442" s="369" t="s">
        <v>896</v>
      </c>
      <c r="B442" s="369" t="s">
        <v>943</v>
      </c>
      <c r="C442" s="369" t="s">
        <v>1452</v>
      </c>
      <c r="D442" s="369" t="s">
        <v>1372</v>
      </c>
      <c r="E442" s="370" t="s">
        <v>851</v>
      </c>
      <c r="F442" s="369">
        <v>1059599315</v>
      </c>
      <c r="G442" s="372"/>
    </row>
    <row r="443" spans="1:7" ht="30" x14ac:dyDescent="0.25">
      <c r="A443" s="372" t="s">
        <v>943</v>
      </c>
      <c r="B443" s="372" t="s">
        <v>1144</v>
      </c>
      <c r="C443" s="372" t="s">
        <v>1468</v>
      </c>
      <c r="D443" s="372" t="s">
        <v>1281</v>
      </c>
      <c r="E443" s="373" t="s">
        <v>851</v>
      </c>
      <c r="F443" s="372">
        <v>1059607505</v>
      </c>
      <c r="G443" s="372"/>
    </row>
    <row r="444" spans="1:7" ht="30" x14ac:dyDescent="0.25">
      <c r="A444" s="369" t="s">
        <v>1513</v>
      </c>
      <c r="B444" s="369" t="s">
        <v>1514</v>
      </c>
      <c r="C444" s="369" t="s">
        <v>1515</v>
      </c>
      <c r="D444" s="369"/>
      <c r="E444" s="370" t="s">
        <v>851</v>
      </c>
      <c r="F444" s="369">
        <v>1067461286</v>
      </c>
      <c r="G444" s="372"/>
    </row>
    <row r="445" spans="1:7" ht="30" x14ac:dyDescent="0.25">
      <c r="A445" s="372" t="s">
        <v>884</v>
      </c>
      <c r="B445" s="372" t="s">
        <v>1144</v>
      </c>
      <c r="C445" s="372" t="s">
        <v>1534</v>
      </c>
      <c r="D445" s="372"/>
      <c r="E445" s="373" t="s">
        <v>851</v>
      </c>
      <c r="F445" s="377">
        <v>1002846626</v>
      </c>
      <c r="G445" s="372"/>
    </row>
    <row r="446" spans="1:7" ht="30" x14ac:dyDescent="0.25">
      <c r="A446" s="369" t="s">
        <v>873</v>
      </c>
      <c r="B446" s="369" t="s">
        <v>1091</v>
      </c>
      <c r="C446" s="369" t="s">
        <v>1277</v>
      </c>
      <c r="D446" s="369"/>
      <c r="E446" s="370" t="s">
        <v>851</v>
      </c>
      <c r="F446" s="378">
        <v>1059598472</v>
      </c>
      <c r="G446" s="372"/>
    </row>
    <row r="447" spans="1:7" ht="30" x14ac:dyDescent="0.25">
      <c r="A447" s="372" t="s">
        <v>1549</v>
      </c>
      <c r="B447" s="372" t="s">
        <v>1298</v>
      </c>
      <c r="C447" s="372" t="s">
        <v>1550</v>
      </c>
      <c r="D447" s="372" t="s">
        <v>1551</v>
      </c>
      <c r="E447" s="373" t="s">
        <v>851</v>
      </c>
      <c r="F447" s="380" t="s">
        <v>1548</v>
      </c>
      <c r="G447" s="372"/>
    </row>
    <row r="448" spans="1:7" ht="30" x14ac:dyDescent="0.25">
      <c r="A448" s="369" t="s">
        <v>896</v>
      </c>
      <c r="B448" s="369" t="s">
        <v>915</v>
      </c>
      <c r="C448" s="369" t="s">
        <v>1585</v>
      </c>
      <c r="D448" s="369"/>
      <c r="E448" s="370" t="s">
        <v>851</v>
      </c>
      <c r="F448" s="369">
        <v>1059595460</v>
      </c>
      <c r="G448" s="372"/>
    </row>
    <row r="449" spans="1:7" ht="30" x14ac:dyDescent="0.25">
      <c r="A449" s="372" t="s">
        <v>1156</v>
      </c>
      <c r="B449" s="372" t="s">
        <v>884</v>
      </c>
      <c r="C449" s="372" t="s">
        <v>1481</v>
      </c>
      <c r="D449" s="372" t="s">
        <v>1482</v>
      </c>
      <c r="E449" s="373" t="s">
        <v>851</v>
      </c>
      <c r="F449" s="380" t="s">
        <v>1483</v>
      </c>
      <c r="G449" s="372"/>
    </row>
    <row r="450" spans="1:7" ht="30" x14ac:dyDescent="0.25">
      <c r="A450" s="369" t="s">
        <v>1580</v>
      </c>
      <c r="B450" s="369" t="s">
        <v>914</v>
      </c>
      <c r="C450" s="369" t="s">
        <v>1581</v>
      </c>
      <c r="D450" s="369" t="s">
        <v>1464</v>
      </c>
      <c r="E450" s="370" t="s">
        <v>851</v>
      </c>
      <c r="F450" s="382">
        <v>1002846447</v>
      </c>
      <c r="G450" s="372"/>
    </row>
    <row r="451" spans="1:7" ht="30" x14ac:dyDescent="0.25">
      <c r="A451" s="372" t="s">
        <v>1590</v>
      </c>
      <c r="B451" s="372" t="s">
        <v>874</v>
      </c>
      <c r="C451" s="372" t="s">
        <v>1591</v>
      </c>
      <c r="D451" s="372"/>
      <c r="E451" s="373" t="s">
        <v>851</v>
      </c>
      <c r="F451" s="379" t="s">
        <v>1589</v>
      </c>
      <c r="G451" s="372"/>
    </row>
    <row r="452" spans="1:7" ht="30" x14ac:dyDescent="0.25">
      <c r="A452" s="369" t="s">
        <v>896</v>
      </c>
      <c r="B452" s="369" t="s">
        <v>992</v>
      </c>
      <c r="C452" s="369" t="s">
        <v>1530</v>
      </c>
      <c r="D452" s="369" t="s">
        <v>1357</v>
      </c>
      <c r="E452" s="370" t="s">
        <v>851</v>
      </c>
      <c r="F452" s="369">
        <v>1002847645</v>
      </c>
      <c r="G452" s="372"/>
    </row>
    <row r="453" spans="1:7" ht="30" x14ac:dyDescent="0.25">
      <c r="A453" s="372" t="s">
        <v>980</v>
      </c>
      <c r="B453" s="372" t="s">
        <v>914</v>
      </c>
      <c r="C453" s="372" t="s">
        <v>1623</v>
      </c>
      <c r="D453" s="372"/>
      <c r="E453" s="373" t="s">
        <v>851</v>
      </c>
      <c r="F453" s="372">
        <v>1059596737</v>
      </c>
      <c r="G453" s="372"/>
    </row>
    <row r="454" spans="1:7" ht="30" x14ac:dyDescent="0.25">
      <c r="A454" s="369" t="s">
        <v>1629</v>
      </c>
      <c r="B454" s="369" t="s">
        <v>1249</v>
      </c>
      <c r="C454" s="369" t="s">
        <v>1630</v>
      </c>
      <c r="D454" s="369"/>
      <c r="E454" s="370" t="s">
        <v>851</v>
      </c>
      <c r="F454" s="369">
        <v>1059601748</v>
      </c>
      <c r="G454" s="372"/>
    </row>
    <row r="455" spans="1:7" ht="30" x14ac:dyDescent="0.25">
      <c r="A455" s="372" t="s">
        <v>953</v>
      </c>
      <c r="B455" s="372" t="s">
        <v>1660</v>
      </c>
      <c r="C455" s="372" t="s">
        <v>1217</v>
      </c>
      <c r="D455" s="372" t="s">
        <v>1661</v>
      </c>
      <c r="E455" s="373" t="s">
        <v>851</v>
      </c>
      <c r="F455" s="372">
        <v>1002848134</v>
      </c>
      <c r="G455" s="372"/>
    </row>
    <row r="456" spans="1:7" ht="30" x14ac:dyDescent="0.25">
      <c r="A456" s="369" t="s">
        <v>848</v>
      </c>
      <c r="B456" s="369" t="s">
        <v>1034</v>
      </c>
      <c r="C456" s="369" t="s">
        <v>1612</v>
      </c>
      <c r="D456" s="369" t="s">
        <v>1662</v>
      </c>
      <c r="E456" s="370" t="s">
        <v>851</v>
      </c>
      <c r="F456" s="369">
        <v>1059601726</v>
      </c>
      <c r="G456" s="372"/>
    </row>
    <row r="457" spans="1:7" ht="30" x14ac:dyDescent="0.25">
      <c r="A457" s="372" t="s">
        <v>1663</v>
      </c>
      <c r="B457" s="372" t="s">
        <v>1664</v>
      </c>
      <c r="C457" s="372" t="s">
        <v>938</v>
      </c>
      <c r="D457" s="372" t="s">
        <v>1665</v>
      </c>
      <c r="E457" s="373" t="s">
        <v>851</v>
      </c>
      <c r="F457" s="372">
        <v>1059601634</v>
      </c>
      <c r="G457" s="372"/>
    </row>
    <row r="458" spans="1:7" ht="30" x14ac:dyDescent="0.25">
      <c r="A458" s="369" t="s">
        <v>1667</v>
      </c>
      <c r="B458" s="369" t="s">
        <v>1668</v>
      </c>
      <c r="C458" s="369" t="s">
        <v>1669</v>
      </c>
      <c r="D458" s="369"/>
      <c r="E458" s="370" t="s">
        <v>851</v>
      </c>
      <c r="F458" s="369">
        <v>1064426895</v>
      </c>
      <c r="G458" s="372"/>
    </row>
    <row r="459" spans="1:7" ht="30" x14ac:dyDescent="0.25">
      <c r="A459" s="372" t="s">
        <v>1210</v>
      </c>
      <c r="B459" s="372" t="s">
        <v>848</v>
      </c>
      <c r="C459" s="372" t="s">
        <v>1670</v>
      </c>
      <c r="D459" s="372" t="s">
        <v>1671</v>
      </c>
      <c r="E459" s="373" t="s">
        <v>851</v>
      </c>
      <c r="F459" s="372">
        <v>1059602883</v>
      </c>
      <c r="G459" s="372"/>
    </row>
    <row r="460" spans="1:7" ht="30" x14ac:dyDescent="0.25">
      <c r="A460" s="369" t="s">
        <v>943</v>
      </c>
      <c r="B460" s="369" t="s">
        <v>848</v>
      </c>
      <c r="C460" s="369" t="s">
        <v>1673</v>
      </c>
      <c r="D460" s="369" t="s">
        <v>1674</v>
      </c>
      <c r="E460" s="370" t="s">
        <v>851</v>
      </c>
      <c r="F460" s="391" t="s">
        <v>1672</v>
      </c>
      <c r="G460" s="372"/>
    </row>
    <row r="461" spans="1:7" ht="30" x14ac:dyDescent="0.25">
      <c r="A461" s="372" t="s">
        <v>1677</v>
      </c>
      <c r="B461" s="372" t="s">
        <v>962</v>
      </c>
      <c r="C461" s="372" t="s">
        <v>1678</v>
      </c>
      <c r="D461" s="372" t="s">
        <v>1679</v>
      </c>
      <c r="E461" s="373" t="s">
        <v>1094</v>
      </c>
      <c r="F461" s="386" t="s">
        <v>1676</v>
      </c>
      <c r="G461" s="372"/>
    </row>
    <row r="462" spans="1:7" ht="30" x14ac:dyDescent="0.25">
      <c r="A462" s="369" t="s">
        <v>1286</v>
      </c>
      <c r="B462" s="369" t="s">
        <v>943</v>
      </c>
      <c r="C462" s="369" t="s">
        <v>1681</v>
      </c>
      <c r="D462" s="369"/>
      <c r="E462" s="370" t="s">
        <v>851</v>
      </c>
      <c r="F462" s="385" t="s">
        <v>1680</v>
      </c>
      <c r="G462" s="372"/>
    </row>
    <row r="463" spans="1:7" ht="30" x14ac:dyDescent="0.25">
      <c r="A463" s="372" t="s">
        <v>848</v>
      </c>
      <c r="B463" s="372" t="s">
        <v>914</v>
      </c>
      <c r="C463" s="372" t="s">
        <v>1683</v>
      </c>
      <c r="D463" s="372"/>
      <c r="E463" s="373" t="s">
        <v>851</v>
      </c>
      <c r="F463" s="386" t="s">
        <v>1682</v>
      </c>
      <c r="G463" s="372"/>
    </row>
    <row r="464" spans="1:7" x14ac:dyDescent="0.25">
      <c r="A464" s="420" t="s">
        <v>1698</v>
      </c>
      <c r="B464" s="420"/>
      <c r="C464" s="420"/>
      <c r="D464" s="420"/>
      <c r="E464" s="420"/>
      <c r="F464" s="420"/>
      <c r="G464" s="372"/>
    </row>
    <row r="465" spans="1:7" ht="45" x14ac:dyDescent="0.25">
      <c r="A465" s="367" t="s">
        <v>94</v>
      </c>
      <c r="B465" s="367" t="s">
        <v>21</v>
      </c>
      <c r="C465" s="367" t="s">
        <v>0</v>
      </c>
      <c r="D465" s="367" t="s">
        <v>1</v>
      </c>
      <c r="E465" s="367" t="s">
        <v>2</v>
      </c>
      <c r="F465" s="367" t="s">
        <v>3</v>
      </c>
      <c r="G465" s="372"/>
    </row>
    <row r="466" spans="1:7" x14ac:dyDescent="0.25">
      <c r="A466" s="345"/>
      <c r="B466" s="345"/>
      <c r="C466" s="345"/>
      <c r="D466" s="345"/>
      <c r="E466" s="346"/>
      <c r="F466" s="347"/>
      <c r="G466" s="43"/>
    </row>
    <row r="467" spans="1:7" ht="30" x14ac:dyDescent="0.25">
      <c r="A467" s="43" t="s">
        <v>914</v>
      </c>
      <c r="B467" s="43" t="s">
        <v>884</v>
      </c>
      <c r="C467" s="43" t="s">
        <v>1296</v>
      </c>
      <c r="D467" s="43" t="s">
        <v>850</v>
      </c>
      <c r="E467" s="109" t="s">
        <v>851</v>
      </c>
      <c r="F467" s="110">
        <v>1060186045</v>
      </c>
      <c r="G467" s="43"/>
    </row>
    <row r="468" spans="1:7" ht="30" x14ac:dyDescent="0.25">
      <c r="A468" s="345" t="s">
        <v>953</v>
      </c>
      <c r="B468" s="345" t="s">
        <v>1316</v>
      </c>
      <c r="C468" s="345" t="s">
        <v>1317</v>
      </c>
      <c r="D468" s="345" t="s">
        <v>1028</v>
      </c>
      <c r="E468" s="346" t="s">
        <v>851</v>
      </c>
      <c r="F468" s="347">
        <v>1059594373</v>
      </c>
      <c r="G468" s="43"/>
    </row>
    <row r="469" spans="1:7" ht="30" x14ac:dyDescent="0.25">
      <c r="A469" s="43" t="s">
        <v>1332</v>
      </c>
      <c r="B469" s="43" t="s">
        <v>1091</v>
      </c>
      <c r="C469" s="43" t="s">
        <v>1333</v>
      </c>
      <c r="D469" s="43"/>
      <c r="E469" s="109" t="s">
        <v>1094</v>
      </c>
      <c r="F469" s="110">
        <v>1059595374</v>
      </c>
      <c r="G469" s="43"/>
    </row>
    <row r="470" spans="1:7" ht="30" x14ac:dyDescent="0.25">
      <c r="A470" s="345" t="s">
        <v>914</v>
      </c>
      <c r="B470" s="345" t="s">
        <v>915</v>
      </c>
      <c r="C470" s="345" t="s">
        <v>916</v>
      </c>
      <c r="D470" s="345"/>
      <c r="E470" s="346" t="s">
        <v>1094</v>
      </c>
      <c r="F470" s="347">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5" t="s">
        <v>1382</v>
      </c>
      <c r="B472" s="345" t="s">
        <v>1382</v>
      </c>
      <c r="C472" s="345" t="s">
        <v>1383</v>
      </c>
      <c r="D472" s="345"/>
      <c r="E472" s="346" t="s">
        <v>851</v>
      </c>
      <c r="F472" s="347">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5" t="s">
        <v>1034</v>
      </c>
      <c r="B474" s="345" t="s">
        <v>1166</v>
      </c>
      <c r="C474" s="345" t="s">
        <v>1408</v>
      </c>
      <c r="D474" s="345" t="s">
        <v>1409</v>
      </c>
      <c r="E474" s="346" t="s">
        <v>851</v>
      </c>
      <c r="F474" s="347">
        <v>1005860830</v>
      </c>
      <c r="G474" s="43"/>
    </row>
    <row r="475" spans="1:7" ht="30" x14ac:dyDescent="0.25">
      <c r="A475" s="43" t="s">
        <v>944</v>
      </c>
      <c r="B475" s="43" t="s">
        <v>943</v>
      </c>
      <c r="C475" s="43" t="s">
        <v>1421</v>
      </c>
      <c r="D475" s="43"/>
      <c r="E475" s="109" t="s">
        <v>851</v>
      </c>
      <c r="F475" s="110">
        <v>1002846330</v>
      </c>
      <c r="G475" s="43"/>
    </row>
    <row r="476" spans="1:7" ht="30" x14ac:dyDescent="0.25">
      <c r="A476" s="345" t="s">
        <v>1441</v>
      </c>
      <c r="B476" s="345" t="s">
        <v>914</v>
      </c>
      <c r="C476" s="345" t="s">
        <v>1451</v>
      </c>
      <c r="D476" s="345"/>
      <c r="E476" s="346" t="s">
        <v>851</v>
      </c>
      <c r="F476" s="347">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5" t="s">
        <v>1513</v>
      </c>
      <c r="B478" s="345" t="s">
        <v>1514</v>
      </c>
      <c r="C478" s="345" t="s">
        <v>1515</v>
      </c>
      <c r="D478" s="345"/>
      <c r="E478" s="346" t="s">
        <v>851</v>
      </c>
      <c r="F478" s="347">
        <v>1067461286</v>
      </c>
      <c r="G478" s="43"/>
    </row>
    <row r="479" spans="1:7" ht="30" x14ac:dyDescent="0.25">
      <c r="A479" s="43" t="s">
        <v>884</v>
      </c>
      <c r="B479" s="43" t="s">
        <v>1144</v>
      </c>
      <c r="C479" s="43" t="s">
        <v>1534</v>
      </c>
      <c r="D479" s="43"/>
      <c r="E479" s="109" t="s">
        <v>851</v>
      </c>
      <c r="F479" s="354">
        <v>1002846626</v>
      </c>
      <c r="G479" s="43"/>
    </row>
    <row r="480" spans="1:7" ht="30" x14ac:dyDescent="0.25">
      <c r="A480" s="345" t="s">
        <v>1246</v>
      </c>
      <c r="B480" s="345" t="s">
        <v>943</v>
      </c>
      <c r="C480" s="345" t="s">
        <v>1535</v>
      </c>
      <c r="D480" s="345"/>
      <c r="E480" s="346" t="s">
        <v>851</v>
      </c>
      <c r="F480" s="353">
        <v>1002848307</v>
      </c>
      <c r="G480" s="43"/>
    </row>
    <row r="481" spans="1:7" ht="30" x14ac:dyDescent="0.25">
      <c r="A481" s="43" t="s">
        <v>873</v>
      </c>
      <c r="B481" s="43" t="s">
        <v>1091</v>
      </c>
      <c r="C481" s="43" t="s">
        <v>1277</v>
      </c>
      <c r="D481" s="43"/>
      <c r="E481" s="109" t="s">
        <v>851</v>
      </c>
      <c r="F481" s="365">
        <v>1059598472</v>
      </c>
      <c r="G481" s="43"/>
    </row>
    <row r="482" spans="1:7" ht="30" x14ac:dyDescent="0.25">
      <c r="A482" s="345" t="s">
        <v>1549</v>
      </c>
      <c r="B482" s="345" t="s">
        <v>1298</v>
      </c>
      <c r="C482" s="345" t="s">
        <v>1550</v>
      </c>
      <c r="D482" s="345" t="s">
        <v>1551</v>
      </c>
      <c r="E482" s="346" t="s">
        <v>851</v>
      </c>
      <c r="F482" s="358"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5" t="s">
        <v>1580</v>
      </c>
      <c r="B484" s="345" t="s">
        <v>914</v>
      </c>
      <c r="C484" s="345" t="s">
        <v>1581</v>
      </c>
      <c r="D484" s="345" t="s">
        <v>1464</v>
      </c>
      <c r="E484" s="346" t="s">
        <v>851</v>
      </c>
      <c r="F484" s="359">
        <v>1002846447</v>
      </c>
      <c r="G484" s="43"/>
    </row>
    <row r="485" spans="1:7" ht="30" x14ac:dyDescent="0.25">
      <c r="A485" s="43" t="s">
        <v>1583</v>
      </c>
      <c r="B485" s="43" t="s">
        <v>873</v>
      </c>
      <c r="C485" s="43" t="s">
        <v>1584</v>
      </c>
      <c r="D485" s="43"/>
      <c r="E485" s="109" t="s">
        <v>851</v>
      </c>
      <c r="F485" s="356" t="s">
        <v>1582</v>
      </c>
      <c r="G485" s="43"/>
    </row>
    <row r="486" spans="1:7" ht="30" x14ac:dyDescent="0.25">
      <c r="A486" s="345" t="s">
        <v>1322</v>
      </c>
      <c r="B486" s="345" t="s">
        <v>1378</v>
      </c>
      <c r="C486" s="345" t="s">
        <v>1587</v>
      </c>
      <c r="D486" s="345"/>
      <c r="E486" s="346" t="s">
        <v>851</v>
      </c>
      <c r="F486" s="359" t="s">
        <v>1586</v>
      </c>
      <c r="G486" s="43"/>
    </row>
    <row r="487" spans="1:7" ht="30" x14ac:dyDescent="0.25">
      <c r="A487" s="43" t="s">
        <v>1590</v>
      </c>
      <c r="B487" s="43" t="s">
        <v>874</v>
      </c>
      <c r="C487" s="43" t="s">
        <v>1591</v>
      </c>
      <c r="D487" s="43"/>
      <c r="E487" s="109" t="s">
        <v>851</v>
      </c>
      <c r="F487" s="356" t="s">
        <v>1589</v>
      </c>
      <c r="G487" s="43"/>
    </row>
    <row r="488" spans="1:7" ht="30" x14ac:dyDescent="0.25">
      <c r="A488" s="345" t="s">
        <v>1286</v>
      </c>
      <c r="B488" s="345" t="s">
        <v>1594</v>
      </c>
      <c r="C488" s="345" t="s">
        <v>1420</v>
      </c>
      <c r="D488" s="345"/>
      <c r="E488" s="346" t="s">
        <v>1094</v>
      </c>
      <c r="F488" s="359"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5" t="s">
        <v>980</v>
      </c>
      <c r="B490" s="345" t="s">
        <v>914</v>
      </c>
      <c r="C490" s="345" t="s">
        <v>1623</v>
      </c>
      <c r="D490" s="345"/>
      <c r="E490" s="346" t="s">
        <v>851</v>
      </c>
      <c r="F490" s="347">
        <v>1059596737</v>
      </c>
      <c r="G490" s="43"/>
    </row>
    <row r="491" spans="1:7" ht="30" x14ac:dyDescent="0.25">
      <c r="A491" s="43" t="s">
        <v>1629</v>
      </c>
      <c r="B491" s="43" t="s">
        <v>1249</v>
      </c>
      <c r="C491" s="43" t="s">
        <v>1630</v>
      </c>
      <c r="D491" s="43"/>
      <c r="E491" s="109" t="s">
        <v>851</v>
      </c>
      <c r="F491" s="43">
        <v>1059601748</v>
      </c>
      <c r="G491" s="43"/>
    </row>
    <row r="492" spans="1:7" ht="30" x14ac:dyDescent="0.25">
      <c r="A492" s="345" t="s">
        <v>1637</v>
      </c>
      <c r="B492" s="345" t="s">
        <v>1638</v>
      </c>
      <c r="C492" s="345" t="s">
        <v>1028</v>
      </c>
      <c r="D492" s="345"/>
      <c r="E492" s="346" t="s">
        <v>851</v>
      </c>
      <c r="F492" s="358">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5" t="s">
        <v>848</v>
      </c>
      <c r="B494" s="345" t="s">
        <v>1034</v>
      </c>
      <c r="C494" s="345" t="s">
        <v>1612</v>
      </c>
      <c r="D494" s="345" t="s">
        <v>1662</v>
      </c>
      <c r="E494" s="346" t="s">
        <v>851</v>
      </c>
      <c r="F494" s="347">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5" t="s">
        <v>1667</v>
      </c>
      <c r="B496" s="345" t="s">
        <v>1668</v>
      </c>
      <c r="C496" s="345" t="s">
        <v>1669</v>
      </c>
      <c r="D496" s="345"/>
      <c r="E496" s="346" t="s">
        <v>851</v>
      </c>
      <c r="F496" s="347">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5" t="s">
        <v>943</v>
      </c>
      <c r="B498" s="345" t="s">
        <v>848</v>
      </c>
      <c r="C498" s="345" t="s">
        <v>1673</v>
      </c>
      <c r="D498" s="345" t="s">
        <v>1674</v>
      </c>
      <c r="E498" s="346" t="s">
        <v>851</v>
      </c>
      <c r="F498" s="366" t="s">
        <v>1672</v>
      </c>
      <c r="G498" s="43"/>
    </row>
    <row r="499" spans="1:7" ht="30" x14ac:dyDescent="0.25">
      <c r="A499" s="43" t="s">
        <v>1677</v>
      </c>
      <c r="B499" s="43" t="s">
        <v>962</v>
      </c>
      <c r="C499" s="43" t="s">
        <v>1678</v>
      </c>
      <c r="D499" s="43" t="s">
        <v>1679</v>
      </c>
      <c r="E499" s="109" t="s">
        <v>1094</v>
      </c>
      <c r="F499" s="363" t="s">
        <v>1676</v>
      </c>
      <c r="G499" s="43"/>
    </row>
    <row r="500" spans="1:7" ht="30" x14ac:dyDescent="0.25">
      <c r="A500" s="345" t="s">
        <v>1286</v>
      </c>
      <c r="B500" s="345" t="s">
        <v>943</v>
      </c>
      <c r="C500" s="345" t="s">
        <v>1681</v>
      </c>
      <c r="D500" s="345"/>
      <c r="E500" s="346" t="s">
        <v>851</v>
      </c>
      <c r="F500" s="362" t="s">
        <v>1680</v>
      </c>
      <c r="G500" s="43"/>
    </row>
    <row r="501" spans="1:7" ht="30" x14ac:dyDescent="0.25">
      <c r="A501" s="43" t="s">
        <v>848</v>
      </c>
      <c r="B501" s="43" t="s">
        <v>914</v>
      </c>
      <c r="C501" s="43" t="s">
        <v>1683</v>
      </c>
      <c r="D501" s="43"/>
      <c r="E501" s="109" t="s">
        <v>851</v>
      </c>
      <c r="F501" s="363" t="s">
        <v>1682</v>
      </c>
      <c r="G501" s="43"/>
    </row>
    <row r="502" spans="1:7" x14ac:dyDescent="0.25">
      <c r="A502" s="423" t="s">
        <v>1699</v>
      </c>
      <c r="B502" s="423"/>
      <c r="C502" s="423"/>
      <c r="D502" s="423"/>
      <c r="E502" s="423"/>
      <c r="F502" s="423"/>
      <c r="G502" s="43"/>
    </row>
    <row r="503" spans="1:7" ht="45" x14ac:dyDescent="0.25">
      <c r="A503" s="17" t="s">
        <v>94</v>
      </c>
      <c r="B503" s="17" t="s">
        <v>21</v>
      </c>
      <c r="C503" s="17" t="s">
        <v>0</v>
      </c>
      <c r="D503" s="17" t="s">
        <v>1</v>
      </c>
      <c r="E503" s="17" t="s">
        <v>2</v>
      </c>
      <c r="F503" s="17" t="s">
        <v>3</v>
      </c>
      <c r="G503" s="43"/>
    </row>
    <row r="504" spans="1:7" x14ac:dyDescent="0.25">
      <c r="A504" s="345"/>
      <c r="B504" s="345"/>
      <c r="C504" s="345"/>
      <c r="D504" s="345"/>
      <c r="E504" s="346"/>
      <c r="F504" s="347"/>
      <c r="G504" s="43"/>
    </row>
    <row r="505" spans="1:7" ht="30" x14ac:dyDescent="0.25">
      <c r="A505" s="43" t="s">
        <v>974</v>
      </c>
      <c r="B505" s="43" t="s">
        <v>1144</v>
      </c>
      <c r="C505" s="43" t="s">
        <v>1192</v>
      </c>
      <c r="D505" s="43" t="s">
        <v>1193</v>
      </c>
      <c r="E505" s="109" t="s">
        <v>1094</v>
      </c>
      <c r="F505" s="110">
        <v>1059595334</v>
      </c>
      <c r="G505" s="43"/>
    </row>
    <row r="506" spans="1:7" ht="30" x14ac:dyDescent="0.25">
      <c r="A506" s="345" t="s">
        <v>1298</v>
      </c>
      <c r="B506" s="345" t="s">
        <v>914</v>
      </c>
      <c r="C506" s="345" t="s">
        <v>1299</v>
      </c>
      <c r="D506" s="345" t="s">
        <v>1300</v>
      </c>
      <c r="E506" s="346" t="s">
        <v>851</v>
      </c>
      <c r="F506" s="347"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5" t="s">
        <v>873</v>
      </c>
      <c r="B508" s="345" t="s">
        <v>1391</v>
      </c>
      <c r="C508" s="345" t="s">
        <v>985</v>
      </c>
      <c r="D508" s="345" t="s">
        <v>1392</v>
      </c>
      <c r="E508" s="346" t="s">
        <v>851</v>
      </c>
      <c r="F508" s="347">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5" t="s">
        <v>1427</v>
      </c>
      <c r="B510" s="345" t="s">
        <v>1428</v>
      </c>
      <c r="C510" s="345" t="s">
        <v>1429</v>
      </c>
      <c r="D510" s="345" t="s">
        <v>1430</v>
      </c>
      <c r="E510" s="346" t="s">
        <v>851</v>
      </c>
      <c r="F510" s="347">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5" t="s">
        <v>1443</v>
      </c>
      <c r="B512" s="345" t="s">
        <v>1444</v>
      </c>
      <c r="C512" s="345" t="s">
        <v>1445</v>
      </c>
      <c r="D512" s="345"/>
      <c r="E512" s="346" t="s">
        <v>851</v>
      </c>
      <c r="F512" s="347">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5" t="s">
        <v>944</v>
      </c>
      <c r="B514" s="345" t="s">
        <v>943</v>
      </c>
      <c r="C514" s="345" t="s">
        <v>1463</v>
      </c>
      <c r="D514" s="345" t="s">
        <v>1464</v>
      </c>
      <c r="E514" s="346" t="s">
        <v>1094</v>
      </c>
      <c r="F514" s="347">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5" t="s">
        <v>943</v>
      </c>
      <c r="B516" s="345" t="s">
        <v>1144</v>
      </c>
      <c r="C516" s="345" t="s">
        <v>1468</v>
      </c>
      <c r="D516" s="345" t="s">
        <v>1281</v>
      </c>
      <c r="E516" s="346" t="s">
        <v>851</v>
      </c>
      <c r="F516" s="347">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5" t="s">
        <v>1519</v>
      </c>
      <c r="B518" s="345" t="s">
        <v>848</v>
      </c>
      <c r="C518" s="345" t="s">
        <v>1520</v>
      </c>
      <c r="D518" s="345" t="s">
        <v>1521</v>
      </c>
      <c r="E518" s="346" t="s">
        <v>851</v>
      </c>
      <c r="F518" s="347">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5" t="s">
        <v>1286</v>
      </c>
      <c r="B520" s="345" t="s">
        <v>980</v>
      </c>
      <c r="C520" s="345" t="s">
        <v>1528</v>
      </c>
      <c r="D520" s="345" t="s">
        <v>1281</v>
      </c>
      <c r="E520" s="346" t="s">
        <v>851</v>
      </c>
      <c r="F520" s="347">
        <v>1059596092</v>
      </c>
      <c r="G520" s="43"/>
    </row>
    <row r="521" spans="1:7" ht="30" x14ac:dyDescent="0.25">
      <c r="A521" s="43" t="s">
        <v>896</v>
      </c>
      <c r="B521" s="43" t="s">
        <v>1091</v>
      </c>
      <c r="C521" s="43" t="s">
        <v>1538</v>
      </c>
      <c r="D521" s="43"/>
      <c r="E521" s="109" t="s">
        <v>851</v>
      </c>
      <c r="F521" s="110">
        <v>1002846350</v>
      </c>
      <c r="G521" s="43"/>
    </row>
    <row r="522" spans="1:7" ht="30" x14ac:dyDescent="0.25">
      <c r="A522" s="345" t="s">
        <v>896</v>
      </c>
      <c r="B522" s="345" t="s">
        <v>953</v>
      </c>
      <c r="C522" s="345" t="s">
        <v>1217</v>
      </c>
      <c r="D522" s="345" t="s">
        <v>1471</v>
      </c>
      <c r="E522" s="346" t="s">
        <v>851</v>
      </c>
      <c r="F522" s="353">
        <v>1059602285</v>
      </c>
      <c r="G522" s="43"/>
    </row>
    <row r="523" spans="1:7" ht="30" x14ac:dyDescent="0.25">
      <c r="A523" s="43" t="s">
        <v>1540</v>
      </c>
      <c r="B523" s="43" t="s">
        <v>943</v>
      </c>
      <c r="C523" s="43" t="s">
        <v>1541</v>
      </c>
      <c r="D523" s="43" t="s">
        <v>1542</v>
      </c>
      <c r="E523" s="109" t="s">
        <v>851</v>
      </c>
      <c r="F523" s="356" t="s">
        <v>1539</v>
      </c>
      <c r="G523" s="43"/>
    </row>
    <row r="524" spans="1:7" ht="30" x14ac:dyDescent="0.25">
      <c r="A524" s="345" t="s">
        <v>1144</v>
      </c>
      <c r="B524" s="345" t="s">
        <v>996</v>
      </c>
      <c r="C524" s="345" t="s">
        <v>1192</v>
      </c>
      <c r="D524" s="345"/>
      <c r="E524" s="346" t="s">
        <v>851</v>
      </c>
      <c r="F524" s="353">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5" t="s">
        <v>896</v>
      </c>
      <c r="B526" s="345" t="s">
        <v>915</v>
      </c>
      <c r="C526" s="345" t="s">
        <v>1585</v>
      </c>
      <c r="D526" s="345"/>
      <c r="E526" s="346" t="s">
        <v>851</v>
      </c>
      <c r="F526" s="347">
        <v>1059595460</v>
      </c>
      <c r="G526" s="43"/>
    </row>
    <row r="527" spans="1:7" ht="30" x14ac:dyDescent="0.25">
      <c r="A527" s="43" t="s">
        <v>1583</v>
      </c>
      <c r="B527" s="43" t="s">
        <v>873</v>
      </c>
      <c r="C527" s="43" t="s">
        <v>1584</v>
      </c>
      <c r="D527" s="43"/>
      <c r="E527" s="109" t="s">
        <v>851</v>
      </c>
      <c r="F527" s="356" t="s">
        <v>1582</v>
      </c>
      <c r="G527" s="43"/>
    </row>
    <row r="528" spans="1:7" ht="30" x14ac:dyDescent="0.25">
      <c r="A528" s="345" t="s">
        <v>1590</v>
      </c>
      <c r="B528" s="345" t="s">
        <v>874</v>
      </c>
      <c r="C528" s="345" t="s">
        <v>1591</v>
      </c>
      <c r="D528" s="345"/>
      <c r="E528" s="346" t="s">
        <v>851</v>
      </c>
      <c r="F528" s="359" t="s">
        <v>1589</v>
      </c>
      <c r="G528" s="43"/>
    </row>
    <row r="529" spans="1:7" ht="30" x14ac:dyDescent="0.25">
      <c r="A529" s="43" t="s">
        <v>914</v>
      </c>
      <c r="B529" s="43" t="s">
        <v>1601</v>
      </c>
      <c r="C529" s="43" t="s">
        <v>1602</v>
      </c>
      <c r="D529" s="43"/>
      <c r="E529" s="109" t="s">
        <v>851</v>
      </c>
      <c r="F529" s="110">
        <v>1003370775</v>
      </c>
      <c r="G529" s="43"/>
    </row>
    <row r="530" spans="1:7" ht="30" x14ac:dyDescent="0.25">
      <c r="A530" s="345" t="s">
        <v>896</v>
      </c>
      <c r="B530" s="345" t="s">
        <v>992</v>
      </c>
      <c r="C530" s="345" t="s">
        <v>1530</v>
      </c>
      <c r="D530" s="345" t="s">
        <v>1357</v>
      </c>
      <c r="E530" s="346" t="s">
        <v>851</v>
      </c>
      <c r="F530" s="347">
        <v>1002847645</v>
      </c>
      <c r="G530" s="43"/>
    </row>
    <row r="531" spans="1:7" ht="30" x14ac:dyDescent="0.25">
      <c r="A531" s="43" t="s">
        <v>914</v>
      </c>
      <c r="B531" s="43" t="s">
        <v>943</v>
      </c>
      <c r="C531" s="43" t="s">
        <v>1198</v>
      </c>
      <c r="D531" s="43"/>
      <c r="E531" s="109" t="s">
        <v>851</v>
      </c>
      <c r="F531" s="110">
        <v>1059605317</v>
      </c>
      <c r="G531" s="43"/>
    </row>
    <row r="532" spans="1:7" ht="30" x14ac:dyDescent="0.25">
      <c r="A532" s="345" t="s">
        <v>873</v>
      </c>
      <c r="B532" s="345" t="s">
        <v>874</v>
      </c>
      <c r="C532" s="345" t="s">
        <v>1612</v>
      </c>
      <c r="D532" s="345" t="s">
        <v>1613</v>
      </c>
      <c r="E532" s="346" t="s">
        <v>851</v>
      </c>
      <c r="F532" s="347">
        <v>1002849103</v>
      </c>
      <c r="G532" s="43"/>
    </row>
    <row r="533" spans="1:7" ht="30" x14ac:dyDescent="0.25">
      <c r="A533" s="43" t="s">
        <v>943</v>
      </c>
      <c r="B533" s="43" t="s">
        <v>848</v>
      </c>
      <c r="C533" s="43" t="s">
        <v>1673</v>
      </c>
      <c r="D533" s="43" t="s">
        <v>1674</v>
      </c>
      <c r="E533" s="109" t="s">
        <v>851</v>
      </c>
      <c r="F533" s="361" t="s">
        <v>1672</v>
      </c>
      <c r="G533" s="43"/>
    </row>
    <row r="534" spans="1:7" ht="30" x14ac:dyDescent="0.25">
      <c r="A534" s="345" t="s">
        <v>1677</v>
      </c>
      <c r="B534" s="345" t="s">
        <v>962</v>
      </c>
      <c r="C534" s="345" t="s">
        <v>1678</v>
      </c>
      <c r="D534" s="345" t="s">
        <v>1679</v>
      </c>
      <c r="E534" s="346" t="s">
        <v>1094</v>
      </c>
      <c r="F534" s="362" t="s">
        <v>1676</v>
      </c>
      <c r="G534" s="43"/>
    </row>
    <row r="535" spans="1:7" x14ac:dyDescent="0.25">
      <c r="A535" s="424" t="s">
        <v>1700</v>
      </c>
      <c r="B535" s="424"/>
      <c r="C535" s="424"/>
      <c r="D535" s="424"/>
      <c r="E535" s="424"/>
      <c r="F535" s="424"/>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5" t="s">
        <v>1405</v>
      </c>
      <c r="B538" s="345" t="s">
        <v>884</v>
      </c>
      <c r="C538" s="345" t="s">
        <v>1406</v>
      </c>
      <c r="D538" s="345" t="s">
        <v>1407</v>
      </c>
      <c r="E538" s="346" t="s">
        <v>851</v>
      </c>
      <c r="F538" s="347">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5" t="s">
        <v>1441</v>
      </c>
      <c r="B540" s="345" t="s">
        <v>884</v>
      </c>
      <c r="C540" s="345" t="s">
        <v>1457</v>
      </c>
      <c r="D540" s="345"/>
      <c r="E540" s="346" t="s">
        <v>851</v>
      </c>
      <c r="F540" s="347">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5" t="s">
        <v>992</v>
      </c>
      <c r="B542" s="345" t="s">
        <v>848</v>
      </c>
      <c r="C542" s="345" t="s">
        <v>1504</v>
      </c>
      <c r="D542" s="345" t="s">
        <v>1157</v>
      </c>
      <c r="E542" s="346" t="s">
        <v>851</v>
      </c>
      <c r="F542" s="347">
        <v>1002848292</v>
      </c>
      <c r="G542" s="43"/>
    </row>
    <row r="543" spans="1:7" x14ac:dyDescent="0.25">
      <c r="A543" s="43" t="s">
        <v>896</v>
      </c>
      <c r="B543" s="43" t="s">
        <v>953</v>
      </c>
      <c r="C543" s="43" t="s">
        <v>1634</v>
      </c>
      <c r="D543" s="43"/>
      <c r="E543" s="109"/>
      <c r="F543" s="110">
        <v>1002848733</v>
      </c>
      <c r="G543" s="43"/>
    </row>
    <row r="544" spans="1:7" ht="30" x14ac:dyDescent="0.25">
      <c r="A544" s="345" t="s">
        <v>896</v>
      </c>
      <c r="B544" s="345" t="s">
        <v>915</v>
      </c>
      <c r="C544" s="345" t="s">
        <v>1585</v>
      </c>
      <c r="D544" s="345"/>
      <c r="E544" s="346" t="s">
        <v>851</v>
      </c>
      <c r="F544" s="347">
        <v>1059595460</v>
      </c>
      <c r="G544" s="43"/>
    </row>
    <row r="545" spans="1:7" ht="30" x14ac:dyDescent="0.25">
      <c r="A545" s="43" t="s">
        <v>1590</v>
      </c>
      <c r="B545" s="43" t="s">
        <v>874</v>
      </c>
      <c r="C545" s="43" t="s">
        <v>1591</v>
      </c>
      <c r="D545" s="43"/>
      <c r="E545" s="109" t="s">
        <v>851</v>
      </c>
      <c r="F545" s="356" t="s">
        <v>1589</v>
      </c>
      <c r="G545" s="43"/>
    </row>
    <row r="546" spans="1:7" ht="30" x14ac:dyDescent="0.25">
      <c r="A546" s="345" t="s">
        <v>914</v>
      </c>
      <c r="B546" s="345" t="s">
        <v>1601</v>
      </c>
      <c r="C546" s="345" t="s">
        <v>1602</v>
      </c>
      <c r="D546" s="345"/>
      <c r="E546" s="346" t="s">
        <v>851</v>
      </c>
      <c r="F546" s="347">
        <v>1003370775</v>
      </c>
      <c r="G546" s="43"/>
    </row>
    <row r="547" spans="1:7" ht="30" x14ac:dyDescent="0.25">
      <c r="A547" s="43" t="s">
        <v>914</v>
      </c>
      <c r="B547" s="43" t="s">
        <v>943</v>
      </c>
      <c r="C547" s="43" t="s">
        <v>1198</v>
      </c>
      <c r="D547" s="43"/>
      <c r="E547" s="109" t="s">
        <v>851</v>
      </c>
      <c r="F547" s="110">
        <v>1059605317</v>
      </c>
      <c r="G547" s="43"/>
    </row>
    <row r="548" spans="1:7" ht="30" x14ac:dyDescent="0.25">
      <c r="A548" s="345" t="s">
        <v>953</v>
      </c>
      <c r="B548" s="345" t="s">
        <v>1660</v>
      </c>
      <c r="C548" s="345" t="s">
        <v>1217</v>
      </c>
      <c r="D548" s="345" t="s">
        <v>1661</v>
      </c>
      <c r="E548" s="346" t="s">
        <v>851</v>
      </c>
      <c r="F548" s="347">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5" t="s">
        <v>1677</v>
      </c>
      <c r="B550" s="345" t="s">
        <v>962</v>
      </c>
      <c r="C550" s="345" t="s">
        <v>1678</v>
      </c>
      <c r="D550" s="345" t="s">
        <v>1679</v>
      </c>
      <c r="E550" s="346" t="s">
        <v>1094</v>
      </c>
      <c r="F550" s="362" t="s">
        <v>1676</v>
      </c>
      <c r="G550" s="43"/>
    </row>
    <row r="551" spans="1:7" x14ac:dyDescent="0.25">
      <c r="A551" s="364"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5" t="s">
        <v>914</v>
      </c>
      <c r="B553" s="345" t="s">
        <v>884</v>
      </c>
      <c r="C553" s="345" t="s">
        <v>1296</v>
      </c>
      <c r="D553" s="345" t="s">
        <v>850</v>
      </c>
      <c r="E553" s="346" t="s">
        <v>851</v>
      </c>
      <c r="F553" s="347">
        <v>1060186045</v>
      </c>
      <c r="G553" s="43"/>
    </row>
    <row r="554" spans="1:7" ht="30" x14ac:dyDescent="0.25">
      <c r="A554" s="43" t="s">
        <v>944</v>
      </c>
      <c r="B554" s="43" t="s">
        <v>943</v>
      </c>
      <c r="C554" s="43" t="s">
        <v>1421</v>
      </c>
      <c r="D554" s="43"/>
      <c r="E554" s="109" t="s">
        <v>851</v>
      </c>
      <c r="F554" s="110">
        <v>1002846330</v>
      </c>
      <c r="G554" s="43"/>
    </row>
    <row r="555" spans="1:7" ht="30" x14ac:dyDescent="0.25">
      <c r="A555" s="345" t="s">
        <v>1144</v>
      </c>
      <c r="B555" s="345" t="s">
        <v>884</v>
      </c>
      <c r="C555" s="345" t="s">
        <v>1432</v>
      </c>
      <c r="D555" s="345" t="s">
        <v>1433</v>
      </c>
      <c r="E555" s="346" t="s">
        <v>1094</v>
      </c>
      <c r="F555" s="347">
        <v>1059596594</v>
      </c>
      <c r="G555" s="43"/>
    </row>
    <row r="556" spans="1:7" ht="30" x14ac:dyDescent="0.25">
      <c r="A556" s="43" t="s">
        <v>1507</v>
      </c>
      <c r="B556" s="43" t="s">
        <v>1365</v>
      </c>
      <c r="C556" s="43" t="s">
        <v>1508</v>
      </c>
      <c r="D556" s="43"/>
      <c r="E556" s="109" t="s">
        <v>851</v>
      </c>
      <c r="F556" s="110">
        <v>1059600322</v>
      </c>
      <c r="G556" s="43"/>
    </row>
    <row r="557" spans="1:7" ht="30" x14ac:dyDescent="0.25">
      <c r="A557" s="345" t="s">
        <v>896</v>
      </c>
      <c r="B557" s="345" t="s">
        <v>953</v>
      </c>
      <c r="C557" s="345" t="s">
        <v>1217</v>
      </c>
      <c r="D557" s="345" t="s">
        <v>1471</v>
      </c>
      <c r="E557" s="346" t="s">
        <v>851</v>
      </c>
      <c r="F557" s="353">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5" t="s">
        <v>896</v>
      </c>
      <c r="B559" s="345" t="s">
        <v>915</v>
      </c>
      <c r="C559" s="345" t="s">
        <v>1585</v>
      </c>
      <c r="D559" s="345"/>
      <c r="E559" s="346" t="s">
        <v>851</v>
      </c>
      <c r="F559" s="347">
        <v>1059595460</v>
      </c>
      <c r="G559" s="43"/>
    </row>
    <row r="560" spans="1:7" ht="30" x14ac:dyDescent="0.25">
      <c r="A560" s="43" t="s">
        <v>1677</v>
      </c>
      <c r="B560" s="43" t="s">
        <v>962</v>
      </c>
      <c r="C560" s="43" t="s">
        <v>1678</v>
      </c>
      <c r="D560" s="43" t="s">
        <v>1679</v>
      </c>
      <c r="E560" s="109" t="s">
        <v>1094</v>
      </c>
      <c r="F560" s="363" t="s">
        <v>1676</v>
      </c>
      <c r="G560" s="43"/>
    </row>
    <row r="561" spans="1:7" x14ac:dyDescent="0.25">
      <c r="A561" s="423" t="s">
        <v>1702</v>
      </c>
      <c r="B561" s="423"/>
      <c r="C561" s="423"/>
      <c r="D561" s="423"/>
      <c r="E561" s="423"/>
      <c r="F561" s="423"/>
      <c r="G561" s="43"/>
    </row>
    <row r="562" spans="1:7" ht="45" x14ac:dyDescent="0.25">
      <c r="A562" s="17" t="s">
        <v>94</v>
      </c>
      <c r="B562" s="17" t="s">
        <v>21</v>
      </c>
      <c r="C562" s="17" t="s">
        <v>0</v>
      </c>
      <c r="D562" s="17" t="s">
        <v>1</v>
      </c>
      <c r="E562" s="17" t="s">
        <v>2</v>
      </c>
      <c r="F562" s="17" t="s">
        <v>3</v>
      </c>
      <c r="G562" s="43"/>
    </row>
    <row r="563" spans="1:7" ht="30" x14ac:dyDescent="0.25">
      <c r="A563" s="345" t="s">
        <v>1298</v>
      </c>
      <c r="B563" s="345" t="s">
        <v>914</v>
      </c>
      <c r="C563" s="345" t="s">
        <v>1299</v>
      </c>
      <c r="D563" s="345" t="s">
        <v>1300</v>
      </c>
      <c r="E563" s="346" t="s">
        <v>851</v>
      </c>
      <c r="F563" s="347"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5" t="s">
        <v>1332</v>
      </c>
      <c r="B565" s="345" t="s">
        <v>1091</v>
      </c>
      <c r="C565" s="345" t="s">
        <v>1333</v>
      </c>
      <c r="D565" s="345"/>
      <c r="E565" s="346" t="s">
        <v>1094</v>
      </c>
      <c r="F565" s="347">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5" t="s">
        <v>1368</v>
      </c>
      <c r="B567" s="345" t="s">
        <v>1369</v>
      </c>
      <c r="C567" s="345" t="s">
        <v>1370</v>
      </c>
      <c r="D567" s="345" t="s">
        <v>982</v>
      </c>
      <c r="E567" s="346" t="s">
        <v>851</v>
      </c>
      <c r="F567" s="347">
        <v>1059603417</v>
      </c>
      <c r="G567" s="43"/>
    </row>
    <row r="568" spans="1:7" ht="30" x14ac:dyDescent="0.25">
      <c r="A568" s="43" t="s">
        <v>1382</v>
      </c>
      <c r="B568" s="43" t="s">
        <v>1382</v>
      </c>
      <c r="C568" s="43" t="s">
        <v>1383</v>
      </c>
      <c r="D568" s="43"/>
      <c r="E568" s="109" t="s">
        <v>851</v>
      </c>
      <c r="F568" s="110">
        <v>1003371767</v>
      </c>
      <c r="G568" s="43"/>
    </row>
    <row r="569" spans="1:7" ht="30" x14ac:dyDescent="0.25">
      <c r="A569" s="345" t="s">
        <v>873</v>
      </c>
      <c r="B569" s="345" t="s">
        <v>1391</v>
      </c>
      <c r="C569" s="345" t="s">
        <v>985</v>
      </c>
      <c r="D569" s="345" t="s">
        <v>1392</v>
      </c>
      <c r="E569" s="346" t="s">
        <v>851</v>
      </c>
      <c r="F569" s="347">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5" t="s">
        <v>1441</v>
      </c>
      <c r="B571" s="345"/>
      <c r="C571" s="345" t="s">
        <v>1284</v>
      </c>
      <c r="D571" s="345" t="s">
        <v>1442</v>
      </c>
      <c r="E571" s="346" t="s">
        <v>851</v>
      </c>
      <c r="F571" s="347">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5" t="s">
        <v>1441</v>
      </c>
      <c r="B573" s="345" t="s">
        <v>884</v>
      </c>
      <c r="C573" s="345" t="s">
        <v>1457</v>
      </c>
      <c r="D573" s="345"/>
      <c r="E573" s="346" t="s">
        <v>851</v>
      </c>
      <c r="F573" s="347">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5" t="s">
        <v>883</v>
      </c>
      <c r="B575" s="345" t="s">
        <v>1290</v>
      </c>
      <c r="C575" s="345" t="s">
        <v>1476</v>
      </c>
      <c r="D575" s="345"/>
      <c r="E575" s="346" t="s">
        <v>851</v>
      </c>
      <c r="F575" s="347">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5" t="s">
        <v>974</v>
      </c>
      <c r="B577" s="345" t="s">
        <v>943</v>
      </c>
      <c r="C577" s="345" t="s">
        <v>1217</v>
      </c>
      <c r="D577" s="345" t="s">
        <v>1490</v>
      </c>
      <c r="E577" s="346" t="s">
        <v>851</v>
      </c>
      <c r="F577" s="347" t="s">
        <v>1491</v>
      </c>
      <c r="G577" s="43"/>
    </row>
    <row r="578" spans="1:7" ht="30" x14ac:dyDescent="0.25">
      <c r="A578" s="43" t="s">
        <v>967</v>
      </c>
      <c r="B578" s="43" t="s">
        <v>980</v>
      </c>
      <c r="C578" s="43" t="s">
        <v>1492</v>
      </c>
      <c r="D578" s="43"/>
      <c r="E578" s="109" t="s">
        <v>851</v>
      </c>
      <c r="F578" s="110" t="s">
        <v>1493</v>
      </c>
      <c r="G578" s="43"/>
    </row>
    <row r="579" spans="1:7" ht="30" x14ac:dyDescent="0.25">
      <c r="A579" s="345" t="s">
        <v>884</v>
      </c>
      <c r="B579" s="345" t="s">
        <v>1378</v>
      </c>
      <c r="C579" s="345" t="s">
        <v>1494</v>
      </c>
      <c r="D579" s="345" t="s">
        <v>1495</v>
      </c>
      <c r="E579" s="346" t="s">
        <v>851</v>
      </c>
      <c r="F579" s="347" t="s">
        <v>1496</v>
      </c>
      <c r="G579" s="43"/>
    </row>
    <row r="580" spans="1:7" ht="30" x14ac:dyDescent="0.25">
      <c r="A580" s="43" t="s">
        <v>992</v>
      </c>
      <c r="B580" s="43" t="s">
        <v>1498</v>
      </c>
      <c r="C580" s="43" t="s">
        <v>938</v>
      </c>
      <c r="D580" s="43" t="s">
        <v>1499</v>
      </c>
      <c r="E580" s="109" t="s">
        <v>851</v>
      </c>
      <c r="F580" s="110" t="s">
        <v>1500</v>
      </c>
      <c r="G580" s="43"/>
    </row>
    <row r="581" spans="1:7" ht="30" x14ac:dyDescent="0.25">
      <c r="A581" s="345" t="s">
        <v>992</v>
      </c>
      <c r="B581" s="345" t="s">
        <v>848</v>
      </c>
      <c r="C581" s="345" t="s">
        <v>1504</v>
      </c>
      <c r="D581" s="345" t="s">
        <v>1157</v>
      </c>
      <c r="E581" s="346" t="s">
        <v>851</v>
      </c>
      <c r="F581" s="347">
        <v>1002848292</v>
      </c>
      <c r="G581" s="43"/>
    </row>
    <row r="582" spans="1:7" ht="30" x14ac:dyDescent="0.25">
      <c r="A582" s="43" t="s">
        <v>1041</v>
      </c>
      <c r="B582" s="43" t="s">
        <v>1147</v>
      </c>
      <c r="C582" s="43" t="s">
        <v>1512</v>
      </c>
      <c r="D582" s="43"/>
      <c r="E582" s="109" t="s">
        <v>851</v>
      </c>
      <c r="F582" s="110">
        <v>1059604976</v>
      </c>
      <c r="G582" s="43"/>
    </row>
    <row r="583" spans="1:7" ht="30" x14ac:dyDescent="0.25">
      <c r="A583" s="345" t="s">
        <v>896</v>
      </c>
      <c r="B583" s="345" t="s">
        <v>1091</v>
      </c>
      <c r="C583" s="345" t="s">
        <v>1538</v>
      </c>
      <c r="D583" s="345"/>
      <c r="E583" s="346" t="s">
        <v>851</v>
      </c>
      <c r="F583" s="347">
        <v>1002846350</v>
      </c>
      <c r="G583" s="43"/>
    </row>
    <row r="584" spans="1:7" ht="30" x14ac:dyDescent="0.25">
      <c r="A584" s="43" t="s">
        <v>1156</v>
      </c>
      <c r="B584" s="43" t="s">
        <v>980</v>
      </c>
      <c r="C584" s="43" t="s">
        <v>1547</v>
      </c>
      <c r="D584" s="43"/>
      <c r="E584" s="109" t="s">
        <v>1094</v>
      </c>
      <c r="F584" s="110">
        <v>1059597328</v>
      </c>
      <c r="G584" s="43"/>
    </row>
    <row r="585" spans="1:7" ht="30" x14ac:dyDescent="0.25">
      <c r="A585" s="345" t="s">
        <v>943</v>
      </c>
      <c r="B585" s="345" t="s">
        <v>1144</v>
      </c>
      <c r="C585" s="345" t="s">
        <v>1504</v>
      </c>
      <c r="D585" s="345" t="s">
        <v>1281</v>
      </c>
      <c r="E585" s="346" t="s">
        <v>1094</v>
      </c>
      <c r="F585" s="347">
        <v>1059599329</v>
      </c>
      <c r="G585" s="43"/>
    </row>
    <row r="586" spans="1:7" x14ac:dyDescent="0.25">
      <c r="A586" s="43" t="s">
        <v>896</v>
      </c>
      <c r="B586" s="43" t="s">
        <v>953</v>
      </c>
      <c r="C586" s="43" t="s">
        <v>1634</v>
      </c>
      <c r="D586" s="43"/>
      <c r="E586" s="109"/>
      <c r="F586" s="110">
        <v>1002848733</v>
      </c>
      <c r="G586" s="43"/>
    </row>
    <row r="587" spans="1:7" ht="30" x14ac:dyDescent="0.25">
      <c r="A587" s="345" t="s">
        <v>873</v>
      </c>
      <c r="B587" s="345" t="s">
        <v>874</v>
      </c>
      <c r="C587" s="345" t="s">
        <v>1215</v>
      </c>
      <c r="D587" s="345"/>
      <c r="E587" s="346" t="s">
        <v>851</v>
      </c>
      <c r="F587" s="347">
        <v>1002849181</v>
      </c>
      <c r="G587" s="43"/>
    </row>
    <row r="588" spans="1:7" ht="30" x14ac:dyDescent="0.25">
      <c r="A588" s="43" t="s">
        <v>953</v>
      </c>
      <c r="B588" s="43" t="s">
        <v>1286</v>
      </c>
      <c r="C588" s="43" t="s">
        <v>1463</v>
      </c>
      <c r="D588" s="43" t="s">
        <v>1579</v>
      </c>
      <c r="E588" s="109" t="s">
        <v>851</v>
      </c>
      <c r="F588" s="356" t="s">
        <v>1578</v>
      </c>
      <c r="G588" s="43"/>
    </row>
    <row r="589" spans="1:7" ht="30" x14ac:dyDescent="0.25">
      <c r="A589" s="345" t="s">
        <v>1580</v>
      </c>
      <c r="B589" s="345" t="s">
        <v>914</v>
      </c>
      <c r="C589" s="345" t="s">
        <v>1581</v>
      </c>
      <c r="D589" s="345" t="s">
        <v>1464</v>
      </c>
      <c r="E589" s="346" t="s">
        <v>851</v>
      </c>
      <c r="F589" s="359">
        <v>1002846447</v>
      </c>
      <c r="G589" s="43"/>
    </row>
    <row r="590" spans="1:7" ht="30" x14ac:dyDescent="0.25">
      <c r="A590" s="43" t="s">
        <v>1590</v>
      </c>
      <c r="B590" s="43" t="s">
        <v>874</v>
      </c>
      <c r="C590" s="43" t="s">
        <v>1591</v>
      </c>
      <c r="D590" s="43"/>
      <c r="E590" s="109" t="s">
        <v>851</v>
      </c>
      <c r="F590" s="356" t="s">
        <v>1589</v>
      </c>
      <c r="G590" s="43"/>
    </row>
    <row r="591" spans="1:7" ht="30" x14ac:dyDescent="0.25">
      <c r="A591" s="345" t="s">
        <v>1286</v>
      </c>
      <c r="B591" s="345" t="s">
        <v>1594</v>
      </c>
      <c r="C591" s="345" t="s">
        <v>1420</v>
      </c>
      <c r="D591" s="345"/>
      <c r="E591" s="346" t="s">
        <v>1094</v>
      </c>
      <c r="F591" s="359" t="s">
        <v>1593</v>
      </c>
      <c r="G591" s="43"/>
    </row>
    <row r="592" spans="1:7" ht="30" x14ac:dyDescent="0.25">
      <c r="A592" s="43" t="s">
        <v>1598</v>
      </c>
      <c r="B592" s="43" t="s">
        <v>1599</v>
      </c>
      <c r="C592" s="43" t="s">
        <v>1597</v>
      </c>
      <c r="D592" s="43"/>
      <c r="E592" s="109" t="s">
        <v>851</v>
      </c>
      <c r="F592" s="110">
        <v>1002846452</v>
      </c>
      <c r="G592" s="43"/>
    </row>
    <row r="593" spans="1:7" ht="30" x14ac:dyDescent="0.25">
      <c r="A593" s="345" t="s">
        <v>896</v>
      </c>
      <c r="B593" s="345" t="s">
        <v>992</v>
      </c>
      <c r="C593" s="345" t="s">
        <v>1530</v>
      </c>
      <c r="D593" s="345" t="s">
        <v>1357</v>
      </c>
      <c r="E593" s="346" t="s">
        <v>851</v>
      </c>
      <c r="F593" s="347">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5" t="s">
        <v>980</v>
      </c>
      <c r="B595" s="345" t="s">
        <v>914</v>
      </c>
      <c r="C595" s="345" t="s">
        <v>1623</v>
      </c>
      <c r="D595" s="345"/>
      <c r="E595" s="346" t="s">
        <v>851</v>
      </c>
      <c r="F595" s="347">
        <v>1059596737</v>
      </c>
      <c r="G595" s="43"/>
    </row>
    <row r="596" spans="1:7" ht="30" x14ac:dyDescent="0.25">
      <c r="A596" s="43" t="s">
        <v>884</v>
      </c>
      <c r="B596" s="43" t="s">
        <v>1286</v>
      </c>
      <c r="C596" s="43" t="s">
        <v>1452</v>
      </c>
      <c r="D596" s="43"/>
      <c r="E596" s="109" t="s">
        <v>851</v>
      </c>
      <c r="F596" s="110">
        <v>25546688</v>
      </c>
      <c r="G596" s="43"/>
    </row>
    <row r="597" spans="1:7" ht="30" x14ac:dyDescent="0.25">
      <c r="A597" s="345" t="s">
        <v>1629</v>
      </c>
      <c r="B597" s="345" t="s">
        <v>1249</v>
      </c>
      <c r="C597" s="345" t="s">
        <v>1630</v>
      </c>
      <c r="D597" s="345"/>
      <c r="E597" s="346" t="s">
        <v>851</v>
      </c>
      <c r="F597" s="345">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5" t="s">
        <v>1667</v>
      </c>
      <c r="B599" s="345" t="s">
        <v>1668</v>
      </c>
      <c r="C599" s="345" t="s">
        <v>1669</v>
      </c>
      <c r="D599" s="345"/>
      <c r="E599" s="346" t="s">
        <v>851</v>
      </c>
      <c r="F599" s="347">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5" t="s">
        <v>1286</v>
      </c>
      <c r="B601" s="345" t="s">
        <v>943</v>
      </c>
      <c r="C601" s="345" t="s">
        <v>1681</v>
      </c>
      <c r="D601" s="345"/>
      <c r="E601" s="346" t="s">
        <v>851</v>
      </c>
      <c r="F601" s="362" t="s">
        <v>1680</v>
      </c>
      <c r="G601" s="43"/>
    </row>
    <row r="602" spans="1:7" x14ac:dyDescent="0.25">
      <c r="A602" s="424" t="s">
        <v>1703</v>
      </c>
      <c r="B602" s="424"/>
      <c r="C602" s="424"/>
      <c r="D602" s="424"/>
      <c r="E602" s="424"/>
      <c r="F602" s="424"/>
      <c r="G602" s="43"/>
    </row>
    <row r="603" spans="1:7" ht="45" x14ac:dyDescent="0.25">
      <c r="A603" s="17" t="s">
        <v>94</v>
      </c>
      <c r="B603" s="17" t="s">
        <v>21</v>
      </c>
      <c r="C603" s="17" t="s">
        <v>0</v>
      </c>
      <c r="D603" s="17" t="s">
        <v>1</v>
      </c>
      <c r="E603" s="17" t="s">
        <v>2</v>
      </c>
      <c r="F603" s="17" t="s">
        <v>3</v>
      </c>
      <c r="G603" s="43"/>
    </row>
    <row r="604" spans="1:7" ht="30" x14ac:dyDescent="0.25">
      <c r="A604" s="345" t="s">
        <v>979</v>
      </c>
      <c r="B604" s="345" t="s">
        <v>943</v>
      </c>
      <c r="C604" s="345" t="s">
        <v>1217</v>
      </c>
      <c r="D604" s="345" t="s">
        <v>1398</v>
      </c>
      <c r="E604" s="346" t="s">
        <v>851</v>
      </c>
      <c r="F604" s="347">
        <v>1002846528</v>
      </c>
      <c r="G604" s="43"/>
    </row>
    <row r="605" spans="1:7" ht="30" x14ac:dyDescent="0.25">
      <c r="A605" s="43" t="s">
        <v>1443</v>
      </c>
      <c r="B605" s="43" t="s">
        <v>1444</v>
      </c>
      <c r="C605" s="43" t="s">
        <v>1445</v>
      </c>
      <c r="D605" s="43"/>
      <c r="E605" s="109" t="s">
        <v>851</v>
      </c>
      <c r="F605" s="110">
        <v>1061757665</v>
      </c>
      <c r="G605" s="43"/>
    </row>
    <row r="606" spans="1:7" ht="30" x14ac:dyDescent="0.25">
      <c r="A606" s="345" t="s">
        <v>1441</v>
      </c>
      <c r="B606" s="345" t="s">
        <v>914</v>
      </c>
      <c r="C606" s="345" t="s">
        <v>1451</v>
      </c>
      <c r="D606" s="345"/>
      <c r="E606" s="346" t="s">
        <v>851</v>
      </c>
      <c r="F606" s="347">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5" t="s">
        <v>884</v>
      </c>
      <c r="B608" s="345" t="s">
        <v>1144</v>
      </c>
      <c r="C608" s="345" t="s">
        <v>1534</v>
      </c>
      <c r="D608" s="345"/>
      <c r="E608" s="346" t="s">
        <v>851</v>
      </c>
      <c r="F608" s="353">
        <v>1002846626</v>
      </c>
      <c r="G608" s="43"/>
    </row>
    <row r="609" spans="1:7" ht="30" x14ac:dyDescent="0.25">
      <c r="A609" s="43" t="s">
        <v>896</v>
      </c>
      <c r="B609" s="43" t="s">
        <v>953</v>
      </c>
      <c r="C609" s="43" t="s">
        <v>1545</v>
      </c>
      <c r="D609" s="43"/>
      <c r="E609" s="109" t="s">
        <v>851</v>
      </c>
      <c r="F609" s="110">
        <v>25545389</v>
      </c>
      <c r="G609" s="43"/>
    </row>
    <row r="610" spans="1:7" x14ac:dyDescent="0.25">
      <c r="A610" s="345" t="s">
        <v>943</v>
      </c>
      <c r="B610" s="345" t="s">
        <v>848</v>
      </c>
      <c r="C610" s="345" t="s">
        <v>1553</v>
      </c>
      <c r="D610" s="345"/>
      <c r="E610" s="346"/>
      <c r="F610" s="347">
        <v>1059594153</v>
      </c>
      <c r="G610" s="43"/>
    </row>
    <row r="611" spans="1:7" x14ac:dyDescent="0.25">
      <c r="A611" s="423" t="s">
        <v>1704</v>
      </c>
      <c r="B611" s="423"/>
      <c r="C611" s="423"/>
      <c r="D611" s="423"/>
      <c r="E611" s="423"/>
      <c r="F611" s="423"/>
      <c r="G611" s="43"/>
    </row>
    <row r="612" spans="1:7" ht="45" x14ac:dyDescent="0.25">
      <c r="A612" s="17" t="s">
        <v>94</v>
      </c>
      <c r="B612" s="17" t="s">
        <v>21</v>
      </c>
      <c r="C612" s="17" t="s">
        <v>0</v>
      </c>
      <c r="D612" s="17" t="s">
        <v>1</v>
      </c>
      <c r="E612" s="17" t="s">
        <v>2</v>
      </c>
      <c r="F612" s="17" t="s">
        <v>3</v>
      </c>
      <c r="G612" s="43"/>
    </row>
    <row r="613" spans="1:7" ht="30" x14ac:dyDescent="0.25">
      <c r="A613" s="345" t="s">
        <v>979</v>
      </c>
      <c r="B613" s="345" t="s">
        <v>943</v>
      </c>
      <c r="C613" s="345" t="s">
        <v>1217</v>
      </c>
      <c r="D613" s="345" t="s">
        <v>1398</v>
      </c>
      <c r="E613" s="346" t="s">
        <v>851</v>
      </c>
      <c r="F613" s="347">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5" t="s">
        <v>1332</v>
      </c>
      <c r="B616" s="345" t="s">
        <v>1091</v>
      </c>
      <c r="C616" s="345" t="s">
        <v>1333</v>
      </c>
      <c r="D616" s="345"/>
      <c r="E616" s="346" t="s">
        <v>1094</v>
      </c>
      <c r="F616" s="347">
        <v>1059595374</v>
      </c>
      <c r="G616" s="43"/>
    </row>
    <row r="617" spans="1:7" ht="30" x14ac:dyDescent="0.25">
      <c r="A617" s="43" t="s">
        <v>914</v>
      </c>
      <c r="B617" s="43" t="s">
        <v>915</v>
      </c>
      <c r="C617" s="43" t="s">
        <v>916</v>
      </c>
      <c r="D617" s="43"/>
      <c r="E617" s="109" t="s">
        <v>1094</v>
      </c>
      <c r="F617" s="110">
        <v>1059598169</v>
      </c>
      <c r="G617" s="43"/>
    </row>
    <row r="618" spans="1:7" ht="30" x14ac:dyDescent="0.25">
      <c r="A618" s="345" t="s">
        <v>857</v>
      </c>
      <c r="B618" s="345" t="s">
        <v>1365</v>
      </c>
      <c r="C618" s="345" t="s">
        <v>949</v>
      </c>
      <c r="D618" s="345" t="s">
        <v>1366</v>
      </c>
      <c r="E618" s="346" t="s">
        <v>851</v>
      </c>
      <c r="F618" s="347">
        <v>1002953350</v>
      </c>
      <c r="G618" s="43"/>
    </row>
    <row r="619" spans="1:7" x14ac:dyDescent="0.25">
      <c r="A619" s="423" t="s">
        <v>1707</v>
      </c>
      <c r="B619" s="423"/>
      <c r="C619" s="423"/>
      <c r="D619" s="423"/>
      <c r="E619" s="423"/>
      <c r="F619" s="423"/>
      <c r="G619" s="43"/>
    </row>
    <row r="620" spans="1:7" ht="45" x14ac:dyDescent="0.25">
      <c r="A620" s="17" t="s">
        <v>94</v>
      </c>
      <c r="B620" s="17" t="s">
        <v>21</v>
      </c>
      <c r="C620" s="17" t="s">
        <v>0</v>
      </c>
      <c r="D620" s="17" t="s">
        <v>1</v>
      </c>
      <c r="E620" s="17" t="s">
        <v>2</v>
      </c>
      <c r="F620" s="17" t="s">
        <v>3</v>
      </c>
      <c r="G620" s="43"/>
    </row>
    <row r="621" spans="1:7" x14ac:dyDescent="0.25">
      <c r="A621" s="345"/>
      <c r="B621" s="345"/>
      <c r="C621" s="345"/>
      <c r="D621" s="345"/>
      <c r="E621" s="346"/>
      <c r="F621" s="347"/>
      <c r="G621" s="43"/>
    </row>
    <row r="622" spans="1:7" ht="30" x14ac:dyDescent="0.25">
      <c r="A622" s="43" t="s">
        <v>914</v>
      </c>
      <c r="B622" s="43" t="s">
        <v>884</v>
      </c>
      <c r="C622" s="43" t="s">
        <v>1296</v>
      </c>
      <c r="D622" s="43" t="s">
        <v>850</v>
      </c>
      <c r="E622" s="109" t="s">
        <v>851</v>
      </c>
      <c r="F622" s="110">
        <v>1060186045</v>
      </c>
      <c r="G622" s="43"/>
    </row>
    <row r="623" spans="1:7" ht="30" x14ac:dyDescent="0.25">
      <c r="A623" s="345" t="s">
        <v>1298</v>
      </c>
      <c r="B623" s="345" t="s">
        <v>914</v>
      </c>
      <c r="C623" s="345" t="s">
        <v>1299</v>
      </c>
      <c r="D623" s="345" t="s">
        <v>1300</v>
      </c>
      <c r="E623" s="346" t="s">
        <v>851</v>
      </c>
      <c r="F623" s="347"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5" t="s">
        <v>953</v>
      </c>
      <c r="B625" s="345" t="s">
        <v>1316</v>
      </c>
      <c r="C625" s="345" t="s">
        <v>1317</v>
      </c>
      <c r="D625" s="345" t="s">
        <v>1028</v>
      </c>
      <c r="E625" s="346" t="s">
        <v>851</v>
      </c>
      <c r="F625" s="347">
        <v>1059594373</v>
      </c>
      <c r="G625" s="43"/>
    </row>
    <row r="626" spans="1:7" ht="30" x14ac:dyDescent="0.25">
      <c r="A626" s="43" t="s">
        <v>914</v>
      </c>
      <c r="B626" s="43" t="s">
        <v>1318</v>
      </c>
      <c r="C626" s="43" t="s">
        <v>1319</v>
      </c>
      <c r="D626" s="43"/>
      <c r="E626" s="109" t="s">
        <v>851</v>
      </c>
      <c r="F626" s="110" t="s">
        <v>1320</v>
      </c>
      <c r="G626" s="43"/>
    </row>
    <row r="627" spans="1:7" ht="30" x14ac:dyDescent="0.25">
      <c r="A627" s="345" t="s">
        <v>1332</v>
      </c>
      <c r="B627" s="345" t="s">
        <v>1091</v>
      </c>
      <c r="C627" s="345" t="s">
        <v>1333</v>
      </c>
      <c r="D627" s="345"/>
      <c r="E627" s="346" t="s">
        <v>1094</v>
      </c>
      <c r="F627" s="347">
        <v>1059595374</v>
      </c>
      <c r="G627" s="43"/>
    </row>
    <row r="628" spans="1:7" ht="30" x14ac:dyDescent="0.25">
      <c r="A628" s="43" t="s">
        <v>874</v>
      </c>
      <c r="B628" s="43" t="s">
        <v>943</v>
      </c>
      <c r="C628" s="43" t="s">
        <v>1340</v>
      </c>
      <c r="D628" s="43"/>
      <c r="E628" s="109" t="s">
        <v>1094</v>
      </c>
      <c r="F628" s="110">
        <v>1059597393</v>
      </c>
      <c r="G628" s="43"/>
    </row>
    <row r="629" spans="1:7" ht="30" x14ac:dyDescent="0.25">
      <c r="A629" s="345" t="s">
        <v>914</v>
      </c>
      <c r="B629" s="345" t="s">
        <v>915</v>
      </c>
      <c r="C629" s="345" t="s">
        <v>916</v>
      </c>
      <c r="D629" s="345"/>
      <c r="E629" s="346" t="s">
        <v>1094</v>
      </c>
      <c r="F629" s="347">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5" t="s">
        <v>1286</v>
      </c>
      <c r="B631" s="345" t="s">
        <v>914</v>
      </c>
      <c r="C631" s="345" t="s">
        <v>1198</v>
      </c>
      <c r="D631" s="345" t="s">
        <v>1364</v>
      </c>
      <c r="E631" s="346" t="s">
        <v>851</v>
      </c>
      <c r="F631" s="347">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5" t="s">
        <v>1368</v>
      </c>
      <c r="B633" s="345" t="s">
        <v>1369</v>
      </c>
      <c r="C633" s="345" t="s">
        <v>1370</v>
      </c>
      <c r="D633" s="345" t="s">
        <v>982</v>
      </c>
      <c r="E633" s="346" t="s">
        <v>851</v>
      </c>
      <c r="F633" s="347">
        <v>1059603417</v>
      </c>
      <c r="G633" s="43"/>
    </row>
    <row r="634" spans="1:7" ht="30" x14ac:dyDescent="0.25">
      <c r="A634" s="43" t="s">
        <v>1382</v>
      </c>
      <c r="B634" s="43" t="s">
        <v>1382</v>
      </c>
      <c r="C634" s="43" t="s">
        <v>1383</v>
      </c>
      <c r="D634" s="43"/>
      <c r="E634" s="109" t="s">
        <v>851</v>
      </c>
      <c r="F634" s="110">
        <v>1003371767</v>
      </c>
      <c r="G634" s="43"/>
    </row>
    <row r="635" spans="1:7" ht="30" x14ac:dyDescent="0.25">
      <c r="A635" s="345" t="s">
        <v>873</v>
      </c>
      <c r="B635" s="345" t="s">
        <v>1391</v>
      </c>
      <c r="C635" s="345" t="s">
        <v>985</v>
      </c>
      <c r="D635" s="345" t="s">
        <v>1392</v>
      </c>
      <c r="E635" s="346" t="s">
        <v>851</v>
      </c>
      <c r="F635" s="347">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5" t="s">
        <v>1405</v>
      </c>
      <c r="B637" s="345" t="s">
        <v>884</v>
      </c>
      <c r="C637" s="345" t="s">
        <v>1406</v>
      </c>
      <c r="D637" s="345" t="s">
        <v>1407</v>
      </c>
      <c r="E637" s="346" t="s">
        <v>851</v>
      </c>
      <c r="F637" s="347">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5" t="s">
        <v>944</v>
      </c>
      <c r="B639" s="345" t="s">
        <v>943</v>
      </c>
      <c r="C639" s="345" t="s">
        <v>1421</v>
      </c>
      <c r="D639" s="345"/>
      <c r="E639" s="346" t="s">
        <v>851</v>
      </c>
      <c r="F639" s="347">
        <v>1002846330</v>
      </c>
      <c r="G639" s="43"/>
    </row>
    <row r="640" spans="1:7" ht="30" x14ac:dyDescent="0.25">
      <c r="A640" s="43" t="s">
        <v>848</v>
      </c>
      <c r="B640" s="43" t="s">
        <v>943</v>
      </c>
      <c r="C640" s="43" t="s">
        <v>1423</v>
      </c>
      <c r="D640" s="43"/>
      <c r="E640" s="109" t="s">
        <v>851</v>
      </c>
      <c r="F640" s="110">
        <v>1193097625</v>
      </c>
      <c r="G640" s="43"/>
    </row>
    <row r="641" spans="1:7" ht="30" x14ac:dyDescent="0.25">
      <c r="A641" s="345" t="s">
        <v>1427</v>
      </c>
      <c r="B641" s="345" t="s">
        <v>1428</v>
      </c>
      <c r="C641" s="345" t="s">
        <v>1429</v>
      </c>
      <c r="D641" s="345" t="s">
        <v>1430</v>
      </c>
      <c r="E641" s="346" t="s">
        <v>851</v>
      </c>
      <c r="F641" s="347">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5" t="s">
        <v>1439</v>
      </c>
      <c r="B643" s="345" t="s">
        <v>884</v>
      </c>
      <c r="C643" s="345" t="s">
        <v>1440</v>
      </c>
      <c r="D643" s="345" t="s">
        <v>1294</v>
      </c>
      <c r="E643" s="346" t="s">
        <v>851</v>
      </c>
      <c r="F643" s="347">
        <v>1002847533</v>
      </c>
      <c r="G643" s="43"/>
    </row>
    <row r="644" spans="1:7" ht="30" x14ac:dyDescent="0.25">
      <c r="A644" s="43" t="s">
        <v>1441</v>
      </c>
      <c r="B644" s="43"/>
      <c r="C644" s="43" t="s">
        <v>1284</v>
      </c>
      <c r="D644" s="43" t="s">
        <v>1442</v>
      </c>
      <c r="E644" s="109" t="s">
        <v>851</v>
      </c>
      <c r="F644" s="110">
        <v>1002848635</v>
      </c>
      <c r="G644" s="43"/>
    </row>
    <row r="645" spans="1:7" ht="30" x14ac:dyDescent="0.25">
      <c r="A645" s="345" t="s">
        <v>1443</v>
      </c>
      <c r="B645" s="345" t="s">
        <v>1444</v>
      </c>
      <c r="C645" s="345" t="s">
        <v>1445</v>
      </c>
      <c r="D645" s="345"/>
      <c r="E645" s="346" t="s">
        <v>851</v>
      </c>
      <c r="F645" s="347">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5" t="s">
        <v>1441</v>
      </c>
      <c r="B647" s="345" t="s">
        <v>914</v>
      </c>
      <c r="C647" s="345" t="s">
        <v>1451</v>
      </c>
      <c r="D647" s="345"/>
      <c r="E647" s="346" t="s">
        <v>851</v>
      </c>
      <c r="F647" s="347">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5" t="s">
        <v>1441</v>
      </c>
      <c r="B649" s="345" t="s">
        <v>884</v>
      </c>
      <c r="C649" s="345" t="s">
        <v>1457</v>
      </c>
      <c r="D649" s="345"/>
      <c r="E649" s="346" t="s">
        <v>851</v>
      </c>
      <c r="F649" s="347">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5" t="s">
        <v>944</v>
      </c>
      <c r="B651" s="345" t="s">
        <v>943</v>
      </c>
      <c r="C651" s="345" t="s">
        <v>1463</v>
      </c>
      <c r="D651" s="345" t="s">
        <v>1464</v>
      </c>
      <c r="E651" s="346" t="s">
        <v>1094</v>
      </c>
      <c r="F651" s="347">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5" t="s">
        <v>1156</v>
      </c>
      <c r="B653" s="345" t="s">
        <v>883</v>
      </c>
      <c r="C653" s="345" t="s">
        <v>1157</v>
      </c>
      <c r="D653" s="345" t="s">
        <v>1466</v>
      </c>
      <c r="E653" s="346" t="s">
        <v>851</v>
      </c>
      <c r="F653" s="347">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5" t="s">
        <v>974</v>
      </c>
      <c r="B655" s="345" t="s">
        <v>943</v>
      </c>
      <c r="C655" s="345" t="s">
        <v>1217</v>
      </c>
      <c r="D655" s="345" t="s">
        <v>1490</v>
      </c>
      <c r="E655" s="346" t="s">
        <v>851</v>
      </c>
      <c r="F655" s="347" t="s">
        <v>1491</v>
      </c>
      <c r="G655" s="43"/>
    </row>
    <row r="656" spans="1:7" ht="30" x14ac:dyDescent="0.25">
      <c r="A656" s="43" t="s">
        <v>992</v>
      </c>
      <c r="B656" s="43" t="s">
        <v>1498</v>
      </c>
      <c r="C656" s="43" t="s">
        <v>938</v>
      </c>
      <c r="D656" s="43" t="s">
        <v>1499</v>
      </c>
      <c r="E656" s="109" t="s">
        <v>851</v>
      </c>
      <c r="F656" s="110" t="s">
        <v>1500</v>
      </c>
      <c r="G656" s="43"/>
    </row>
    <row r="657" spans="1:7" ht="30" x14ac:dyDescent="0.25">
      <c r="A657" s="345" t="s">
        <v>848</v>
      </c>
      <c r="B657" s="345" t="s">
        <v>953</v>
      </c>
      <c r="C657" s="345" t="s">
        <v>1501</v>
      </c>
      <c r="D657" s="345" t="s">
        <v>919</v>
      </c>
      <c r="E657" s="346" t="s">
        <v>851</v>
      </c>
      <c r="F657" s="347" t="s">
        <v>1502</v>
      </c>
      <c r="G657" s="43"/>
    </row>
    <row r="658" spans="1:7" ht="30" x14ac:dyDescent="0.25">
      <c r="A658" s="43" t="s">
        <v>1041</v>
      </c>
      <c r="B658" s="43" t="s">
        <v>1147</v>
      </c>
      <c r="C658" s="43" t="s">
        <v>1512</v>
      </c>
      <c r="D658" s="43"/>
      <c r="E658" s="109" t="s">
        <v>851</v>
      </c>
      <c r="F658" s="110">
        <v>1059604976</v>
      </c>
      <c r="G658" s="43"/>
    </row>
    <row r="659" spans="1:7" ht="30" x14ac:dyDescent="0.25">
      <c r="A659" s="345" t="s">
        <v>1513</v>
      </c>
      <c r="B659" s="345" t="s">
        <v>1514</v>
      </c>
      <c r="C659" s="345" t="s">
        <v>1515</v>
      </c>
      <c r="D659" s="345"/>
      <c r="E659" s="346" t="s">
        <v>851</v>
      </c>
      <c r="F659" s="347">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5" t="s">
        <v>884</v>
      </c>
      <c r="B661" s="345" t="s">
        <v>1524</v>
      </c>
      <c r="C661" s="345" t="s">
        <v>945</v>
      </c>
      <c r="D661" s="345" t="s">
        <v>919</v>
      </c>
      <c r="E661" s="346" t="s">
        <v>851</v>
      </c>
      <c r="F661" s="347">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5" t="s">
        <v>1361</v>
      </c>
      <c r="B663" s="345" t="s">
        <v>992</v>
      </c>
      <c r="C663" s="345" t="s">
        <v>1531</v>
      </c>
      <c r="D663" s="345"/>
      <c r="E663" s="346" t="s">
        <v>851</v>
      </c>
      <c r="F663" s="347">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5" t="s">
        <v>884</v>
      </c>
      <c r="B665" s="345" t="s">
        <v>1144</v>
      </c>
      <c r="C665" s="345" t="s">
        <v>1534</v>
      </c>
      <c r="D665" s="345"/>
      <c r="E665" s="346" t="s">
        <v>851</v>
      </c>
      <c r="F665" s="353">
        <v>1002846626</v>
      </c>
      <c r="G665" s="43"/>
    </row>
    <row r="666" spans="1:7" ht="30" x14ac:dyDescent="0.25">
      <c r="A666" s="43" t="s">
        <v>1246</v>
      </c>
      <c r="B666" s="43" t="s">
        <v>943</v>
      </c>
      <c r="C666" s="43" t="s">
        <v>1535</v>
      </c>
      <c r="D666" s="43"/>
      <c r="E666" s="109" t="s">
        <v>851</v>
      </c>
      <c r="F666" s="354">
        <v>1002848307</v>
      </c>
      <c r="G666" s="43"/>
    </row>
    <row r="667" spans="1:7" ht="30" x14ac:dyDescent="0.25">
      <c r="A667" s="345" t="s">
        <v>873</v>
      </c>
      <c r="B667" s="345" t="s">
        <v>1091</v>
      </c>
      <c r="C667" s="345" t="s">
        <v>1277</v>
      </c>
      <c r="D667" s="345"/>
      <c r="E667" s="346" t="s">
        <v>851</v>
      </c>
      <c r="F667" s="355">
        <v>1059598472</v>
      </c>
      <c r="G667" s="43"/>
    </row>
    <row r="668" spans="1:7" ht="30" x14ac:dyDescent="0.25">
      <c r="A668" s="43" t="s">
        <v>896</v>
      </c>
      <c r="B668" s="43" t="s">
        <v>1091</v>
      </c>
      <c r="C668" s="43" t="s">
        <v>1538</v>
      </c>
      <c r="D668" s="43"/>
      <c r="E668" s="109" t="s">
        <v>851</v>
      </c>
      <c r="F668" s="110">
        <v>1002846350</v>
      </c>
      <c r="G668" s="43"/>
    </row>
    <row r="669" spans="1:7" ht="30" x14ac:dyDescent="0.25">
      <c r="A669" s="345" t="s">
        <v>1540</v>
      </c>
      <c r="B669" s="345" t="s">
        <v>943</v>
      </c>
      <c r="C669" s="345" t="s">
        <v>1541</v>
      </c>
      <c r="D669" s="345" t="s">
        <v>1542</v>
      </c>
      <c r="E669" s="346" t="s">
        <v>851</v>
      </c>
      <c r="F669" s="359" t="s">
        <v>1539</v>
      </c>
      <c r="G669" s="43"/>
    </row>
    <row r="670" spans="1:7" ht="30" x14ac:dyDescent="0.25">
      <c r="A670" s="43" t="s">
        <v>1144</v>
      </c>
      <c r="B670" s="43" t="s">
        <v>996</v>
      </c>
      <c r="C670" s="43" t="s">
        <v>1192</v>
      </c>
      <c r="D670" s="43"/>
      <c r="E670" s="109" t="s">
        <v>851</v>
      </c>
      <c r="F670" s="354">
        <v>1059604012</v>
      </c>
      <c r="G670" s="43"/>
    </row>
    <row r="671" spans="1:7" x14ac:dyDescent="0.25">
      <c r="A671" s="345" t="s">
        <v>943</v>
      </c>
      <c r="B671" s="345" t="s">
        <v>848</v>
      </c>
      <c r="C671" s="345" t="s">
        <v>1553</v>
      </c>
      <c r="D671" s="345"/>
      <c r="E671" s="346"/>
      <c r="F671" s="347">
        <v>1059594153</v>
      </c>
      <c r="G671" s="43"/>
    </row>
    <row r="672" spans="1:7" ht="30" x14ac:dyDescent="0.25">
      <c r="A672" s="43" t="s">
        <v>953</v>
      </c>
      <c r="B672" s="43" t="s">
        <v>1249</v>
      </c>
      <c r="C672" s="43" t="s">
        <v>1556</v>
      </c>
      <c r="D672" s="43"/>
      <c r="E672" s="109" t="s">
        <v>1094</v>
      </c>
      <c r="F672" s="110">
        <v>1059599873</v>
      </c>
      <c r="G672" s="43"/>
    </row>
    <row r="673" spans="1:7" ht="30" x14ac:dyDescent="0.25">
      <c r="A673" s="345" t="s">
        <v>896</v>
      </c>
      <c r="B673" s="345" t="s">
        <v>915</v>
      </c>
      <c r="C673" s="345" t="s">
        <v>1585</v>
      </c>
      <c r="D673" s="345"/>
      <c r="E673" s="346" t="s">
        <v>851</v>
      </c>
      <c r="F673" s="347">
        <v>1059595460</v>
      </c>
      <c r="G673" s="43"/>
    </row>
    <row r="674" spans="1:7" ht="30" x14ac:dyDescent="0.25">
      <c r="A674" s="43" t="s">
        <v>953</v>
      </c>
      <c r="B674" s="43" t="s">
        <v>1286</v>
      </c>
      <c r="C674" s="43" t="s">
        <v>1463</v>
      </c>
      <c r="D674" s="43" t="s">
        <v>1579</v>
      </c>
      <c r="E674" s="109" t="s">
        <v>851</v>
      </c>
      <c r="F674" s="356" t="s">
        <v>1578</v>
      </c>
      <c r="G674" s="43"/>
    </row>
    <row r="675" spans="1:7" ht="30" x14ac:dyDescent="0.25">
      <c r="A675" s="345" t="s">
        <v>1580</v>
      </c>
      <c r="B675" s="345" t="s">
        <v>914</v>
      </c>
      <c r="C675" s="345" t="s">
        <v>1581</v>
      </c>
      <c r="D675" s="345" t="s">
        <v>1464</v>
      </c>
      <c r="E675" s="346" t="s">
        <v>851</v>
      </c>
      <c r="F675" s="359">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5" t="s">
        <v>914</v>
      </c>
      <c r="B677" s="345" t="s">
        <v>914</v>
      </c>
      <c r="C677" s="345" t="s">
        <v>1614</v>
      </c>
      <c r="D677" s="345" t="s">
        <v>1277</v>
      </c>
      <c r="E677" s="346" t="s">
        <v>851</v>
      </c>
      <c r="F677" s="347">
        <v>1002847076</v>
      </c>
      <c r="G677" s="43"/>
    </row>
    <row r="678" spans="1:7" ht="30" x14ac:dyDescent="0.25">
      <c r="A678" s="43" t="s">
        <v>1637</v>
      </c>
      <c r="B678" s="43" t="s">
        <v>1638</v>
      </c>
      <c r="C678" s="43" t="s">
        <v>1028</v>
      </c>
      <c r="D678" s="43"/>
      <c r="E678" s="109" t="s">
        <v>851</v>
      </c>
      <c r="F678" s="357">
        <v>1060986729</v>
      </c>
      <c r="G678" s="43"/>
    </row>
    <row r="679" spans="1:7" ht="30" x14ac:dyDescent="0.25">
      <c r="A679" s="345" t="s">
        <v>1210</v>
      </c>
      <c r="B679" s="345" t="s">
        <v>848</v>
      </c>
      <c r="C679" s="345" t="s">
        <v>1670</v>
      </c>
      <c r="D679" s="345" t="s">
        <v>1671</v>
      </c>
      <c r="E679" s="346" t="s">
        <v>851</v>
      </c>
      <c r="F679" s="347">
        <v>1059602883</v>
      </c>
      <c r="G679" s="43"/>
    </row>
    <row r="680" spans="1:7" ht="30" x14ac:dyDescent="0.25">
      <c r="A680" s="43" t="s">
        <v>1677</v>
      </c>
      <c r="B680" s="43" t="s">
        <v>962</v>
      </c>
      <c r="C680" s="43" t="s">
        <v>1678</v>
      </c>
      <c r="D680" s="43" t="s">
        <v>1679</v>
      </c>
      <c r="E680" s="109" t="s">
        <v>1094</v>
      </c>
      <c r="F680" s="363" t="s">
        <v>1676</v>
      </c>
      <c r="G680" s="43"/>
    </row>
    <row r="681" spans="1:7" x14ac:dyDescent="0.25">
      <c r="A681" s="423" t="s">
        <v>1706</v>
      </c>
      <c r="B681" s="423"/>
      <c r="C681" s="423"/>
      <c r="D681" s="423"/>
      <c r="E681" s="423"/>
      <c r="F681" s="423"/>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5" t="s">
        <v>914</v>
      </c>
      <c r="B684" s="345" t="s">
        <v>884</v>
      </c>
      <c r="C684" s="345" t="s">
        <v>1296</v>
      </c>
      <c r="D684" s="345" t="s">
        <v>850</v>
      </c>
      <c r="E684" s="346" t="s">
        <v>851</v>
      </c>
      <c r="F684" s="347">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5" t="s">
        <v>1305</v>
      </c>
      <c r="B686" s="345" t="s">
        <v>884</v>
      </c>
      <c r="C686" s="345" t="s">
        <v>1306</v>
      </c>
      <c r="D686" s="345" t="s">
        <v>1307</v>
      </c>
      <c r="E686" s="346" t="s">
        <v>851</v>
      </c>
      <c r="F686" s="347">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5" t="s">
        <v>914</v>
      </c>
      <c r="B688" s="345" t="s">
        <v>1318</v>
      </c>
      <c r="C688" s="345" t="s">
        <v>1319</v>
      </c>
      <c r="D688" s="345"/>
      <c r="E688" s="346" t="s">
        <v>851</v>
      </c>
      <c r="F688" s="347" t="s">
        <v>1320</v>
      </c>
      <c r="G688" s="43"/>
    </row>
    <row r="689" spans="1:7" ht="30" x14ac:dyDescent="0.25">
      <c r="A689" s="43" t="s">
        <v>1332</v>
      </c>
      <c r="B689" s="43" t="s">
        <v>1091</v>
      </c>
      <c r="C689" s="43" t="s">
        <v>1333</v>
      </c>
      <c r="D689" s="43"/>
      <c r="E689" s="109" t="s">
        <v>1094</v>
      </c>
      <c r="F689" s="110">
        <v>1059595374</v>
      </c>
      <c r="G689" s="43"/>
    </row>
    <row r="690" spans="1:7" ht="30" x14ac:dyDescent="0.25">
      <c r="A690" s="345" t="s">
        <v>874</v>
      </c>
      <c r="B690" s="345" t="s">
        <v>943</v>
      </c>
      <c r="C690" s="345" t="s">
        <v>1340</v>
      </c>
      <c r="D690" s="345"/>
      <c r="E690" s="346" t="s">
        <v>1094</v>
      </c>
      <c r="F690" s="347">
        <v>1059597393</v>
      </c>
      <c r="G690" s="43"/>
    </row>
    <row r="691" spans="1:7" ht="30" x14ac:dyDescent="0.25">
      <c r="A691" s="43" t="s">
        <v>914</v>
      </c>
      <c r="B691" s="43" t="s">
        <v>915</v>
      </c>
      <c r="C691" s="43" t="s">
        <v>916</v>
      </c>
      <c r="D691" s="43"/>
      <c r="E691" s="109" t="s">
        <v>1094</v>
      </c>
      <c r="F691" s="110">
        <v>1059598169</v>
      </c>
      <c r="G691" s="43"/>
    </row>
    <row r="692" spans="1:7" ht="30" x14ac:dyDescent="0.25">
      <c r="A692" s="345" t="s">
        <v>1360</v>
      </c>
      <c r="B692" s="345" t="s">
        <v>1361</v>
      </c>
      <c r="C692" s="345" t="s">
        <v>938</v>
      </c>
      <c r="D692" s="345" t="s">
        <v>1362</v>
      </c>
      <c r="E692" s="346" t="s">
        <v>851</v>
      </c>
      <c r="F692" s="347"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5" t="s">
        <v>857</v>
      </c>
      <c r="B694" s="345" t="s">
        <v>1365</v>
      </c>
      <c r="C694" s="345" t="s">
        <v>949</v>
      </c>
      <c r="D694" s="345" t="s">
        <v>1366</v>
      </c>
      <c r="E694" s="346" t="s">
        <v>851</v>
      </c>
      <c r="F694" s="347">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5" t="s">
        <v>1382</v>
      </c>
      <c r="B696" s="345" t="s">
        <v>1382</v>
      </c>
      <c r="C696" s="345" t="s">
        <v>1383</v>
      </c>
      <c r="D696" s="345"/>
      <c r="E696" s="346" t="s">
        <v>851</v>
      </c>
      <c r="F696" s="347">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5" t="s">
        <v>979</v>
      </c>
      <c r="B698" s="345" t="s">
        <v>943</v>
      </c>
      <c r="C698" s="345" t="s">
        <v>1217</v>
      </c>
      <c r="D698" s="345" t="s">
        <v>1398</v>
      </c>
      <c r="E698" s="346" t="s">
        <v>851</v>
      </c>
      <c r="F698" s="347">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5" t="s">
        <v>1034</v>
      </c>
      <c r="B700" s="345" t="s">
        <v>1166</v>
      </c>
      <c r="C700" s="345" t="s">
        <v>1408</v>
      </c>
      <c r="D700" s="345" t="s">
        <v>1409</v>
      </c>
      <c r="E700" s="346" t="s">
        <v>851</v>
      </c>
      <c r="F700" s="347">
        <v>1005860830</v>
      </c>
      <c r="G700" s="43"/>
    </row>
    <row r="701" spans="1:7" ht="30" x14ac:dyDescent="0.25">
      <c r="A701" s="43" t="s">
        <v>944</v>
      </c>
      <c r="B701" s="43" t="s">
        <v>943</v>
      </c>
      <c r="C701" s="43" t="s">
        <v>1421</v>
      </c>
      <c r="D701" s="43"/>
      <c r="E701" s="109" t="s">
        <v>851</v>
      </c>
      <c r="F701" s="110">
        <v>1002846330</v>
      </c>
      <c r="G701" s="43"/>
    </row>
    <row r="702" spans="1:7" ht="30" x14ac:dyDescent="0.25">
      <c r="A702" s="345" t="s">
        <v>848</v>
      </c>
      <c r="B702" s="345" t="s">
        <v>943</v>
      </c>
      <c r="C702" s="345" t="s">
        <v>1423</v>
      </c>
      <c r="D702" s="345"/>
      <c r="E702" s="346" t="s">
        <v>851</v>
      </c>
      <c r="F702" s="347">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5" t="s">
        <v>1144</v>
      </c>
      <c r="B704" s="345" t="s">
        <v>884</v>
      </c>
      <c r="C704" s="345" t="s">
        <v>1432</v>
      </c>
      <c r="D704" s="345" t="s">
        <v>1433</v>
      </c>
      <c r="E704" s="346" t="s">
        <v>1094</v>
      </c>
      <c r="F704" s="347">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5" t="s">
        <v>1439</v>
      </c>
      <c r="B706" s="345" t="s">
        <v>884</v>
      </c>
      <c r="C706" s="345" t="s">
        <v>1440</v>
      </c>
      <c r="D706" s="345" t="s">
        <v>1294</v>
      </c>
      <c r="E706" s="346" t="s">
        <v>851</v>
      </c>
      <c r="F706" s="347">
        <v>1002847533</v>
      </c>
      <c r="G706" s="43"/>
    </row>
    <row r="707" spans="1:7" ht="30" x14ac:dyDescent="0.25">
      <c r="A707" s="43" t="s">
        <v>1441</v>
      </c>
      <c r="B707" s="43"/>
      <c r="C707" s="43" t="s">
        <v>1284</v>
      </c>
      <c r="D707" s="43" t="s">
        <v>1442</v>
      </c>
      <c r="E707" s="109" t="s">
        <v>851</v>
      </c>
      <c r="F707" s="110">
        <v>1002848635</v>
      </c>
      <c r="G707" s="43"/>
    </row>
    <row r="708" spans="1:7" ht="30" x14ac:dyDescent="0.25">
      <c r="A708" s="345" t="s">
        <v>1443</v>
      </c>
      <c r="B708" s="345" t="s">
        <v>1444</v>
      </c>
      <c r="C708" s="345" t="s">
        <v>1445</v>
      </c>
      <c r="D708" s="345"/>
      <c r="E708" s="346" t="s">
        <v>851</v>
      </c>
      <c r="F708" s="347">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5" t="s">
        <v>1441</v>
      </c>
      <c r="B710" s="345" t="s">
        <v>914</v>
      </c>
      <c r="C710" s="345" t="s">
        <v>1451</v>
      </c>
      <c r="D710" s="345"/>
      <c r="E710" s="346" t="s">
        <v>851</v>
      </c>
      <c r="F710" s="347">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5" t="s">
        <v>1455</v>
      </c>
      <c r="B712" s="345" t="s">
        <v>974</v>
      </c>
      <c r="C712" s="345" t="s">
        <v>1305</v>
      </c>
      <c r="D712" s="345" t="s">
        <v>1456</v>
      </c>
      <c r="E712" s="346" t="s">
        <v>1094</v>
      </c>
      <c r="F712" s="347">
        <v>1059595977</v>
      </c>
      <c r="G712" s="43"/>
    </row>
    <row r="713" spans="1:7" ht="30" x14ac:dyDescent="0.25">
      <c r="A713" s="43" t="s">
        <v>1441</v>
      </c>
      <c r="B713" s="43" t="s">
        <v>884</v>
      </c>
      <c r="C713" s="43" t="s">
        <v>1457</v>
      </c>
      <c r="D713" s="43"/>
      <c r="E713" s="109" t="s">
        <v>851</v>
      </c>
      <c r="F713" s="110">
        <v>25545401</v>
      </c>
      <c r="G713" s="43"/>
    </row>
    <row r="714" spans="1:7" ht="30" x14ac:dyDescent="0.25">
      <c r="A714" s="345" t="s">
        <v>1458</v>
      </c>
      <c r="B714" s="345" t="s">
        <v>1459</v>
      </c>
      <c r="C714" s="345" t="s">
        <v>1460</v>
      </c>
      <c r="D714" s="345" t="s">
        <v>976</v>
      </c>
      <c r="E714" s="346" t="s">
        <v>1094</v>
      </c>
      <c r="F714" s="347">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5" t="s">
        <v>964</v>
      </c>
      <c r="B716" s="345" t="s">
        <v>1465</v>
      </c>
      <c r="C716" s="345" t="s">
        <v>1002</v>
      </c>
      <c r="D716" s="345" t="s">
        <v>1366</v>
      </c>
      <c r="E716" s="346" t="s">
        <v>1094</v>
      </c>
      <c r="F716" s="347">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5" t="s">
        <v>943</v>
      </c>
      <c r="B718" s="345" t="s">
        <v>1144</v>
      </c>
      <c r="C718" s="345" t="s">
        <v>1468</v>
      </c>
      <c r="D718" s="345" t="s">
        <v>1281</v>
      </c>
      <c r="E718" s="346" t="s">
        <v>851</v>
      </c>
      <c r="F718" s="347">
        <v>1059607505</v>
      </c>
      <c r="G718" s="43"/>
    </row>
    <row r="719" spans="1:7" ht="30" x14ac:dyDescent="0.25">
      <c r="A719" s="43" t="s">
        <v>883</v>
      </c>
      <c r="B719" s="43" t="s">
        <v>1290</v>
      </c>
      <c r="C719" s="43" t="s">
        <v>1476</v>
      </c>
      <c r="D719" s="43"/>
      <c r="E719" s="109" t="s">
        <v>851</v>
      </c>
      <c r="F719" s="110">
        <v>1059604081</v>
      </c>
      <c r="G719" s="43"/>
    </row>
    <row r="720" spans="1:7" ht="30" x14ac:dyDescent="0.25">
      <c r="A720" s="345" t="s">
        <v>914</v>
      </c>
      <c r="B720" s="345" t="s">
        <v>1276</v>
      </c>
      <c r="C720" s="345" t="s">
        <v>938</v>
      </c>
      <c r="D720" s="345" t="s">
        <v>1484</v>
      </c>
      <c r="E720" s="346" t="s">
        <v>851</v>
      </c>
      <c r="F720" s="347">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5" t="s">
        <v>974</v>
      </c>
      <c r="B722" s="345" t="s">
        <v>943</v>
      </c>
      <c r="C722" s="345" t="s">
        <v>1217</v>
      </c>
      <c r="D722" s="345" t="s">
        <v>1490</v>
      </c>
      <c r="E722" s="346" t="s">
        <v>851</v>
      </c>
      <c r="F722" s="347" t="s">
        <v>1491</v>
      </c>
      <c r="G722" s="43"/>
    </row>
    <row r="723" spans="1:7" ht="30" x14ac:dyDescent="0.25">
      <c r="A723" s="43" t="s">
        <v>967</v>
      </c>
      <c r="B723" s="43" t="s">
        <v>980</v>
      </c>
      <c r="C723" s="43" t="s">
        <v>1492</v>
      </c>
      <c r="D723" s="43"/>
      <c r="E723" s="109" t="s">
        <v>851</v>
      </c>
      <c r="F723" s="110" t="s">
        <v>1493</v>
      </c>
      <c r="G723" s="43"/>
    </row>
    <row r="724" spans="1:7" ht="30" x14ac:dyDescent="0.25">
      <c r="A724" s="345" t="s">
        <v>884</v>
      </c>
      <c r="B724" s="345" t="s">
        <v>1378</v>
      </c>
      <c r="C724" s="345" t="s">
        <v>1494</v>
      </c>
      <c r="D724" s="345" t="s">
        <v>1495</v>
      </c>
      <c r="E724" s="346" t="s">
        <v>851</v>
      </c>
      <c r="F724" s="347" t="s">
        <v>1496</v>
      </c>
      <c r="G724" s="43"/>
    </row>
    <row r="725" spans="1:7" ht="30" x14ac:dyDescent="0.25">
      <c r="A725" s="43" t="s">
        <v>992</v>
      </c>
      <c r="B725" s="43" t="s">
        <v>1498</v>
      </c>
      <c r="C725" s="43" t="s">
        <v>938</v>
      </c>
      <c r="D725" s="43" t="s">
        <v>1499</v>
      </c>
      <c r="E725" s="109" t="s">
        <v>851</v>
      </c>
      <c r="F725" s="110" t="s">
        <v>1500</v>
      </c>
      <c r="G725" s="43"/>
    </row>
    <row r="726" spans="1:7" ht="30" x14ac:dyDescent="0.25">
      <c r="A726" s="345" t="s">
        <v>848</v>
      </c>
      <c r="B726" s="345" t="s">
        <v>953</v>
      </c>
      <c r="C726" s="345" t="s">
        <v>1501</v>
      </c>
      <c r="D726" s="345" t="s">
        <v>919</v>
      </c>
      <c r="E726" s="346" t="s">
        <v>851</v>
      </c>
      <c r="F726" s="347"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5" t="s">
        <v>1507</v>
      </c>
      <c r="B728" s="345" t="s">
        <v>1365</v>
      </c>
      <c r="C728" s="345" t="s">
        <v>1508</v>
      </c>
      <c r="D728" s="345"/>
      <c r="E728" s="346" t="s">
        <v>851</v>
      </c>
      <c r="F728" s="347">
        <v>1059600322</v>
      </c>
      <c r="G728" s="43"/>
    </row>
    <row r="729" spans="1:7" ht="30" x14ac:dyDescent="0.25">
      <c r="A729" s="43" t="s">
        <v>1041</v>
      </c>
      <c r="B729" s="43" t="s">
        <v>1147</v>
      </c>
      <c r="C729" s="43" t="s">
        <v>1512</v>
      </c>
      <c r="D729" s="43"/>
      <c r="E729" s="109" t="s">
        <v>851</v>
      </c>
      <c r="F729" s="110">
        <v>1059604976</v>
      </c>
      <c r="G729" s="43"/>
    </row>
    <row r="730" spans="1:7" ht="30" x14ac:dyDescent="0.25">
      <c r="A730" s="345" t="s">
        <v>1513</v>
      </c>
      <c r="B730" s="345" t="s">
        <v>1514</v>
      </c>
      <c r="C730" s="345" t="s">
        <v>1515</v>
      </c>
      <c r="D730" s="345"/>
      <c r="E730" s="346" t="s">
        <v>851</v>
      </c>
      <c r="F730" s="347">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5" t="s">
        <v>884</v>
      </c>
      <c r="B732" s="345" t="s">
        <v>1524</v>
      </c>
      <c r="C732" s="345" t="s">
        <v>945</v>
      </c>
      <c r="D732" s="345" t="s">
        <v>919</v>
      </c>
      <c r="E732" s="346" t="s">
        <v>851</v>
      </c>
      <c r="F732" s="347">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5" t="s">
        <v>1361</v>
      </c>
      <c r="B734" s="345" t="s">
        <v>992</v>
      </c>
      <c r="C734" s="345" t="s">
        <v>1531</v>
      </c>
      <c r="D734" s="345"/>
      <c r="E734" s="346" t="s">
        <v>851</v>
      </c>
      <c r="F734" s="347">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5" t="s">
        <v>884</v>
      </c>
      <c r="B736" s="345" t="s">
        <v>1144</v>
      </c>
      <c r="C736" s="345" t="s">
        <v>1534</v>
      </c>
      <c r="D736" s="345"/>
      <c r="E736" s="346" t="s">
        <v>851</v>
      </c>
      <c r="F736" s="353">
        <v>1002846626</v>
      </c>
      <c r="G736" s="43"/>
    </row>
    <row r="737" spans="1:7" ht="30" x14ac:dyDescent="0.25">
      <c r="A737" s="43" t="s">
        <v>1246</v>
      </c>
      <c r="B737" s="43" t="s">
        <v>943</v>
      </c>
      <c r="C737" s="43" t="s">
        <v>1535</v>
      </c>
      <c r="D737" s="43"/>
      <c r="E737" s="109" t="s">
        <v>851</v>
      </c>
      <c r="F737" s="354">
        <v>1002848307</v>
      </c>
      <c r="G737" s="43"/>
    </row>
    <row r="738" spans="1:7" ht="30" x14ac:dyDescent="0.25">
      <c r="A738" s="345" t="s">
        <v>873</v>
      </c>
      <c r="B738" s="345" t="s">
        <v>1091</v>
      </c>
      <c r="C738" s="345" t="s">
        <v>1277</v>
      </c>
      <c r="D738" s="345"/>
      <c r="E738" s="346" t="s">
        <v>851</v>
      </c>
      <c r="F738" s="355">
        <v>1059598472</v>
      </c>
      <c r="G738" s="43"/>
    </row>
    <row r="739" spans="1:7" ht="30" x14ac:dyDescent="0.25">
      <c r="A739" s="43" t="s">
        <v>896</v>
      </c>
      <c r="B739" s="43" t="s">
        <v>1091</v>
      </c>
      <c r="C739" s="43" t="s">
        <v>1538</v>
      </c>
      <c r="D739" s="43"/>
      <c r="E739" s="109" t="s">
        <v>851</v>
      </c>
      <c r="F739" s="110">
        <v>1002846350</v>
      </c>
      <c r="G739" s="43"/>
    </row>
    <row r="740" spans="1:7" ht="30" x14ac:dyDescent="0.25">
      <c r="A740" s="345" t="s">
        <v>896</v>
      </c>
      <c r="B740" s="345" t="s">
        <v>953</v>
      </c>
      <c r="C740" s="345" t="s">
        <v>1217</v>
      </c>
      <c r="D740" s="345" t="s">
        <v>1471</v>
      </c>
      <c r="E740" s="346" t="s">
        <v>851</v>
      </c>
      <c r="F740" s="353">
        <v>1059602285</v>
      </c>
      <c r="G740" s="43"/>
    </row>
    <row r="741" spans="1:7" ht="30" x14ac:dyDescent="0.25">
      <c r="A741" s="43" t="s">
        <v>1540</v>
      </c>
      <c r="B741" s="43" t="s">
        <v>943</v>
      </c>
      <c r="C741" s="43" t="s">
        <v>1541</v>
      </c>
      <c r="D741" s="43" t="s">
        <v>1542</v>
      </c>
      <c r="E741" s="109" t="s">
        <v>851</v>
      </c>
      <c r="F741" s="356" t="s">
        <v>1539</v>
      </c>
      <c r="G741" s="43"/>
    </row>
    <row r="742" spans="1:7" ht="30" x14ac:dyDescent="0.25">
      <c r="A742" s="345" t="s">
        <v>1144</v>
      </c>
      <c r="B742" s="345" t="s">
        <v>996</v>
      </c>
      <c r="C742" s="345" t="s">
        <v>1192</v>
      </c>
      <c r="D742" s="345"/>
      <c r="E742" s="346" t="s">
        <v>851</v>
      </c>
      <c r="F742" s="353">
        <v>1059604012</v>
      </c>
      <c r="G742" s="43"/>
    </row>
    <row r="743" spans="1:7" ht="30" x14ac:dyDescent="0.25">
      <c r="A743" s="43" t="s">
        <v>896</v>
      </c>
      <c r="B743" s="43" t="s">
        <v>953</v>
      </c>
      <c r="C743" s="43" t="s">
        <v>1545</v>
      </c>
      <c r="D743" s="43"/>
      <c r="E743" s="109" t="s">
        <v>851</v>
      </c>
      <c r="F743" s="110">
        <v>25545389</v>
      </c>
      <c r="G743" s="43"/>
    </row>
    <row r="744" spans="1:7" ht="30" x14ac:dyDescent="0.25">
      <c r="A744" s="345" t="s">
        <v>1156</v>
      </c>
      <c r="B744" s="345" t="s">
        <v>980</v>
      </c>
      <c r="C744" s="345" t="s">
        <v>1547</v>
      </c>
      <c r="D744" s="345"/>
      <c r="E744" s="346" t="s">
        <v>1094</v>
      </c>
      <c r="F744" s="347">
        <v>1059597328</v>
      </c>
      <c r="G744" s="43"/>
    </row>
    <row r="745" spans="1:7" ht="30" x14ac:dyDescent="0.25">
      <c r="A745" s="43" t="s">
        <v>1549</v>
      </c>
      <c r="B745" s="43" t="s">
        <v>1298</v>
      </c>
      <c r="C745" s="43" t="s">
        <v>1550</v>
      </c>
      <c r="D745" s="43" t="s">
        <v>1551</v>
      </c>
      <c r="E745" s="109" t="s">
        <v>851</v>
      </c>
      <c r="F745" s="357" t="s">
        <v>1548</v>
      </c>
      <c r="G745" s="43"/>
    </row>
    <row r="746" spans="1:7" x14ac:dyDescent="0.25">
      <c r="A746" s="345" t="s">
        <v>943</v>
      </c>
      <c r="B746" s="345" t="s">
        <v>848</v>
      </c>
      <c r="C746" s="345" t="s">
        <v>1553</v>
      </c>
      <c r="D746" s="345"/>
      <c r="E746" s="346"/>
      <c r="F746" s="347">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5" t="s">
        <v>953</v>
      </c>
      <c r="B748" s="345" t="s">
        <v>1249</v>
      </c>
      <c r="C748" s="345" t="s">
        <v>1556</v>
      </c>
      <c r="D748" s="345"/>
      <c r="E748" s="346" t="s">
        <v>1094</v>
      </c>
      <c r="F748" s="347">
        <v>1059599873</v>
      </c>
      <c r="G748" s="43"/>
    </row>
    <row r="749" spans="1:7" ht="30" x14ac:dyDescent="0.25">
      <c r="A749" s="43" t="s">
        <v>996</v>
      </c>
      <c r="B749" s="43" t="s">
        <v>1559</v>
      </c>
      <c r="C749" s="43" t="s">
        <v>1560</v>
      </c>
      <c r="D749" s="43"/>
      <c r="E749" s="109" t="s">
        <v>851</v>
      </c>
      <c r="F749" s="110">
        <v>25552089</v>
      </c>
      <c r="G749" s="43"/>
    </row>
    <row r="750" spans="1:7" ht="30" x14ac:dyDescent="0.25">
      <c r="A750" s="345" t="s">
        <v>1361</v>
      </c>
      <c r="B750" s="345" t="s">
        <v>1470</v>
      </c>
      <c r="C750" s="345" t="s">
        <v>1553</v>
      </c>
      <c r="D750" s="345"/>
      <c r="E750" s="346" t="s">
        <v>851</v>
      </c>
      <c r="F750" s="347">
        <v>1059595865</v>
      </c>
      <c r="G750" s="43"/>
    </row>
    <row r="751" spans="1:7" ht="30" x14ac:dyDescent="0.25">
      <c r="A751" s="43" t="s">
        <v>953</v>
      </c>
      <c r="B751" s="43" t="s">
        <v>1378</v>
      </c>
      <c r="C751" s="43" t="s">
        <v>1617</v>
      </c>
      <c r="D751" s="43"/>
      <c r="E751" s="109" t="s">
        <v>851</v>
      </c>
      <c r="F751" s="110">
        <v>1059606238</v>
      </c>
      <c r="G751" s="43"/>
    </row>
    <row r="752" spans="1:7" ht="30" x14ac:dyDescent="0.25">
      <c r="A752" s="345" t="s">
        <v>874</v>
      </c>
      <c r="B752" s="345" t="s">
        <v>873</v>
      </c>
      <c r="C752" s="345" t="s">
        <v>1635</v>
      </c>
      <c r="D752" s="345" t="s">
        <v>1294</v>
      </c>
      <c r="E752" s="346" t="s">
        <v>1094</v>
      </c>
      <c r="F752" s="347">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5" t="s">
        <v>896</v>
      </c>
      <c r="B754" s="345" t="s">
        <v>953</v>
      </c>
      <c r="C754" s="345" t="s">
        <v>1634</v>
      </c>
      <c r="D754" s="345"/>
      <c r="E754" s="346"/>
      <c r="F754" s="347">
        <v>1002848733</v>
      </c>
      <c r="G754" s="43"/>
    </row>
    <row r="755" spans="1:7" ht="30" x14ac:dyDescent="0.25">
      <c r="A755" s="43" t="s">
        <v>896</v>
      </c>
      <c r="B755" s="43" t="s">
        <v>915</v>
      </c>
      <c r="C755" s="43" t="s">
        <v>1585</v>
      </c>
      <c r="D755" s="43"/>
      <c r="E755" s="109" t="s">
        <v>851</v>
      </c>
      <c r="F755" s="110">
        <v>1059595460</v>
      </c>
      <c r="G755" s="43"/>
    </row>
    <row r="756" spans="1:7" ht="30" x14ac:dyDescent="0.25">
      <c r="A756" s="345" t="s">
        <v>873</v>
      </c>
      <c r="B756" s="345" t="s">
        <v>874</v>
      </c>
      <c r="C756" s="345" t="s">
        <v>1215</v>
      </c>
      <c r="D756" s="345"/>
      <c r="E756" s="346" t="s">
        <v>851</v>
      </c>
      <c r="F756" s="347">
        <v>1002849181</v>
      </c>
      <c r="G756" s="43"/>
    </row>
    <row r="757" spans="1:7" ht="30" x14ac:dyDescent="0.25">
      <c r="A757" s="43" t="s">
        <v>953</v>
      </c>
      <c r="B757" s="43" t="s">
        <v>1286</v>
      </c>
      <c r="C757" s="43" t="s">
        <v>1463</v>
      </c>
      <c r="D757" s="43" t="s">
        <v>1579</v>
      </c>
      <c r="E757" s="109" t="s">
        <v>851</v>
      </c>
      <c r="F757" s="356" t="s">
        <v>1578</v>
      </c>
      <c r="G757" s="43"/>
    </row>
    <row r="758" spans="1:7" ht="30" x14ac:dyDescent="0.25">
      <c r="A758" s="345" t="s">
        <v>1580</v>
      </c>
      <c r="B758" s="345" t="s">
        <v>914</v>
      </c>
      <c r="C758" s="345" t="s">
        <v>1581</v>
      </c>
      <c r="D758" s="345" t="s">
        <v>1464</v>
      </c>
      <c r="E758" s="346" t="s">
        <v>851</v>
      </c>
      <c r="F758" s="359">
        <v>1002846447</v>
      </c>
      <c r="G758" s="43"/>
    </row>
    <row r="759" spans="1:7" ht="30" x14ac:dyDescent="0.25">
      <c r="A759" s="43" t="s">
        <v>1583</v>
      </c>
      <c r="B759" s="43" t="s">
        <v>873</v>
      </c>
      <c r="C759" s="43" t="s">
        <v>1584</v>
      </c>
      <c r="D759" s="43"/>
      <c r="E759" s="109" t="s">
        <v>851</v>
      </c>
      <c r="F759" s="356" t="s">
        <v>1582</v>
      </c>
      <c r="G759" s="43"/>
    </row>
    <row r="760" spans="1:7" ht="30" x14ac:dyDescent="0.25">
      <c r="A760" s="345" t="s">
        <v>1322</v>
      </c>
      <c r="B760" s="345" t="s">
        <v>1378</v>
      </c>
      <c r="C760" s="345" t="s">
        <v>1587</v>
      </c>
      <c r="D760" s="345"/>
      <c r="E760" s="346" t="s">
        <v>851</v>
      </c>
      <c r="F760" s="359" t="s">
        <v>1586</v>
      </c>
      <c r="G760" s="43"/>
    </row>
    <row r="761" spans="1:7" ht="30" x14ac:dyDescent="0.25">
      <c r="A761" s="43" t="s">
        <v>1590</v>
      </c>
      <c r="B761" s="43" t="s">
        <v>874</v>
      </c>
      <c r="C761" s="43" t="s">
        <v>1591</v>
      </c>
      <c r="D761" s="43"/>
      <c r="E761" s="109" t="s">
        <v>851</v>
      </c>
      <c r="F761" s="356" t="s">
        <v>1589</v>
      </c>
      <c r="G761" s="43"/>
    </row>
    <row r="762" spans="1:7" ht="30" x14ac:dyDescent="0.25">
      <c r="A762" s="345" t="s">
        <v>1286</v>
      </c>
      <c r="B762" s="345" t="s">
        <v>1594</v>
      </c>
      <c r="C762" s="345" t="s">
        <v>1420</v>
      </c>
      <c r="D762" s="345"/>
      <c r="E762" s="346" t="s">
        <v>1094</v>
      </c>
      <c r="F762" s="359" t="s">
        <v>1593</v>
      </c>
      <c r="G762" s="43"/>
    </row>
    <row r="763" spans="1:7" ht="30" x14ac:dyDescent="0.25">
      <c r="A763" s="43" t="s">
        <v>1598</v>
      </c>
      <c r="B763" s="43" t="s">
        <v>1599</v>
      </c>
      <c r="C763" s="43" t="s">
        <v>1597</v>
      </c>
      <c r="D763" s="43"/>
      <c r="E763" s="109" t="s">
        <v>851</v>
      </c>
      <c r="F763" s="110">
        <v>1002846452</v>
      </c>
      <c r="G763" s="43"/>
    </row>
    <row r="764" spans="1:7" ht="30" x14ac:dyDescent="0.25">
      <c r="A764" s="345" t="s">
        <v>914</v>
      </c>
      <c r="B764" s="345" t="s">
        <v>1601</v>
      </c>
      <c r="C764" s="345" t="s">
        <v>1602</v>
      </c>
      <c r="D764" s="345"/>
      <c r="E764" s="346" t="s">
        <v>851</v>
      </c>
      <c r="F764" s="347">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5" t="s">
        <v>896</v>
      </c>
      <c r="B766" s="345" t="s">
        <v>1599</v>
      </c>
      <c r="C766" s="345" t="s">
        <v>1607</v>
      </c>
      <c r="D766" s="345" t="s">
        <v>1608</v>
      </c>
      <c r="E766" s="346" t="s">
        <v>851</v>
      </c>
      <c r="F766" s="347">
        <v>1060800773</v>
      </c>
      <c r="G766" s="43"/>
    </row>
    <row r="767" spans="1:7" ht="30" x14ac:dyDescent="0.25">
      <c r="A767" s="43" t="s">
        <v>914</v>
      </c>
      <c r="B767" s="43" t="s">
        <v>943</v>
      </c>
      <c r="C767" s="43" t="s">
        <v>1198</v>
      </c>
      <c r="D767" s="43"/>
      <c r="E767" s="109" t="s">
        <v>851</v>
      </c>
      <c r="F767" s="110">
        <v>1059605317</v>
      </c>
      <c r="G767" s="43"/>
    </row>
    <row r="768" spans="1:7" ht="30" x14ac:dyDescent="0.25">
      <c r="A768" s="345" t="s">
        <v>1439</v>
      </c>
      <c r="B768" s="345" t="s">
        <v>848</v>
      </c>
      <c r="C768" s="345" t="s">
        <v>1437</v>
      </c>
      <c r="D768" s="345"/>
      <c r="E768" s="346" t="s">
        <v>851</v>
      </c>
      <c r="F768" s="347">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5" t="s">
        <v>914</v>
      </c>
      <c r="B770" s="345" t="s">
        <v>914</v>
      </c>
      <c r="C770" s="345" t="s">
        <v>1614</v>
      </c>
      <c r="D770" s="345" t="s">
        <v>1277</v>
      </c>
      <c r="E770" s="346" t="s">
        <v>851</v>
      </c>
      <c r="F770" s="347">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5" t="s">
        <v>980</v>
      </c>
      <c r="B772" s="345" t="s">
        <v>914</v>
      </c>
      <c r="C772" s="345" t="s">
        <v>1623</v>
      </c>
      <c r="D772" s="345"/>
      <c r="E772" s="346" t="s">
        <v>851</v>
      </c>
      <c r="F772" s="347">
        <v>1059596737</v>
      </c>
      <c r="G772" s="43"/>
    </row>
    <row r="773" spans="1:7" ht="30" x14ac:dyDescent="0.25">
      <c r="A773" s="43" t="s">
        <v>1629</v>
      </c>
      <c r="B773" s="43" t="s">
        <v>1249</v>
      </c>
      <c r="C773" s="43" t="s">
        <v>1630</v>
      </c>
      <c r="D773" s="43"/>
      <c r="E773" s="109" t="s">
        <v>851</v>
      </c>
      <c r="F773" s="43">
        <v>1059601748</v>
      </c>
      <c r="G773" s="43"/>
    </row>
    <row r="774" spans="1:7" ht="30" x14ac:dyDescent="0.25">
      <c r="A774" s="345" t="s">
        <v>896</v>
      </c>
      <c r="B774" s="345" t="s">
        <v>1632</v>
      </c>
      <c r="C774" s="345" t="s">
        <v>1633</v>
      </c>
      <c r="D774" s="345"/>
      <c r="E774" s="346" t="s">
        <v>851</v>
      </c>
      <c r="F774" s="360" t="s">
        <v>1631</v>
      </c>
      <c r="G774" s="43"/>
    </row>
    <row r="775" spans="1:7" ht="30" x14ac:dyDescent="0.25">
      <c r="A775" s="43" t="s">
        <v>1637</v>
      </c>
      <c r="B775" s="43" t="s">
        <v>1638</v>
      </c>
      <c r="C775" s="43" t="s">
        <v>1028</v>
      </c>
      <c r="D775" s="43"/>
      <c r="E775" s="109" t="s">
        <v>851</v>
      </c>
      <c r="F775" s="357">
        <v>1060986729</v>
      </c>
      <c r="G775" s="43"/>
    </row>
    <row r="776" spans="1:7" ht="30" x14ac:dyDescent="0.25">
      <c r="A776" s="345" t="s">
        <v>1249</v>
      </c>
      <c r="B776" s="345" t="s">
        <v>914</v>
      </c>
      <c r="C776" s="345" t="s">
        <v>1659</v>
      </c>
      <c r="D776" s="345"/>
      <c r="E776" s="346" t="s">
        <v>851</v>
      </c>
      <c r="F776" s="347">
        <v>1059597497</v>
      </c>
      <c r="G776" s="43"/>
    </row>
    <row r="777" spans="1:7" ht="30" x14ac:dyDescent="0.25">
      <c r="A777" s="43" t="s">
        <v>1439</v>
      </c>
      <c r="B777" s="43" t="s">
        <v>848</v>
      </c>
      <c r="C777" s="43" t="s">
        <v>1437</v>
      </c>
      <c r="D777" s="43"/>
      <c r="E777" s="109" t="s">
        <v>851</v>
      </c>
      <c r="F777" s="110">
        <v>1059595628</v>
      </c>
      <c r="G777" s="43"/>
    </row>
    <row r="778" spans="1:7" ht="30" x14ac:dyDescent="0.25">
      <c r="A778" s="345" t="s">
        <v>953</v>
      </c>
      <c r="B778" s="345" t="s">
        <v>1660</v>
      </c>
      <c r="C778" s="345" t="s">
        <v>1217</v>
      </c>
      <c r="D778" s="345" t="s">
        <v>1661</v>
      </c>
      <c r="E778" s="346" t="s">
        <v>851</v>
      </c>
      <c r="F778" s="347">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5" t="s">
        <v>1663</v>
      </c>
      <c r="B780" s="345" t="s">
        <v>1664</v>
      </c>
      <c r="C780" s="345" t="s">
        <v>938</v>
      </c>
      <c r="D780" s="345" t="s">
        <v>1665</v>
      </c>
      <c r="E780" s="346" t="s">
        <v>851</v>
      </c>
      <c r="F780" s="347">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5" t="s">
        <v>1667</v>
      </c>
      <c r="B782" s="345" t="s">
        <v>1668</v>
      </c>
      <c r="C782" s="345" t="s">
        <v>1669</v>
      </c>
      <c r="D782" s="345"/>
      <c r="E782" s="346" t="s">
        <v>851</v>
      </c>
      <c r="F782" s="347">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5" t="s">
        <v>943</v>
      </c>
      <c r="B784" s="345" t="s">
        <v>848</v>
      </c>
      <c r="C784" s="345" t="s">
        <v>1673</v>
      </c>
      <c r="D784" s="345" t="s">
        <v>1674</v>
      </c>
      <c r="E784" s="346" t="s">
        <v>851</v>
      </c>
      <c r="F784" s="366" t="s">
        <v>1672</v>
      </c>
      <c r="G784" s="43"/>
    </row>
    <row r="785" spans="1:7" ht="30" x14ac:dyDescent="0.25">
      <c r="A785" s="43" t="s">
        <v>1677</v>
      </c>
      <c r="B785" s="43" t="s">
        <v>962</v>
      </c>
      <c r="C785" s="43" t="s">
        <v>1678</v>
      </c>
      <c r="D785" s="43" t="s">
        <v>1679</v>
      </c>
      <c r="E785" s="109" t="s">
        <v>1094</v>
      </c>
      <c r="F785" s="363" t="s">
        <v>1676</v>
      </c>
      <c r="G785" s="43"/>
    </row>
    <row r="786" spans="1:7" ht="30" x14ac:dyDescent="0.25">
      <c r="A786" s="345" t="s">
        <v>1286</v>
      </c>
      <c r="B786" s="345" t="s">
        <v>943</v>
      </c>
      <c r="C786" s="345" t="s">
        <v>1681</v>
      </c>
      <c r="D786" s="345"/>
      <c r="E786" s="346" t="s">
        <v>851</v>
      </c>
      <c r="F786" s="362" t="s">
        <v>1680</v>
      </c>
      <c r="G786" s="43"/>
    </row>
    <row r="787" spans="1:7" ht="30" x14ac:dyDescent="0.25">
      <c r="A787" s="43" t="s">
        <v>848</v>
      </c>
      <c r="B787" s="43" t="s">
        <v>914</v>
      </c>
      <c r="C787" s="43" t="s">
        <v>1683</v>
      </c>
      <c r="D787" s="43"/>
      <c r="E787" s="109" t="s">
        <v>851</v>
      </c>
      <c r="F787" s="363" t="s">
        <v>1682</v>
      </c>
      <c r="G787" s="43"/>
    </row>
    <row r="788" spans="1:7" x14ac:dyDescent="0.25">
      <c r="A788" s="423" t="s">
        <v>1708</v>
      </c>
      <c r="B788" s="423"/>
      <c r="C788" s="423"/>
      <c r="D788" s="423"/>
      <c r="E788" s="423"/>
      <c r="F788" s="423"/>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5" t="s">
        <v>914</v>
      </c>
      <c r="B791" s="345" t="s">
        <v>884</v>
      </c>
      <c r="C791" s="345" t="s">
        <v>1296</v>
      </c>
      <c r="D791" s="345" t="s">
        <v>850</v>
      </c>
      <c r="E791" s="346" t="s">
        <v>851</v>
      </c>
      <c r="F791" s="347">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5" t="s">
        <v>1305</v>
      </c>
      <c r="B793" s="345" t="s">
        <v>884</v>
      </c>
      <c r="C793" s="345" t="s">
        <v>1306</v>
      </c>
      <c r="D793" s="345" t="s">
        <v>1307</v>
      </c>
      <c r="E793" s="346" t="s">
        <v>851</v>
      </c>
      <c r="F793" s="347">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5" t="s">
        <v>914</v>
      </c>
      <c r="B795" s="345" t="s">
        <v>1318</v>
      </c>
      <c r="C795" s="345" t="s">
        <v>1319</v>
      </c>
      <c r="D795" s="345"/>
      <c r="E795" s="346" t="s">
        <v>851</v>
      </c>
      <c r="F795" s="347" t="s">
        <v>1320</v>
      </c>
      <c r="G795" s="43"/>
    </row>
    <row r="796" spans="1:7" ht="30" x14ac:dyDescent="0.25">
      <c r="A796" s="43" t="s">
        <v>1332</v>
      </c>
      <c r="B796" s="43" t="s">
        <v>1091</v>
      </c>
      <c r="C796" s="43" t="s">
        <v>1333</v>
      </c>
      <c r="D796" s="43"/>
      <c r="E796" s="109" t="s">
        <v>1094</v>
      </c>
      <c r="F796" s="110">
        <v>1059595374</v>
      </c>
      <c r="G796" s="43"/>
    </row>
    <row r="797" spans="1:7" ht="30" x14ac:dyDescent="0.25">
      <c r="A797" s="345" t="s">
        <v>874</v>
      </c>
      <c r="B797" s="345" t="s">
        <v>943</v>
      </c>
      <c r="C797" s="345" t="s">
        <v>1340</v>
      </c>
      <c r="D797" s="345"/>
      <c r="E797" s="346" t="s">
        <v>1094</v>
      </c>
      <c r="F797" s="347">
        <v>1059597393</v>
      </c>
      <c r="G797" s="43"/>
    </row>
    <row r="798" spans="1:7" ht="30" x14ac:dyDescent="0.25">
      <c r="A798" s="43" t="s">
        <v>914</v>
      </c>
      <c r="B798" s="43" t="s">
        <v>915</v>
      </c>
      <c r="C798" s="43" t="s">
        <v>916</v>
      </c>
      <c r="D798" s="43"/>
      <c r="E798" s="109" t="s">
        <v>1094</v>
      </c>
      <c r="F798" s="110">
        <v>1059598169</v>
      </c>
      <c r="G798" s="43"/>
    </row>
    <row r="799" spans="1:7" ht="30" x14ac:dyDescent="0.25">
      <c r="A799" s="345" t="s">
        <v>1360</v>
      </c>
      <c r="B799" s="345" t="s">
        <v>1361</v>
      </c>
      <c r="C799" s="345" t="s">
        <v>938</v>
      </c>
      <c r="D799" s="345" t="s">
        <v>1362</v>
      </c>
      <c r="E799" s="346" t="s">
        <v>851</v>
      </c>
      <c r="F799" s="347"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5" t="s">
        <v>857</v>
      </c>
      <c r="B801" s="345" t="s">
        <v>1365</v>
      </c>
      <c r="C801" s="345" t="s">
        <v>949</v>
      </c>
      <c r="D801" s="345" t="s">
        <v>1366</v>
      </c>
      <c r="E801" s="346" t="s">
        <v>851</v>
      </c>
      <c r="F801" s="347">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5" t="s">
        <v>1382</v>
      </c>
      <c r="B803" s="345" t="s">
        <v>1382</v>
      </c>
      <c r="C803" s="345" t="s">
        <v>1383</v>
      </c>
      <c r="D803" s="345"/>
      <c r="E803" s="346" t="s">
        <v>851</v>
      </c>
      <c r="F803" s="347">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5" t="s">
        <v>979</v>
      </c>
      <c r="B805" s="345" t="s">
        <v>943</v>
      </c>
      <c r="C805" s="345" t="s">
        <v>1217</v>
      </c>
      <c r="D805" s="345" t="s">
        <v>1398</v>
      </c>
      <c r="E805" s="346" t="s">
        <v>851</v>
      </c>
      <c r="F805" s="347">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5" t="s">
        <v>1034</v>
      </c>
      <c r="B807" s="345" t="s">
        <v>1166</v>
      </c>
      <c r="C807" s="345" t="s">
        <v>1408</v>
      </c>
      <c r="D807" s="345" t="s">
        <v>1409</v>
      </c>
      <c r="E807" s="346" t="s">
        <v>851</v>
      </c>
      <c r="F807" s="347">
        <v>1005860830</v>
      </c>
      <c r="G807" s="43"/>
    </row>
    <row r="808" spans="1:7" ht="30" x14ac:dyDescent="0.25">
      <c r="A808" s="43" t="s">
        <v>944</v>
      </c>
      <c r="B808" s="43" t="s">
        <v>943</v>
      </c>
      <c r="C808" s="43" t="s">
        <v>1421</v>
      </c>
      <c r="D808" s="43"/>
      <c r="E808" s="109" t="s">
        <v>851</v>
      </c>
      <c r="F808" s="110">
        <v>1002846330</v>
      </c>
      <c r="G808" s="43"/>
    </row>
    <row r="809" spans="1:7" ht="30" x14ac:dyDescent="0.25">
      <c r="A809" s="345" t="s">
        <v>848</v>
      </c>
      <c r="B809" s="345" t="s">
        <v>943</v>
      </c>
      <c r="C809" s="345" t="s">
        <v>1423</v>
      </c>
      <c r="D809" s="345"/>
      <c r="E809" s="346" t="s">
        <v>851</v>
      </c>
      <c r="F809" s="347">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5" t="s">
        <v>873</v>
      </c>
      <c r="B811" s="345" t="s">
        <v>1435</v>
      </c>
      <c r="C811" s="345" t="s">
        <v>1436</v>
      </c>
      <c r="D811" s="345" t="s">
        <v>1437</v>
      </c>
      <c r="E811" s="346" t="s">
        <v>851</v>
      </c>
      <c r="F811" s="347">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5" t="s">
        <v>1441</v>
      </c>
      <c r="B813" s="345"/>
      <c r="C813" s="345" t="s">
        <v>1284</v>
      </c>
      <c r="D813" s="345" t="s">
        <v>1442</v>
      </c>
      <c r="E813" s="346" t="s">
        <v>851</v>
      </c>
      <c r="F813" s="347">
        <v>1002848635</v>
      </c>
      <c r="G813" s="43"/>
    </row>
    <row r="814" spans="1:7" ht="30" x14ac:dyDescent="0.25">
      <c r="A814" s="43" t="s">
        <v>1443</v>
      </c>
      <c r="B814" s="43" t="s">
        <v>1444</v>
      </c>
      <c r="C814" s="43" t="s">
        <v>1445</v>
      </c>
      <c r="D814" s="43"/>
      <c r="E814" s="109" t="s">
        <v>851</v>
      </c>
      <c r="F814" s="110">
        <v>1061757665</v>
      </c>
      <c r="G814" s="43"/>
    </row>
    <row r="815" spans="1:7" ht="30" x14ac:dyDescent="0.25">
      <c r="A815" s="345" t="s">
        <v>1179</v>
      </c>
      <c r="B815" s="345" t="s">
        <v>1435</v>
      </c>
      <c r="C815" s="345" t="s">
        <v>1448</v>
      </c>
      <c r="D815" s="345" t="s">
        <v>1294</v>
      </c>
      <c r="E815" s="346" t="s">
        <v>851</v>
      </c>
      <c r="F815" s="347">
        <v>1059594096</v>
      </c>
      <c r="G815" s="43"/>
    </row>
    <row r="816" spans="1:7" ht="30" x14ac:dyDescent="0.25">
      <c r="A816" s="43" t="s">
        <v>1441</v>
      </c>
      <c r="B816" s="43" t="s">
        <v>914</v>
      </c>
      <c r="C816" s="43" t="s">
        <v>1451</v>
      </c>
      <c r="D816" s="43"/>
      <c r="E816" s="109" t="s">
        <v>851</v>
      </c>
      <c r="F816" s="110">
        <v>1059598007</v>
      </c>
      <c r="G816" s="43"/>
    </row>
    <row r="817" spans="1:7" ht="30" x14ac:dyDescent="0.25">
      <c r="A817" s="345" t="s">
        <v>896</v>
      </c>
      <c r="B817" s="345" t="s">
        <v>943</v>
      </c>
      <c r="C817" s="345" t="s">
        <v>1452</v>
      </c>
      <c r="D817" s="345" t="s">
        <v>1372</v>
      </c>
      <c r="E817" s="346" t="s">
        <v>851</v>
      </c>
      <c r="F817" s="347">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5" t="s">
        <v>1441</v>
      </c>
      <c r="B819" s="345" t="s">
        <v>884</v>
      </c>
      <c r="C819" s="345" t="s">
        <v>1457</v>
      </c>
      <c r="D819" s="345"/>
      <c r="E819" s="346" t="s">
        <v>851</v>
      </c>
      <c r="F819" s="347">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5" t="s">
        <v>944</v>
      </c>
      <c r="B821" s="345" t="s">
        <v>943</v>
      </c>
      <c r="C821" s="345" t="s">
        <v>1463</v>
      </c>
      <c r="D821" s="345" t="s">
        <v>1464</v>
      </c>
      <c r="E821" s="346" t="s">
        <v>1094</v>
      </c>
      <c r="F821" s="347">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5" t="s">
        <v>1156</v>
      </c>
      <c r="B823" s="345" t="s">
        <v>883</v>
      </c>
      <c r="C823" s="345" t="s">
        <v>1157</v>
      </c>
      <c r="D823" s="345" t="s">
        <v>1466</v>
      </c>
      <c r="E823" s="346" t="s">
        <v>851</v>
      </c>
      <c r="F823" s="347">
        <v>1059594587</v>
      </c>
      <c r="G823" s="43"/>
    </row>
    <row r="824" spans="1:7" ht="30" x14ac:dyDescent="0.25">
      <c r="A824" s="43" t="s">
        <v>883</v>
      </c>
      <c r="B824" s="43" t="s">
        <v>1290</v>
      </c>
      <c r="C824" s="43" t="s">
        <v>1476</v>
      </c>
      <c r="D824" s="43"/>
      <c r="E824" s="109" t="s">
        <v>851</v>
      </c>
      <c r="F824" s="110">
        <v>1059604081</v>
      </c>
      <c r="G824" s="43"/>
    </row>
    <row r="825" spans="1:7" ht="30" x14ac:dyDescent="0.25">
      <c r="A825" s="345" t="s">
        <v>914</v>
      </c>
      <c r="B825" s="345" t="s">
        <v>848</v>
      </c>
      <c r="C825" s="345" t="s">
        <v>1485</v>
      </c>
      <c r="D825" s="345" t="s">
        <v>1285</v>
      </c>
      <c r="E825" s="346" t="s">
        <v>851</v>
      </c>
      <c r="F825" s="347" t="s">
        <v>1486</v>
      </c>
      <c r="G825" s="43"/>
    </row>
    <row r="826" spans="1:7" ht="30" x14ac:dyDescent="0.25">
      <c r="A826" s="43" t="s">
        <v>974</v>
      </c>
      <c r="B826" s="43" t="s">
        <v>943</v>
      </c>
      <c r="C826" s="43" t="s">
        <v>1217</v>
      </c>
      <c r="D826" s="43" t="s">
        <v>1490</v>
      </c>
      <c r="E826" s="109" t="s">
        <v>851</v>
      </c>
      <c r="F826" s="110" t="s">
        <v>1491</v>
      </c>
      <c r="G826" s="43"/>
    </row>
    <row r="827" spans="1:7" ht="30" x14ac:dyDescent="0.25">
      <c r="A827" s="345" t="s">
        <v>967</v>
      </c>
      <c r="B827" s="345" t="s">
        <v>980</v>
      </c>
      <c r="C827" s="345" t="s">
        <v>1492</v>
      </c>
      <c r="D827" s="345"/>
      <c r="E827" s="346" t="s">
        <v>851</v>
      </c>
      <c r="F827" s="347"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5" t="s">
        <v>992</v>
      </c>
      <c r="B829" s="345" t="s">
        <v>1498</v>
      </c>
      <c r="C829" s="345" t="s">
        <v>938</v>
      </c>
      <c r="D829" s="345" t="s">
        <v>1499</v>
      </c>
      <c r="E829" s="346" t="s">
        <v>851</v>
      </c>
      <c r="F829" s="347" t="s">
        <v>1500</v>
      </c>
      <c r="G829" s="43"/>
    </row>
    <row r="830" spans="1:7" ht="30" x14ac:dyDescent="0.25">
      <c r="A830" s="43" t="s">
        <v>848</v>
      </c>
      <c r="B830" s="43" t="s">
        <v>953</v>
      </c>
      <c r="C830" s="43" t="s">
        <v>1501</v>
      </c>
      <c r="D830" s="43" t="s">
        <v>919</v>
      </c>
      <c r="E830" s="109" t="s">
        <v>851</v>
      </c>
      <c r="F830" s="110" t="s">
        <v>1502</v>
      </c>
      <c r="G830" s="43"/>
    </row>
    <row r="831" spans="1:7" ht="30" x14ac:dyDescent="0.25">
      <c r="A831" s="345" t="s">
        <v>992</v>
      </c>
      <c r="B831" s="345" t="s">
        <v>848</v>
      </c>
      <c r="C831" s="345" t="s">
        <v>1504</v>
      </c>
      <c r="D831" s="345" t="s">
        <v>1157</v>
      </c>
      <c r="E831" s="346" t="s">
        <v>851</v>
      </c>
      <c r="F831" s="347">
        <v>1002848292</v>
      </c>
      <c r="G831" s="43"/>
    </row>
    <row r="832" spans="1:7" ht="30" x14ac:dyDescent="0.25">
      <c r="A832" s="43" t="s">
        <v>1507</v>
      </c>
      <c r="B832" s="43" t="s">
        <v>1365</v>
      </c>
      <c r="C832" s="43" t="s">
        <v>1508</v>
      </c>
      <c r="D832" s="43"/>
      <c r="E832" s="109" t="s">
        <v>851</v>
      </c>
      <c r="F832" s="110">
        <v>1059600322</v>
      </c>
      <c r="G832" s="43"/>
    </row>
    <row r="833" spans="1:7" ht="30" x14ac:dyDescent="0.25">
      <c r="A833" s="345" t="s">
        <v>1041</v>
      </c>
      <c r="B833" s="345" t="s">
        <v>1147</v>
      </c>
      <c r="C833" s="345" t="s">
        <v>1512</v>
      </c>
      <c r="D833" s="345"/>
      <c r="E833" s="346" t="s">
        <v>851</v>
      </c>
      <c r="F833" s="347">
        <v>1059604976</v>
      </c>
      <c r="G833" s="43"/>
    </row>
    <row r="834" spans="1:7" ht="30" x14ac:dyDescent="0.25">
      <c r="A834" s="43" t="s">
        <v>1513</v>
      </c>
      <c r="B834" s="43" t="s">
        <v>1514</v>
      </c>
      <c r="C834" s="43" t="s">
        <v>1515</v>
      </c>
      <c r="D834" s="43"/>
      <c r="E834" s="109" t="s">
        <v>851</v>
      </c>
      <c r="F834" s="110">
        <v>1067461286</v>
      </c>
      <c r="G834" s="43"/>
    </row>
    <row r="835" spans="1:7" ht="30" x14ac:dyDescent="0.25">
      <c r="A835" s="345" t="s">
        <v>1519</v>
      </c>
      <c r="B835" s="345" t="s">
        <v>848</v>
      </c>
      <c r="C835" s="345" t="s">
        <v>1520</v>
      </c>
      <c r="D835" s="345" t="s">
        <v>1521</v>
      </c>
      <c r="E835" s="346" t="s">
        <v>851</v>
      </c>
      <c r="F835" s="347">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5" t="s">
        <v>896</v>
      </c>
      <c r="B837" s="345" t="s">
        <v>953</v>
      </c>
      <c r="C837" s="345" t="s">
        <v>1530</v>
      </c>
      <c r="D837" s="345" t="s">
        <v>1182</v>
      </c>
      <c r="E837" s="346" t="s">
        <v>851</v>
      </c>
      <c r="F837" s="347">
        <v>1059594419</v>
      </c>
      <c r="G837" s="43"/>
    </row>
    <row r="838" spans="1:7" ht="30" x14ac:dyDescent="0.25">
      <c r="A838" s="43" t="s">
        <v>1361</v>
      </c>
      <c r="B838" s="43" t="s">
        <v>992</v>
      </c>
      <c r="C838" s="43" t="s">
        <v>1531</v>
      </c>
      <c r="D838" s="43"/>
      <c r="E838" s="109" t="s">
        <v>851</v>
      </c>
      <c r="F838" s="110">
        <v>1151452891</v>
      </c>
      <c r="G838" s="43"/>
    </row>
    <row r="839" spans="1:7" ht="30" x14ac:dyDescent="0.25">
      <c r="A839" s="345" t="s">
        <v>914</v>
      </c>
      <c r="B839" s="345" t="s">
        <v>1470</v>
      </c>
      <c r="C839" s="345" t="s">
        <v>1167</v>
      </c>
      <c r="D839" s="345" t="s">
        <v>1043</v>
      </c>
      <c r="E839" s="346" t="s">
        <v>851</v>
      </c>
      <c r="F839" s="347">
        <v>1193105051</v>
      </c>
      <c r="G839" s="43"/>
    </row>
    <row r="840" spans="1:7" ht="30" x14ac:dyDescent="0.25">
      <c r="A840" s="43" t="s">
        <v>884</v>
      </c>
      <c r="B840" s="43" t="s">
        <v>1144</v>
      </c>
      <c r="C840" s="43" t="s">
        <v>1534</v>
      </c>
      <c r="D840" s="43"/>
      <c r="E840" s="109" t="s">
        <v>851</v>
      </c>
      <c r="F840" s="354">
        <v>1002846626</v>
      </c>
      <c r="G840" s="43"/>
    </row>
    <row r="841" spans="1:7" ht="30" x14ac:dyDescent="0.25">
      <c r="A841" s="345" t="s">
        <v>1246</v>
      </c>
      <c r="B841" s="345" t="s">
        <v>943</v>
      </c>
      <c r="C841" s="345" t="s">
        <v>1535</v>
      </c>
      <c r="D841" s="345"/>
      <c r="E841" s="346" t="s">
        <v>851</v>
      </c>
      <c r="F841" s="353">
        <v>1002848307</v>
      </c>
      <c r="G841" s="43"/>
    </row>
    <row r="842" spans="1:7" ht="30" x14ac:dyDescent="0.25">
      <c r="A842" s="43" t="s">
        <v>873</v>
      </c>
      <c r="B842" s="43" t="s">
        <v>1091</v>
      </c>
      <c r="C842" s="43" t="s">
        <v>1277</v>
      </c>
      <c r="D842" s="43"/>
      <c r="E842" s="109" t="s">
        <v>851</v>
      </c>
      <c r="F842" s="365">
        <v>1059598472</v>
      </c>
      <c r="G842" s="43"/>
    </row>
    <row r="843" spans="1:7" ht="30" x14ac:dyDescent="0.25">
      <c r="A843" s="345" t="s">
        <v>896</v>
      </c>
      <c r="B843" s="345" t="s">
        <v>1091</v>
      </c>
      <c r="C843" s="345" t="s">
        <v>1538</v>
      </c>
      <c r="D843" s="345"/>
      <c r="E843" s="346" t="s">
        <v>851</v>
      </c>
      <c r="F843" s="347">
        <v>1002846350</v>
      </c>
      <c r="G843" s="43"/>
    </row>
    <row r="844" spans="1:7" ht="30" x14ac:dyDescent="0.25">
      <c r="A844" s="43" t="s">
        <v>896</v>
      </c>
      <c r="B844" s="43" t="s">
        <v>953</v>
      </c>
      <c r="C844" s="43" t="s">
        <v>1217</v>
      </c>
      <c r="D844" s="43" t="s">
        <v>1471</v>
      </c>
      <c r="E844" s="109" t="s">
        <v>851</v>
      </c>
      <c r="F844" s="354">
        <v>1059602285</v>
      </c>
      <c r="G844" s="43"/>
    </row>
    <row r="845" spans="1:7" ht="30" x14ac:dyDescent="0.25">
      <c r="A845" s="345" t="s">
        <v>1540</v>
      </c>
      <c r="B845" s="345" t="s">
        <v>943</v>
      </c>
      <c r="C845" s="345" t="s">
        <v>1541</v>
      </c>
      <c r="D845" s="345" t="s">
        <v>1542</v>
      </c>
      <c r="E845" s="346" t="s">
        <v>851</v>
      </c>
      <c r="F845" s="359" t="s">
        <v>1539</v>
      </c>
      <c r="G845" s="43"/>
    </row>
    <row r="846" spans="1:7" ht="30" x14ac:dyDescent="0.25">
      <c r="A846" s="43" t="s">
        <v>1144</v>
      </c>
      <c r="B846" s="43" t="s">
        <v>996</v>
      </c>
      <c r="C846" s="43" t="s">
        <v>1192</v>
      </c>
      <c r="D846" s="43"/>
      <c r="E846" s="109" t="s">
        <v>851</v>
      </c>
      <c r="F846" s="354">
        <v>1059604012</v>
      </c>
      <c r="G846" s="43"/>
    </row>
    <row r="847" spans="1:7" ht="30" x14ac:dyDescent="0.25">
      <c r="A847" s="345" t="s">
        <v>896</v>
      </c>
      <c r="B847" s="345" t="s">
        <v>953</v>
      </c>
      <c r="C847" s="345" t="s">
        <v>1545</v>
      </c>
      <c r="D847" s="345"/>
      <c r="E847" s="346" t="s">
        <v>851</v>
      </c>
      <c r="F847" s="347">
        <v>25545389</v>
      </c>
      <c r="G847" s="43"/>
    </row>
    <row r="848" spans="1:7" x14ac:dyDescent="0.25">
      <c r="A848" s="43" t="s">
        <v>943</v>
      </c>
      <c r="B848" s="43" t="s">
        <v>848</v>
      </c>
      <c r="C848" s="43" t="s">
        <v>1553</v>
      </c>
      <c r="D848" s="43"/>
      <c r="E848" s="109"/>
      <c r="F848" s="110">
        <v>1059594153</v>
      </c>
      <c r="G848" s="43"/>
    </row>
    <row r="849" spans="1:7" ht="30" x14ac:dyDescent="0.25">
      <c r="A849" s="345" t="s">
        <v>943</v>
      </c>
      <c r="B849" s="345" t="s">
        <v>1144</v>
      </c>
      <c r="C849" s="345" t="s">
        <v>1504</v>
      </c>
      <c r="D849" s="345" t="s">
        <v>1281</v>
      </c>
      <c r="E849" s="346" t="s">
        <v>1094</v>
      </c>
      <c r="F849" s="347">
        <v>1059599329</v>
      </c>
      <c r="G849" s="43"/>
    </row>
    <row r="850" spans="1:7" ht="30" x14ac:dyDescent="0.25">
      <c r="A850" s="43" t="s">
        <v>953</v>
      </c>
      <c r="B850" s="43" t="s">
        <v>1249</v>
      </c>
      <c r="C850" s="43" t="s">
        <v>1556</v>
      </c>
      <c r="D850" s="43"/>
      <c r="E850" s="109" t="s">
        <v>1094</v>
      </c>
      <c r="F850" s="110">
        <v>1059599873</v>
      </c>
      <c r="G850" s="43"/>
    </row>
    <row r="851" spans="1:7" ht="30" x14ac:dyDescent="0.25">
      <c r="A851" s="345" t="s">
        <v>996</v>
      </c>
      <c r="B851" s="345" t="s">
        <v>1559</v>
      </c>
      <c r="C851" s="345" t="s">
        <v>1560</v>
      </c>
      <c r="D851" s="345"/>
      <c r="E851" s="346" t="s">
        <v>851</v>
      </c>
      <c r="F851" s="347">
        <v>25552089</v>
      </c>
      <c r="G851" s="43"/>
    </row>
    <row r="852" spans="1:7" ht="30" x14ac:dyDescent="0.25">
      <c r="A852" s="43" t="s">
        <v>1361</v>
      </c>
      <c r="B852" s="43" t="s">
        <v>1470</v>
      </c>
      <c r="C852" s="43" t="s">
        <v>1553</v>
      </c>
      <c r="D852" s="43"/>
      <c r="E852" s="109" t="s">
        <v>851</v>
      </c>
      <c r="F852" s="110">
        <v>1059595865</v>
      </c>
      <c r="G852" s="43"/>
    </row>
    <row r="853" spans="1:7" ht="30" x14ac:dyDescent="0.25">
      <c r="A853" s="345" t="s">
        <v>953</v>
      </c>
      <c r="B853" s="345" t="s">
        <v>1378</v>
      </c>
      <c r="C853" s="345" t="s">
        <v>1617</v>
      </c>
      <c r="D853" s="345"/>
      <c r="E853" s="346" t="s">
        <v>851</v>
      </c>
      <c r="F853" s="347">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5" t="s">
        <v>873</v>
      </c>
      <c r="B855" s="345" t="s">
        <v>962</v>
      </c>
      <c r="C855" s="345" t="s">
        <v>1501</v>
      </c>
      <c r="D855" s="345" t="s">
        <v>1340</v>
      </c>
      <c r="E855" s="346" t="s">
        <v>851</v>
      </c>
      <c r="F855" s="347">
        <v>1059594976</v>
      </c>
      <c r="G855" s="43"/>
    </row>
    <row r="856" spans="1:7" ht="30" x14ac:dyDescent="0.25">
      <c r="A856" s="43" t="s">
        <v>896</v>
      </c>
      <c r="B856" s="43" t="s">
        <v>915</v>
      </c>
      <c r="C856" s="43" t="s">
        <v>1585</v>
      </c>
      <c r="D856" s="43"/>
      <c r="E856" s="109" t="s">
        <v>851</v>
      </c>
      <c r="F856" s="110">
        <v>1059595460</v>
      </c>
      <c r="G856" s="43"/>
    </row>
    <row r="857" spans="1:7" ht="30" x14ac:dyDescent="0.25">
      <c r="A857" s="345" t="s">
        <v>953</v>
      </c>
      <c r="B857" s="345" t="s">
        <v>1286</v>
      </c>
      <c r="C857" s="345" t="s">
        <v>1463</v>
      </c>
      <c r="D857" s="345" t="s">
        <v>1579</v>
      </c>
      <c r="E857" s="346" t="s">
        <v>851</v>
      </c>
      <c r="F857" s="359" t="s">
        <v>1578</v>
      </c>
      <c r="G857" s="43"/>
    </row>
    <row r="858" spans="1:7" ht="30" x14ac:dyDescent="0.25">
      <c r="A858" s="43" t="s">
        <v>1580</v>
      </c>
      <c r="B858" s="43" t="s">
        <v>914</v>
      </c>
      <c r="C858" s="43" t="s">
        <v>1581</v>
      </c>
      <c r="D858" s="43" t="s">
        <v>1464</v>
      </c>
      <c r="E858" s="109" t="s">
        <v>851</v>
      </c>
      <c r="F858" s="356">
        <v>1002846447</v>
      </c>
      <c r="G858" s="43"/>
    </row>
    <row r="859" spans="1:7" ht="30" x14ac:dyDescent="0.25">
      <c r="A859" s="345" t="s">
        <v>1583</v>
      </c>
      <c r="B859" s="345" t="s">
        <v>873</v>
      </c>
      <c r="C859" s="345" t="s">
        <v>1584</v>
      </c>
      <c r="D859" s="345"/>
      <c r="E859" s="346" t="s">
        <v>851</v>
      </c>
      <c r="F859" s="359" t="s">
        <v>1582</v>
      </c>
      <c r="G859" s="43"/>
    </row>
    <row r="860" spans="1:7" ht="30" x14ac:dyDescent="0.25">
      <c r="A860" s="43" t="s">
        <v>1322</v>
      </c>
      <c r="B860" s="43" t="s">
        <v>1378</v>
      </c>
      <c r="C860" s="43" t="s">
        <v>1587</v>
      </c>
      <c r="D860" s="43"/>
      <c r="E860" s="109" t="s">
        <v>851</v>
      </c>
      <c r="F860" s="356" t="s">
        <v>1586</v>
      </c>
      <c r="G860" s="43"/>
    </row>
    <row r="861" spans="1:7" ht="30" x14ac:dyDescent="0.25">
      <c r="A861" s="345" t="s">
        <v>1590</v>
      </c>
      <c r="B861" s="345" t="s">
        <v>874</v>
      </c>
      <c r="C861" s="345" t="s">
        <v>1591</v>
      </c>
      <c r="D861" s="345"/>
      <c r="E861" s="346" t="s">
        <v>851</v>
      </c>
      <c r="F861" s="359" t="s">
        <v>1589</v>
      </c>
      <c r="G861" s="43"/>
    </row>
    <row r="862" spans="1:7" ht="30" x14ac:dyDescent="0.25">
      <c r="A862" s="43" t="s">
        <v>1286</v>
      </c>
      <c r="B862" s="43" t="s">
        <v>1594</v>
      </c>
      <c r="C862" s="43" t="s">
        <v>1420</v>
      </c>
      <c r="D862" s="43"/>
      <c r="E862" s="109" t="s">
        <v>1094</v>
      </c>
      <c r="F862" s="356" t="s">
        <v>1593</v>
      </c>
      <c r="G862" s="43"/>
    </row>
    <row r="863" spans="1:7" ht="30" x14ac:dyDescent="0.25">
      <c r="A863" s="345" t="s">
        <v>1598</v>
      </c>
      <c r="B863" s="345" t="s">
        <v>1599</v>
      </c>
      <c r="C863" s="345" t="s">
        <v>1597</v>
      </c>
      <c r="D863" s="345"/>
      <c r="E863" s="346" t="s">
        <v>851</v>
      </c>
      <c r="F863" s="347">
        <v>1002846452</v>
      </c>
      <c r="G863" s="43"/>
    </row>
    <row r="864" spans="1:7" ht="30" x14ac:dyDescent="0.25">
      <c r="A864" s="43" t="s">
        <v>914</v>
      </c>
      <c r="B864" s="43" t="s">
        <v>1601</v>
      </c>
      <c r="C864" s="43" t="s">
        <v>1602</v>
      </c>
      <c r="D864" s="43"/>
      <c r="E864" s="109" t="s">
        <v>851</v>
      </c>
      <c r="F864" s="110">
        <v>1003370775</v>
      </c>
      <c r="G864" s="43"/>
    </row>
    <row r="865" spans="1:7" ht="30" x14ac:dyDescent="0.25">
      <c r="A865" s="345" t="s">
        <v>896</v>
      </c>
      <c r="B865" s="345" t="s">
        <v>992</v>
      </c>
      <c r="C865" s="345" t="s">
        <v>1530</v>
      </c>
      <c r="D865" s="345" t="s">
        <v>1357</v>
      </c>
      <c r="E865" s="346" t="s">
        <v>851</v>
      </c>
      <c r="F865" s="347">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5" t="s">
        <v>914</v>
      </c>
      <c r="B867" s="345" t="s">
        <v>943</v>
      </c>
      <c r="C867" s="345" t="s">
        <v>1198</v>
      </c>
      <c r="D867" s="345"/>
      <c r="E867" s="346" t="s">
        <v>851</v>
      </c>
      <c r="F867" s="347">
        <v>1059605317</v>
      </c>
      <c r="G867" s="43"/>
    </row>
    <row r="868" spans="1:7" ht="30" x14ac:dyDescent="0.25">
      <c r="A868" s="43" t="s">
        <v>1439</v>
      </c>
      <c r="B868" s="43" t="s">
        <v>848</v>
      </c>
      <c r="C868" s="43" t="s">
        <v>1437</v>
      </c>
      <c r="D868" s="43"/>
      <c r="E868" s="109" t="s">
        <v>851</v>
      </c>
      <c r="F868" s="110">
        <v>1059595628</v>
      </c>
      <c r="G868" s="43"/>
    </row>
    <row r="869" spans="1:7" ht="30" x14ac:dyDescent="0.25">
      <c r="A869" s="345" t="s">
        <v>873</v>
      </c>
      <c r="B869" s="345" t="s">
        <v>874</v>
      </c>
      <c r="C869" s="345" t="s">
        <v>1612</v>
      </c>
      <c r="D869" s="345" t="s">
        <v>1613</v>
      </c>
      <c r="E869" s="346" t="s">
        <v>851</v>
      </c>
      <c r="F869" s="347">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5" t="s">
        <v>1621</v>
      </c>
      <c r="B871" s="345" t="s">
        <v>1622</v>
      </c>
      <c r="C871" s="345" t="s">
        <v>1619</v>
      </c>
      <c r="D871" s="345" t="s">
        <v>1620</v>
      </c>
      <c r="E871" s="346" t="s">
        <v>851</v>
      </c>
      <c r="F871" s="347">
        <v>1104776221</v>
      </c>
      <c r="G871" s="43"/>
    </row>
    <row r="872" spans="1:7" ht="30" x14ac:dyDescent="0.25">
      <c r="A872" s="43" t="s">
        <v>980</v>
      </c>
      <c r="B872" s="43" t="s">
        <v>914</v>
      </c>
      <c r="C872" s="43" t="s">
        <v>1623</v>
      </c>
      <c r="D872" s="43"/>
      <c r="E872" s="109" t="s">
        <v>851</v>
      </c>
      <c r="F872" s="110">
        <v>1059596737</v>
      </c>
      <c r="G872" s="43"/>
    </row>
    <row r="873" spans="1:7" ht="30" x14ac:dyDescent="0.25">
      <c r="A873" s="345" t="s">
        <v>1629</v>
      </c>
      <c r="B873" s="345" t="s">
        <v>1249</v>
      </c>
      <c r="C873" s="345" t="s">
        <v>1630</v>
      </c>
      <c r="D873" s="345"/>
      <c r="E873" s="346" t="s">
        <v>851</v>
      </c>
      <c r="F873" s="345">
        <v>1059601748</v>
      </c>
      <c r="G873" s="43"/>
    </row>
    <row r="874" spans="1:7" ht="30" x14ac:dyDescent="0.25">
      <c r="A874" s="43" t="s">
        <v>896</v>
      </c>
      <c r="B874" s="43" t="s">
        <v>1632</v>
      </c>
      <c r="C874" s="43" t="s">
        <v>1633</v>
      </c>
      <c r="D874" s="43"/>
      <c r="E874" s="109" t="s">
        <v>851</v>
      </c>
      <c r="F874" s="360" t="s">
        <v>1631</v>
      </c>
      <c r="G874" s="43"/>
    </row>
    <row r="875" spans="1:7" ht="30" x14ac:dyDescent="0.25">
      <c r="A875" s="345" t="s">
        <v>1637</v>
      </c>
      <c r="B875" s="345" t="s">
        <v>1638</v>
      </c>
      <c r="C875" s="345" t="s">
        <v>1028</v>
      </c>
      <c r="D875" s="345"/>
      <c r="E875" s="346" t="s">
        <v>851</v>
      </c>
      <c r="F875" s="358">
        <v>1060986729</v>
      </c>
      <c r="G875" s="43"/>
    </row>
    <row r="876" spans="1:7" ht="30" x14ac:dyDescent="0.25">
      <c r="A876" s="43" t="s">
        <v>1439</v>
      </c>
      <c r="B876" s="43" t="s">
        <v>848</v>
      </c>
      <c r="C876" s="43" t="s">
        <v>1437</v>
      </c>
      <c r="D876" s="43"/>
      <c r="E876" s="109" t="s">
        <v>851</v>
      </c>
      <c r="F876" s="110">
        <v>1059595628</v>
      </c>
      <c r="G876" s="43"/>
    </row>
    <row r="877" spans="1:7" ht="30" x14ac:dyDescent="0.25">
      <c r="A877" s="345" t="s">
        <v>953</v>
      </c>
      <c r="B877" s="345" t="s">
        <v>1660</v>
      </c>
      <c r="C877" s="345" t="s">
        <v>1217</v>
      </c>
      <c r="D877" s="345" t="s">
        <v>1661</v>
      </c>
      <c r="E877" s="346" t="s">
        <v>851</v>
      </c>
      <c r="F877" s="347">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5" t="s">
        <v>1667</v>
      </c>
      <c r="B879" s="345" t="s">
        <v>1668</v>
      </c>
      <c r="C879" s="345" t="s">
        <v>1669</v>
      </c>
      <c r="D879" s="345"/>
      <c r="E879" s="346" t="s">
        <v>851</v>
      </c>
      <c r="F879" s="347">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5" t="s">
        <v>943</v>
      </c>
      <c r="B881" s="345" t="s">
        <v>848</v>
      </c>
      <c r="C881" s="345" t="s">
        <v>1673</v>
      </c>
      <c r="D881" s="345" t="s">
        <v>1674</v>
      </c>
      <c r="E881" s="346" t="s">
        <v>851</v>
      </c>
      <c r="F881" s="366" t="s">
        <v>1672</v>
      </c>
      <c r="G881" s="43"/>
    </row>
    <row r="882" spans="1:7" ht="30" x14ac:dyDescent="0.25">
      <c r="A882" s="43" t="s">
        <v>1677</v>
      </c>
      <c r="B882" s="43" t="s">
        <v>962</v>
      </c>
      <c r="C882" s="43" t="s">
        <v>1678</v>
      </c>
      <c r="D882" s="43" t="s">
        <v>1679</v>
      </c>
      <c r="E882" s="109" t="s">
        <v>1094</v>
      </c>
      <c r="F882" s="363" t="s">
        <v>1676</v>
      </c>
      <c r="G882" s="43"/>
    </row>
    <row r="883" spans="1:7" x14ac:dyDescent="0.25">
      <c r="A883" s="364"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5" t="s">
        <v>914</v>
      </c>
      <c r="B886" s="345" t="s">
        <v>915</v>
      </c>
      <c r="C886" s="345" t="s">
        <v>916</v>
      </c>
      <c r="D886" s="345"/>
      <c r="E886" s="346" t="s">
        <v>1094</v>
      </c>
      <c r="F886" s="347">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5" t="s">
        <v>1286</v>
      </c>
      <c r="B888" s="345" t="s">
        <v>914</v>
      </c>
      <c r="C888" s="345" t="s">
        <v>1198</v>
      </c>
      <c r="D888" s="345" t="s">
        <v>1364</v>
      </c>
      <c r="E888" s="346" t="s">
        <v>851</v>
      </c>
      <c r="F888" s="347">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5" t="s">
        <v>1441</v>
      </c>
      <c r="B890" s="345"/>
      <c r="C890" s="345" t="s">
        <v>1284</v>
      </c>
      <c r="D890" s="345" t="s">
        <v>1442</v>
      </c>
      <c r="E890" s="346" t="s">
        <v>851</v>
      </c>
      <c r="F890" s="347">
        <v>1002848635</v>
      </c>
      <c r="G890" s="43"/>
    </row>
    <row r="891" spans="1:7" ht="30" x14ac:dyDescent="0.25">
      <c r="A891" s="43" t="s">
        <v>1441</v>
      </c>
      <c r="B891" s="43" t="s">
        <v>884</v>
      </c>
      <c r="C891" s="43" t="s">
        <v>1457</v>
      </c>
      <c r="D891" s="43"/>
      <c r="E891" s="109" t="s">
        <v>851</v>
      </c>
      <c r="F891" s="110">
        <v>25545401</v>
      </c>
      <c r="G891" s="43"/>
    </row>
    <row r="892" spans="1:7" ht="30" x14ac:dyDescent="0.25">
      <c r="A892" s="345" t="s">
        <v>1458</v>
      </c>
      <c r="B892" s="345" t="s">
        <v>1459</v>
      </c>
      <c r="C892" s="345" t="s">
        <v>1460</v>
      </c>
      <c r="D892" s="345" t="s">
        <v>976</v>
      </c>
      <c r="E892" s="346" t="s">
        <v>1094</v>
      </c>
      <c r="F892" s="347">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5" t="s">
        <v>848</v>
      </c>
      <c r="B894" s="345" t="s">
        <v>953</v>
      </c>
      <c r="C894" s="345" t="s">
        <v>1501</v>
      </c>
      <c r="D894" s="345" t="s">
        <v>919</v>
      </c>
      <c r="E894" s="346" t="s">
        <v>851</v>
      </c>
      <c r="F894" s="347" t="s">
        <v>1502</v>
      </c>
      <c r="G894" s="43"/>
    </row>
    <row r="895" spans="1:7" ht="30" x14ac:dyDescent="0.25">
      <c r="A895" s="43" t="s">
        <v>1513</v>
      </c>
      <c r="B895" s="43" t="s">
        <v>1514</v>
      </c>
      <c r="C895" s="43" t="s">
        <v>1515</v>
      </c>
      <c r="D895" s="43"/>
      <c r="E895" s="109" t="s">
        <v>851</v>
      </c>
      <c r="F895" s="110">
        <v>1067461286</v>
      </c>
      <c r="G895" s="43"/>
    </row>
    <row r="896" spans="1:7" ht="30" x14ac:dyDescent="0.25">
      <c r="A896" s="345" t="s">
        <v>1519</v>
      </c>
      <c r="B896" s="345" t="s">
        <v>848</v>
      </c>
      <c r="C896" s="345" t="s">
        <v>1520</v>
      </c>
      <c r="D896" s="345" t="s">
        <v>1521</v>
      </c>
      <c r="E896" s="346" t="s">
        <v>851</v>
      </c>
      <c r="F896" s="347">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5" t="s">
        <v>884</v>
      </c>
      <c r="B898" s="345" t="s">
        <v>1144</v>
      </c>
      <c r="C898" s="345" t="s">
        <v>1534</v>
      </c>
      <c r="D898" s="345"/>
      <c r="E898" s="346" t="s">
        <v>851</v>
      </c>
      <c r="F898" s="353">
        <v>1002846626</v>
      </c>
      <c r="G898" s="43"/>
    </row>
    <row r="899" spans="1:7" ht="30" x14ac:dyDescent="0.25">
      <c r="A899" s="43" t="s">
        <v>1246</v>
      </c>
      <c r="B899" s="43" t="s">
        <v>943</v>
      </c>
      <c r="C899" s="43" t="s">
        <v>1535</v>
      </c>
      <c r="D899" s="43"/>
      <c r="E899" s="109" t="s">
        <v>851</v>
      </c>
      <c r="F899" s="354">
        <v>1002848307</v>
      </c>
      <c r="G899" s="43"/>
    </row>
    <row r="900" spans="1:7" ht="30" x14ac:dyDescent="0.25">
      <c r="A900" s="345" t="s">
        <v>896</v>
      </c>
      <c r="B900" s="345" t="s">
        <v>1091</v>
      </c>
      <c r="C900" s="345" t="s">
        <v>1538</v>
      </c>
      <c r="D900" s="345"/>
      <c r="E900" s="346" t="s">
        <v>851</v>
      </c>
      <c r="F900" s="347">
        <v>1002846350</v>
      </c>
      <c r="G900" s="43"/>
    </row>
    <row r="901" spans="1:7" ht="30" x14ac:dyDescent="0.25">
      <c r="A901" s="43" t="s">
        <v>896</v>
      </c>
      <c r="B901" s="43" t="s">
        <v>953</v>
      </c>
      <c r="C901" s="43" t="s">
        <v>1217</v>
      </c>
      <c r="D901" s="43" t="s">
        <v>1471</v>
      </c>
      <c r="E901" s="109" t="s">
        <v>851</v>
      </c>
      <c r="F901" s="354">
        <v>1059602285</v>
      </c>
      <c r="G901" s="43"/>
    </row>
    <row r="902" spans="1:7" ht="30" x14ac:dyDescent="0.25">
      <c r="A902" s="345" t="s">
        <v>1144</v>
      </c>
      <c r="B902" s="345" t="s">
        <v>996</v>
      </c>
      <c r="C902" s="345" t="s">
        <v>1192</v>
      </c>
      <c r="D902" s="345"/>
      <c r="E902" s="346" t="s">
        <v>851</v>
      </c>
      <c r="F902" s="353">
        <v>1059604012</v>
      </c>
      <c r="G902" s="43"/>
    </row>
    <row r="903" spans="1:7" ht="30" x14ac:dyDescent="0.25">
      <c r="A903" s="43" t="s">
        <v>896</v>
      </c>
      <c r="B903" s="43" t="s">
        <v>953</v>
      </c>
      <c r="C903" s="43" t="s">
        <v>1545</v>
      </c>
      <c r="D903" s="43"/>
      <c r="E903" s="109" t="s">
        <v>851</v>
      </c>
      <c r="F903" s="110">
        <v>25545389</v>
      </c>
      <c r="G903" s="43"/>
    </row>
    <row r="904" spans="1:7" x14ac:dyDescent="0.25">
      <c r="A904" s="345" t="s">
        <v>943</v>
      </c>
      <c r="B904" s="345" t="s">
        <v>848</v>
      </c>
      <c r="C904" s="345" t="s">
        <v>1553</v>
      </c>
      <c r="D904" s="345"/>
      <c r="E904" s="346"/>
      <c r="F904" s="347">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5" t="s">
        <v>953</v>
      </c>
      <c r="B906" s="345" t="s">
        <v>1286</v>
      </c>
      <c r="C906" s="345" t="s">
        <v>1463</v>
      </c>
      <c r="D906" s="345" t="s">
        <v>1579</v>
      </c>
      <c r="E906" s="346" t="s">
        <v>851</v>
      </c>
      <c r="F906" s="359" t="s">
        <v>1578</v>
      </c>
      <c r="G906" s="43"/>
    </row>
    <row r="907" spans="1:7" ht="30" x14ac:dyDescent="0.25">
      <c r="A907" s="43" t="s">
        <v>1580</v>
      </c>
      <c r="B907" s="43" t="s">
        <v>914</v>
      </c>
      <c r="C907" s="43" t="s">
        <v>1581</v>
      </c>
      <c r="D907" s="43" t="s">
        <v>1464</v>
      </c>
      <c r="E907" s="109" t="s">
        <v>851</v>
      </c>
      <c r="F907" s="356">
        <v>1002846447</v>
      </c>
      <c r="G907" s="43"/>
    </row>
    <row r="908" spans="1:7" ht="30" x14ac:dyDescent="0.25">
      <c r="A908" s="345" t="s">
        <v>1590</v>
      </c>
      <c r="B908" s="345" t="s">
        <v>874</v>
      </c>
      <c r="C908" s="345" t="s">
        <v>1591</v>
      </c>
      <c r="D908" s="345"/>
      <c r="E908" s="346" t="s">
        <v>851</v>
      </c>
      <c r="F908" s="359" t="s">
        <v>1589</v>
      </c>
      <c r="G908" s="43"/>
    </row>
    <row r="909" spans="1:7" ht="30" x14ac:dyDescent="0.25">
      <c r="A909" s="43" t="s">
        <v>1286</v>
      </c>
      <c r="B909" s="43" t="s">
        <v>1594</v>
      </c>
      <c r="C909" s="43" t="s">
        <v>1420</v>
      </c>
      <c r="D909" s="43"/>
      <c r="E909" s="109" t="s">
        <v>1094</v>
      </c>
      <c r="F909" s="356" t="s">
        <v>1593</v>
      </c>
      <c r="G909" s="43"/>
    </row>
    <row r="910" spans="1:7" ht="30" x14ac:dyDescent="0.25">
      <c r="A910" s="345" t="s">
        <v>896</v>
      </c>
      <c r="B910" s="345" t="s">
        <v>1632</v>
      </c>
      <c r="C910" s="345" t="s">
        <v>1633</v>
      </c>
      <c r="D910" s="345"/>
      <c r="E910" s="346" t="s">
        <v>851</v>
      </c>
      <c r="F910" s="360" t="s">
        <v>1631</v>
      </c>
      <c r="G910" s="43"/>
    </row>
    <row r="911" spans="1:7" ht="30" x14ac:dyDescent="0.25">
      <c r="A911" s="43" t="s">
        <v>1637</v>
      </c>
      <c r="B911" s="43" t="s">
        <v>1638</v>
      </c>
      <c r="C911" s="43" t="s">
        <v>1028</v>
      </c>
      <c r="D911" s="43"/>
      <c r="E911" s="109" t="s">
        <v>851</v>
      </c>
      <c r="F911" s="357">
        <v>1060986729</v>
      </c>
      <c r="G911" s="43"/>
    </row>
    <row r="912" spans="1:7" ht="30" x14ac:dyDescent="0.25">
      <c r="A912" s="345" t="s">
        <v>1249</v>
      </c>
      <c r="B912" s="345" t="s">
        <v>914</v>
      </c>
      <c r="C912" s="345" t="s">
        <v>1659</v>
      </c>
      <c r="D912" s="345"/>
      <c r="E912" s="346" t="s">
        <v>851</v>
      </c>
      <c r="F912" s="347">
        <v>1059597497</v>
      </c>
      <c r="G912" s="43"/>
    </row>
    <row r="913" spans="1:7" ht="30" x14ac:dyDescent="0.25">
      <c r="A913" s="43" t="s">
        <v>1439</v>
      </c>
      <c r="B913" s="43" t="s">
        <v>848</v>
      </c>
      <c r="C913" s="43" t="s">
        <v>1437</v>
      </c>
      <c r="D913" s="43"/>
      <c r="E913" s="109" t="s">
        <v>851</v>
      </c>
      <c r="F913" s="110">
        <v>1059595628</v>
      </c>
      <c r="G913" s="43"/>
    </row>
    <row r="914" spans="1:7" ht="30" x14ac:dyDescent="0.25">
      <c r="A914" s="345" t="s">
        <v>953</v>
      </c>
      <c r="B914" s="345" t="s">
        <v>1660</v>
      </c>
      <c r="C914" s="345" t="s">
        <v>1217</v>
      </c>
      <c r="D914" s="345" t="s">
        <v>1661</v>
      </c>
      <c r="E914" s="346" t="s">
        <v>851</v>
      </c>
      <c r="F914" s="347">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5" t="s">
        <v>1663</v>
      </c>
      <c r="B916" s="345" t="s">
        <v>1664</v>
      </c>
      <c r="C916" s="345" t="s">
        <v>938</v>
      </c>
      <c r="D916" s="345" t="s">
        <v>1665</v>
      </c>
      <c r="E916" s="346" t="s">
        <v>851</v>
      </c>
      <c r="F916" s="347">
        <v>1059601634</v>
      </c>
      <c r="G916" s="43"/>
    </row>
    <row r="917" spans="1:7" ht="30" x14ac:dyDescent="0.25">
      <c r="A917" s="43" t="s">
        <v>1667</v>
      </c>
      <c r="B917" s="43" t="s">
        <v>1668</v>
      </c>
      <c r="C917" s="43" t="s">
        <v>1669</v>
      </c>
      <c r="D917" s="43"/>
      <c r="E917" s="109" t="s">
        <v>851</v>
      </c>
      <c r="F917" s="110">
        <v>1064426895</v>
      </c>
      <c r="G917" s="43"/>
    </row>
    <row r="918" spans="1:7" ht="30" x14ac:dyDescent="0.25">
      <c r="A918" s="345" t="s">
        <v>1210</v>
      </c>
      <c r="B918" s="345" t="s">
        <v>848</v>
      </c>
      <c r="C918" s="345" t="s">
        <v>1670</v>
      </c>
      <c r="D918" s="345" t="s">
        <v>1671</v>
      </c>
      <c r="E918" s="346" t="s">
        <v>851</v>
      </c>
      <c r="F918" s="347">
        <v>1059602883</v>
      </c>
      <c r="G918" s="43"/>
    </row>
    <row r="919" spans="1:7" ht="30" x14ac:dyDescent="0.25">
      <c r="A919" s="43" t="s">
        <v>943</v>
      </c>
      <c r="B919" s="43" t="s">
        <v>848</v>
      </c>
      <c r="C919" s="43" t="s">
        <v>1673</v>
      </c>
      <c r="D919" s="43" t="s">
        <v>1674</v>
      </c>
      <c r="E919" s="109" t="s">
        <v>851</v>
      </c>
      <c r="F919" s="361" t="s">
        <v>1672</v>
      </c>
      <c r="G919" s="43"/>
    </row>
    <row r="920" spans="1:7" ht="30" x14ac:dyDescent="0.25">
      <c r="A920" s="345" t="s">
        <v>1677</v>
      </c>
      <c r="B920" s="345" t="s">
        <v>962</v>
      </c>
      <c r="C920" s="345" t="s">
        <v>1678</v>
      </c>
      <c r="D920" s="345" t="s">
        <v>1679</v>
      </c>
      <c r="E920" s="346" t="s">
        <v>1094</v>
      </c>
      <c r="F920" s="362" t="s">
        <v>1676</v>
      </c>
      <c r="G920" s="43"/>
    </row>
    <row r="921" spans="1:7" ht="30" x14ac:dyDescent="0.25">
      <c r="A921" s="43" t="s">
        <v>1286</v>
      </c>
      <c r="B921" s="43" t="s">
        <v>943</v>
      </c>
      <c r="C921" s="43" t="s">
        <v>1681</v>
      </c>
      <c r="D921" s="43"/>
      <c r="E921" s="109" t="s">
        <v>851</v>
      </c>
      <c r="F921" s="363" t="s">
        <v>1680</v>
      </c>
      <c r="G921" s="43"/>
    </row>
    <row r="922" spans="1:7" ht="30" x14ac:dyDescent="0.25">
      <c r="A922" s="345" t="s">
        <v>848</v>
      </c>
      <c r="B922" s="345" t="s">
        <v>914</v>
      </c>
      <c r="C922" s="345" t="s">
        <v>1683</v>
      </c>
      <c r="D922" s="345"/>
      <c r="E922" s="346" t="s">
        <v>851</v>
      </c>
      <c r="F922" s="362" t="s">
        <v>1682</v>
      </c>
      <c r="G922" s="43"/>
    </row>
    <row r="923" spans="1:7" x14ac:dyDescent="0.25">
      <c r="A923" s="424" t="s">
        <v>1710</v>
      </c>
      <c r="B923" s="424"/>
      <c r="C923" s="424"/>
      <c r="D923" s="424"/>
      <c r="E923" s="424"/>
      <c r="F923" s="424"/>
      <c r="G923" s="43"/>
    </row>
    <row r="924" spans="1:7" ht="45" x14ac:dyDescent="0.25">
      <c r="A924" s="17" t="s">
        <v>94</v>
      </c>
      <c r="B924" s="17" t="s">
        <v>21</v>
      </c>
      <c r="C924" s="17" t="s">
        <v>0</v>
      </c>
      <c r="D924" s="17" t="s">
        <v>1</v>
      </c>
      <c r="E924" s="17" t="s">
        <v>2</v>
      </c>
      <c r="F924" s="17" t="s">
        <v>3</v>
      </c>
      <c r="G924" s="43"/>
    </row>
    <row r="925" spans="1:7" x14ac:dyDescent="0.25">
      <c r="A925" s="345"/>
      <c r="B925" s="345"/>
      <c r="C925" s="345"/>
      <c r="D925" s="345"/>
      <c r="E925" s="346"/>
      <c r="F925" s="347"/>
      <c r="G925" s="43"/>
    </row>
    <row r="926" spans="1:7" ht="30" x14ac:dyDescent="0.25">
      <c r="A926" s="43" t="s">
        <v>974</v>
      </c>
      <c r="B926" s="43" t="s">
        <v>1144</v>
      </c>
      <c r="C926" s="43" t="s">
        <v>1192</v>
      </c>
      <c r="D926" s="43" t="s">
        <v>1193</v>
      </c>
      <c r="E926" s="109" t="s">
        <v>1094</v>
      </c>
      <c r="F926" s="110">
        <v>1059595334</v>
      </c>
      <c r="G926" s="43"/>
    </row>
    <row r="927" spans="1:7" ht="30" x14ac:dyDescent="0.25">
      <c r="A927" s="345" t="s">
        <v>914</v>
      </c>
      <c r="B927" s="345" t="s">
        <v>884</v>
      </c>
      <c r="C927" s="345" t="s">
        <v>1296</v>
      </c>
      <c r="D927" s="345" t="s">
        <v>850</v>
      </c>
      <c r="E927" s="346" t="s">
        <v>851</v>
      </c>
      <c r="F927" s="347">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5" t="s">
        <v>1332</v>
      </c>
      <c r="B929" s="345" t="s">
        <v>1091</v>
      </c>
      <c r="C929" s="345" t="s">
        <v>1333</v>
      </c>
      <c r="D929" s="345"/>
      <c r="E929" s="346" t="s">
        <v>1094</v>
      </c>
      <c r="F929" s="347">
        <v>1059595374</v>
      </c>
      <c r="G929" s="43"/>
    </row>
    <row r="930" spans="1:7" ht="30" x14ac:dyDescent="0.25">
      <c r="A930" s="43" t="s">
        <v>874</v>
      </c>
      <c r="B930" s="43" t="s">
        <v>943</v>
      </c>
      <c r="C930" s="43" t="s">
        <v>1340</v>
      </c>
      <c r="D930" s="43"/>
      <c r="E930" s="109" t="s">
        <v>1094</v>
      </c>
      <c r="F930" s="110">
        <v>1059597393</v>
      </c>
      <c r="G930" s="43"/>
    </row>
    <row r="931" spans="1:7" ht="30" x14ac:dyDescent="0.25">
      <c r="A931" s="345" t="s">
        <v>914</v>
      </c>
      <c r="B931" s="345" t="s">
        <v>915</v>
      </c>
      <c r="C931" s="345" t="s">
        <v>916</v>
      </c>
      <c r="D931" s="345"/>
      <c r="E931" s="346" t="s">
        <v>1094</v>
      </c>
      <c r="F931" s="347">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5" t="s">
        <v>1286</v>
      </c>
      <c r="B933" s="345" t="s">
        <v>914</v>
      </c>
      <c r="C933" s="345" t="s">
        <v>1198</v>
      </c>
      <c r="D933" s="345" t="s">
        <v>1364</v>
      </c>
      <c r="E933" s="346" t="s">
        <v>851</v>
      </c>
      <c r="F933" s="347">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5" t="s">
        <v>979</v>
      </c>
      <c r="B935" s="345" t="s">
        <v>943</v>
      </c>
      <c r="C935" s="345" t="s">
        <v>1217</v>
      </c>
      <c r="D935" s="345" t="s">
        <v>1398</v>
      </c>
      <c r="E935" s="346" t="s">
        <v>851</v>
      </c>
      <c r="F935" s="347">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5" t="s">
        <v>1034</v>
      </c>
      <c r="B937" s="345" t="s">
        <v>1166</v>
      </c>
      <c r="C937" s="345" t="s">
        <v>1408</v>
      </c>
      <c r="D937" s="345" t="s">
        <v>1409</v>
      </c>
      <c r="E937" s="346" t="s">
        <v>851</v>
      </c>
      <c r="F937" s="347">
        <v>1005860830</v>
      </c>
      <c r="G937" s="43"/>
    </row>
    <row r="938" spans="1:7" ht="30" x14ac:dyDescent="0.25">
      <c r="A938" s="43" t="s">
        <v>848</v>
      </c>
      <c r="B938" s="43" t="s">
        <v>943</v>
      </c>
      <c r="C938" s="43" t="s">
        <v>1423</v>
      </c>
      <c r="D938" s="43"/>
      <c r="E938" s="109" t="s">
        <v>851</v>
      </c>
      <c r="F938" s="110">
        <v>1193097625</v>
      </c>
      <c r="G938" s="43"/>
    </row>
    <row r="939" spans="1:7" ht="30" x14ac:dyDescent="0.25">
      <c r="A939" s="345" t="s">
        <v>1427</v>
      </c>
      <c r="B939" s="345" t="s">
        <v>1428</v>
      </c>
      <c r="C939" s="345" t="s">
        <v>1429</v>
      </c>
      <c r="D939" s="345" t="s">
        <v>1430</v>
      </c>
      <c r="E939" s="346" t="s">
        <v>851</v>
      </c>
      <c r="F939" s="347">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5" t="s">
        <v>1439</v>
      </c>
      <c r="B941" s="345" t="s">
        <v>884</v>
      </c>
      <c r="C941" s="345" t="s">
        <v>1440</v>
      </c>
      <c r="D941" s="345" t="s">
        <v>1294</v>
      </c>
      <c r="E941" s="346" t="s">
        <v>851</v>
      </c>
      <c r="F941" s="347">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5" t="s">
        <v>1441</v>
      </c>
      <c r="B943" s="345" t="s">
        <v>914</v>
      </c>
      <c r="C943" s="345" t="s">
        <v>1451</v>
      </c>
      <c r="D943" s="345"/>
      <c r="E943" s="346" t="s">
        <v>851</v>
      </c>
      <c r="F943" s="347">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5" t="s">
        <v>1455</v>
      </c>
      <c r="B945" s="345" t="s">
        <v>974</v>
      </c>
      <c r="C945" s="345" t="s">
        <v>1305</v>
      </c>
      <c r="D945" s="345" t="s">
        <v>1456</v>
      </c>
      <c r="E945" s="346" t="s">
        <v>1094</v>
      </c>
      <c r="F945" s="347">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5" t="s">
        <v>964</v>
      </c>
      <c r="B947" s="345" t="s">
        <v>1465</v>
      </c>
      <c r="C947" s="345" t="s">
        <v>1002</v>
      </c>
      <c r="D947" s="345" t="s">
        <v>1366</v>
      </c>
      <c r="E947" s="346" t="s">
        <v>1094</v>
      </c>
      <c r="F947" s="347">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5" t="s">
        <v>884</v>
      </c>
      <c r="B949" s="345" t="s">
        <v>914</v>
      </c>
      <c r="C949" s="345" t="s">
        <v>1479</v>
      </c>
      <c r="D949" s="345" t="s">
        <v>1480</v>
      </c>
      <c r="E949" s="346" t="s">
        <v>851</v>
      </c>
      <c r="F949" s="347">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5" t="s">
        <v>914</v>
      </c>
      <c r="B951" s="345" t="s">
        <v>848</v>
      </c>
      <c r="C951" s="345" t="s">
        <v>1485</v>
      </c>
      <c r="D951" s="345" t="s">
        <v>1285</v>
      </c>
      <c r="E951" s="346" t="s">
        <v>851</v>
      </c>
      <c r="F951" s="347" t="s">
        <v>1486</v>
      </c>
      <c r="G951" s="43"/>
    </row>
    <row r="952" spans="1:7" ht="30" x14ac:dyDescent="0.25">
      <c r="A952" s="43" t="s">
        <v>974</v>
      </c>
      <c r="B952" s="43" t="s">
        <v>943</v>
      </c>
      <c r="C952" s="43" t="s">
        <v>1217</v>
      </c>
      <c r="D952" s="43" t="s">
        <v>1490</v>
      </c>
      <c r="E952" s="109" t="s">
        <v>851</v>
      </c>
      <c r="F952" s="110" t="s">
        <v>1491</v>
      </c>
      <c r="G952" s="43"/>
    </row>
    <row r="953" spans="1:7" ht="30" x14ac:dyDescent="0.25">
      <c r="A953" s="345" t="s">
        <v>967</v>
      </c>
      <c r="B953" s="345" t="s">
        <v>980</v>
      </c>
      <c r="C953" s="345" t="s">
        <v>1492</v>
      </c>
      <c r="D953" s="345"/>
      <c r="E953" s="346" t="s">
        <v>851</v>
      </c>
      <c r="F953" s="347" t="s">
        <v>1493</v>
      </c>
      <c r="G953" s="43"/>
    </row>
    <row r="954" spans="1:7" ht="30" x14ac:dyDescent="0.25">
      <c r="A954" s="43" t="s">
        <v>992</v>
      </c>
      <c r="B954" s="43" t="s">
        <v>1498</v>
      </c>
      <c r="C954" s="43" t="s">
        <v>938</v>
      </c>
      <c r="D954" s="43" t="s">
        <v>1499</v>
      </c>
      <c r="E954" s="109" t="s">
        <v>851</v>
      </c>
      <c r="F954" s="110" t="s">
        <v>1500</v>
      </c>
      <c r="G954" s="43"/>
    </row>
    <row r="955" spans="1:7" ht="30" x14ac:dyDescent="0.25">
      <c r="A955" s="345" t="s">
        <v>848</v>
      </c>
      <c r="B955" s="345" t="s">
        <v>953</v>
      </c>
      <c r="C955" s="345" t="s">
        <v>1501</v>
      </c>
      <c r="D955" s="345" t="s">
        <v>919</v>
      </c>
      <c r="E955" s="346" t="s">
        <v>851</v>
      </c>
      <c r="F955" s="347" t="s">
        <v>1502</v>
      </c>
      <c r="G955" s="43"/>
    </row>
    <row r="956" spans="1:7" ht="30" x14ac:dyDescent="0.25">
      <c r="A956" s="43" t="s">
        <v>1507</v>
      </c>
      <c r="B956" s="43" t="s">
        <v>1365</v>
      </c>
      <c r="C956" s="43" t="s">
        <v>1508</v>
      </c>
      <c r="D956" s="43"/>
      <c r="E956" s="109" t="s">
        <v>851</v>
      </c>
      <c r="F956" s="110">
        <v>1059600322</v>
      </c>
      <c r="G956" s="43"/>
    </row>
    <row r="957" spans="1:7" ht="30" x14ac:dyDescent="0.25">
      <c r="A957" s="345" t="s">
        <v>1041</v>
      </c>
      <c r="B957" s="345" t="s">
        <v>1147</v>
      </c>
      <c r="C957" s="345" t="s">
        <v>1512</v>
      </c>
      <c r="D957" s="345"/>
      <c r="E957" s="346" t="s">
        <v>851</v>
      </c>
      <c r="F957" s="347">
        <v>1059604976</v>
      </c>
      <c r="G957" s="43"/>
    </row>
    <row r="958" spans="1:7" ht="30" x14ac:dyDescent="0.25">
      <c r="A958" s="43" t="s">
        <v>1513</v>
      </c>
      <c r="B958" s="43" t="s">
        <v>1514</v>
      </c>
      <c r="C958" s="43" t="s">
        <v>1515</v>
      </c>
      <c r="D958" s="43"/>
      <c r="E958" s="109" t="s">
        <v>851</v>
      </c>
      <c r="F958" s="110">
        <v>1067461286</v>
      </c>
      <c r="G958" s="43"/>
    </row>
    <row r="959" spans="1:7" ht="30" x14ac:dyDescent="0.25">
      <c r="A959" s="345" t="s">
        <v>1519</v>
      </c>
      <c r="B959" s="345" t="s">
        <v>848</v>
      </c>
      <c r="C959" s="345" t="s">
        <v>1520</v>
      </c>
      <c r="D959" s="345" t="s">
        <v>1521</v>
      </c>
      <c r="E959" s="346" t="s">
        <v>851</v>
      </c>
      <c r="F959" s="347">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5" t="s">
        <v>1361</v>
      </c>
      <c r="B961" s="345" t="s">
        <v>992</v>
      </c>
      <c r="C961" s="345" t="s">
        <v>1531</v>
      </c>
      <c r="D961" s="345"/>
      <c r="E961" s="346" t="s">
        <v>851</v>
      </c>
      <c r="F961" s="347">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5" t="s">
        <v>884</v>
      </c>
      <c r="B963" s="345" t="s">
        <v>1144</v>
      </c>
      <c r="C963" s="345" t="s">
        <v>1534</v>
      </c>
      <c r="D963" s="345"/>
      <c r="E963" s="346" t="s">
        <v>851</v>
      </c>
      <c r="F963" s="353">
        <v>1002846626</v>
      </c>
      <c r="G963" s="43"/>
    </row>
    <row r="964" spans="1:7" ht="30" x14ac:dyDescent="0.25">
      <c r="A964" s="43" t="s">
        <v>1246</v>
      </c>
      <c r="B964" s="43" t="s">
        <v>943</v>
      </c>
      <c r="C964" s="43" t="s">
        <v>1535</v>
      </c>
      <c r="D964" s="43"/>
      <c r="E964" s="109" t="s">
        <v>851</v>
      </c>
      <c r="F964" s="354">
        <v>1002848307</v>
      </c>
      <c r="G964" s="43"/>
    </row>
    <row r="965" spans="1:7" ht="30" x14ac:dyDescent="0.25">
      <c r="A965" s="345" t="s">
        <v>873</v>
      </c>
      <c r="B965" s="345" t="s">
        <v>1091</v>
      </c>
      <c r="C965" s="345" t="s">
        <v>1277</v>
      </c>
      <c r="D965" s="345"/>
      <c r="E965" s="346" t="s">
        <v>851</v>
      </c>
      <c r="F965" s="355">
        <v>1059598472</v>
      </c>
      <c r="G965" s="43"/>
    </row>
    <row r="966" spans="1:7" ht="30" x14ac:dyDescent="0.25">
      <c r="A966" s="43" t="s">
        <v>896</v>
      </c>
      <c r="B966" s="43" t="s">
        <v>1091</v>
      </c>
      <c r="C966" s="43" t="s">
        <v>1538</v>
      </c>
      <c r="D966" s="43"/>
      <c r="E966" s="109" t="s">
        <v>851</v>
      </c>
      <c r="F966" s="110">
        <v>1002846350</v>
      </c>
      <c r="G966" s="43"/>
    </row>
    <row r="967" spans="1:7" ht="30" x14ac:dyDescent="0.25">
      <c r="A967" s="345" t="s">
        <v>896</v>
      </c>
      <c r="B967" s="345" t="s">
        <v>953</v>
      </c>
      <c r="C967" s="345" t="s">
        <v>1217</v>
      </c>
      <c r="D967" s="345" t="s">
        <v>1471</v>
      </c>
      <c r="E967" s="346" t="s">
        <v>851</v>
      </c>
      <c r="F967" s="353">
        <v>1059602285</v>
      </c>
      <c r="G967" s="43"/>
    </row>
    <row r="968" spans="1:7" ht="30" x14ac:dyDescent="0.25">
      <c r="A968" s="43" t="s">
        <v>1540</v>
      </c>
      <c r="B968" s="43" t="s">
        <v>943</v>
      </c>
      <c r="C968" s="43" t="s">
        <v>1541</v>
      </c>
      <c r="D968" s="43" t="s">
        <v>1542</v>
      </c>
      <c r="E968" s="109" t="s">
        <v>851</v>
      </c>
      <c r="F968" s="356" t="s">
        <v>1539</v>
      </c>
      <c r="G968" s="43"/>
    </row>
    <row r="969" spans="1:7" ht="30" x14ac:dyDescent="0.25">
      <c r="A969" s="345" t="s">
        <v>1144</v>
      </c>
      <c r="B969" s="345" t="s">
        <v>996</v>
      </c>
      <c r="C969" s="345" t="s">
        <v>1192</v>
      </c>
      <c r="D969" s="345"/>
      <c r="E969" s="346" t="s">
        <v>851</v>
      </c>
      <c r="F969" s="353">
        <v>1059604012</v>
      </c>
      <c r="G969" s="43"/>
    </row>
    <row r="970" spans="1:7" ht="30" x14ac:dyDescent="0.25">
      <c r="A970" s="43" t="s">
        <v>896</v>
      </c>
      <c r="B970" s="43" t="s">
        <v>953</v>
      </c>
      <c r="C970" s="43" t="s">
        <v>1545</v>
      </c>
      <c r="D970" s="43"/>
      <c r="E970" s="109" t="s">
        <v>851</v>
      </c>
      <c r="F970" s="110">
        <v>25545389</v>
      </c>
      <c r="G970" s="43"/>
    </row>
    <row r="971" spans="1:7" ht="30" x14ac:dyDescent="0.25">
      <c r="A971" s="345" t="s">
        <v>1549</v>
      </c>
      <c r="B971" s="345" t="s">
        <v>1298</v>
      </c>
      <c r="C971" s="345" t="s">
        <v>1550</v>
      </c>
      <c r="D971" s="345" t="s">
        <v>1551</v>
      </c>
      <c r="E971" s="346" t="s">
        <v>851</v>
      </c>
      <c r="F971" s="358" t="s">
        <v>1548</v>
      </c>
      <c r="G971" s="43"/>
    </row>
    <row r="972" spans="1:7" x14ac:dyDescent="0.25">
      <c r="A972" s="43" t="s">
        <v>943</v>
      </c>
      <c r="B972" s="43" t="s">
        <v>848</v>
      </c>
      <c r="C972" s="43" t="s">
        <v>1553</v>
      </c>
      <c r="D972" s="43"/>
      <c r="E972" s="109"/>
      <c r="F972" s="110">
        <v>1059594153</v>
      </c>
      <c r="G972" s="43"/>
    </row>
    <row r="973" spans="1:7" ht="30" x14ac:dyDescent="0.25">
      <c r="A973" s="345" t="s">
        <v>943</v>
      </c>
      <c r="B973" s="345" t="s">
        <v>1144</v>
      </c>
      <c r="C973" s="345" t="s">
        <v>1504</v>
      </c>
      <c r="D973" s="345" t="s">
        <v>1281</v>
      </c>
      <c r="E973" s="346" t="s">
        <v>1094</v>
      </c>
      <c r="F973" s="347">
        <v>1059599329</v>
      </c>
      <c r="G973" s="43"/>
    </row>
    <row r="974" spans="1:7" ht="30" x14ac:dyDescent="0.25">
      <c r="A974" s="43" t="s">
        <v>996</v>
      </c>
      <c r="B974" s="43" t="s">
        <v>1559</v>
      </c>
      <c r="C974" s="43" t="s">
        <v>1560</v>
      </c>
      <c r="D974" s="43"/>
      <c r="E974" s="109" t="s">
        <v>851</v>
      </c>
      <c r="F974" s="110">
        <v>25552089</v>
      </c>
      <c r="G974" s="43"/>
    </row>
    <row r="975" spans="1:7" ht="30" x14ac:dyDescent="0.25">
      <c r="A975" s="345" t="s">
        <v>1361</v>
      </c>
      <c r="B975" s="345" t="s">
        <v>1470</v>
      </c>
      <c r="C975" s="345" t="s">
        <v>1553</v>
      </c>
      <c r="D975" s="345"/>
      <c r="E975" s="346" t="s">
        <v>851</v>
      </c>
      <c r="F975" s="347">
        <v>1059595865</v>
      </c>
      <c r="G975" s="43"/>
    </row>
    <row r="976" spans="1:7" ht="30" x14ac:dyDescent="0.25">
      <c r="A976" s="43" t="s">
        <v>953</v>
      </c>
      <c r="B976" s="43" t="s">
        <v>1378</v>
      </c>
      <c r="C976" s="43" t="s">
        <v>1617</v>
      </c>
      <c r="D976" s="43"/>
      <c r="E976" s="109" t="s">
        <v>851</v>
      </c>
      <c r="F976" s="110">
        <v>1059606238</v>
      </c>
      <c r="G976" s="43"/>
    </row>
    <row r="977" spans="1:7" ht="30" x14ac:dyDescent="0.25">
      <c r="A977" s="345" t="s">
        <v>874</v>
      </c>
      <c r="B977" s="345" t="s">
        <v>873</v>
      </c>
      <c r="C977" s="345" t="s">
        <v>1635</v>
      </c>
      <c r="D977" s="345" t="s">
        <v>1294</v>
      </c>
      <c r="E977" s="346" t="s">
        <v>1094</v>
      </c>
      <c r="F977" s="347">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5" t="s">
        <v>896</v>
      </c>
      <c r="B979" s="345" t="s">
        <v>953</v>
      </c>
      <c r="C979" s="345" t="s">
        <v>1634</v>
      </c>
      <c r="D979" s="345"/>
      <c r="E979" s="346"/>
      <c r="F979" s="347">
        <v>1002848733</v>
      </c>
      <c r="G979" s="43"/>
    </row>
    <row r="980" spans="1:7" ht="30" x14ac:dyDescent="0.25">
      <c r="A980" s="43" t="s">
        <v>896</v>
      </c>
      <c r="B980" s="43" t="s">
        <v>915</v>
      </c>
      <c r="C980" s="43" t="s">
        <v>1585</v>
      </c>
      <c r="D980" s="43"/>
      <c r="E980" s="109" t="s">
        <v>851</v>
      </c>
      <c r="F980" s="110">
        <v>1059595460</v>
      </c>
      <c r="G980" s="43"/>
    </row>
    <row r="981" spans="1:7" ht="30" x14ac:dyDescent="0.25">
      <c r="A981" s="345" t="s">
        <v>873</v>
      </c>
      <c r="B981" s="345" t="s">
        <v>874</v>
      </c>
      <c r="C981" s="345" t="s">
        <v>1215</v>
      </c>
      <c r="D981" s="345"/>
      <c r="E981" s="346" t="s">
        <v>851</v>
      </c>
      <c r="F981" s="347">
        <v>1002849181</v>
      </c>
      <c r="G981" s="43"/>
    </row>
    <row r="982" spans="1:7" ht="30" x14ac:dyDescent="0.25">
      <c r="A982" s="43" t="s">
        <v>1156</v>
      </c>
      <c r="B982" s="43" t="s">
        <v>884</v>
      </c>
      <c r="C982" s="43" t="s">
        <v>1481</v>
      </c>
      <c r="D982" s="43" t="s">
        <v>1482</v>
      </c>
      <c r="E982" s="109" t="s">
        <v>851</v>
      </c>
      <c r="F982" s="357" t="s">
        <v>1483</v>
      </c>
      <c r="G982" s="43"/>
    </row>
    <row r="983" spans="1:7" ht="30" x14ac:dyDescent="0.25">
      <c r="A983" s="345" t="s">
        <v>953</v>
      </c>
      <c r="B983" s="345" t="s">
        <v>1286</v>
      </c>
      <c r="C983" s="345" t="s">
        <v>1463</v>
      </c>
      <c r="D983" s="345" t="s">
        <v>1579</v>
      </c>
      <c r="E983" s="346" t="s">
        <v>851</v>
      </c>
      <c r="F983" s="359" t="s">
        <v>1578</v>
      </c>
      <c r="G983" s="43"/>
    </row>
    <row r="984" spans="1:7" ht="30" x14ac:dyDescent="0.25">
      <c r="A984" s="43" t="s">
        <v>1580</v>
      </c>
      <c r="B984" s="43" t="s">
        <v>914</v>
      </c>
      <c r="C984" s="43" t="s">
        <v>1581</v>
      </c>
      <c r="D984" s="43" t="s">
        <v>1464</v>
      </c>
      <c r="E984" s="109" t="s">
        <v>851</v>
      </c>
      <c r="F984" s="356">
        <v>1002846447</v>
      </c>
      <c r="G984" s="43"/>
    </row>
    <row r="985" spans="1:7" ht="30" x14ac:dyDescent="0.25">
      <c r="A985" s="345" t="s">
        <v>1583</v>
      </c>
      <c r="B985" s="345" t="s">
        <v>873</v>
      </c>
      <c r="C985" s="345" t="s">
        <v>1584</v>
      </c>
      <c r="D985" s="345"/>
      <c r="E985" s="346" t="s">
        <v>851</v>
      </c>
      <c r="F985" s="359" t="s">
        <v>1582</v>
      </c>
      <c r="G985" s="43"/>
    </row>
    <row r="986" spans="1:7" ht="30" x14ac:dyDescent="0.25">
      <c r="A986" s="43" t="s">
        <v>1322</v>
      </c>
      <c r="B986" s="43" t="s">
        <v>1378</v>
      </c>
      <c r="C986" s="43" t="s">
        <v>1587</v>
      </c>
      <c r="D986" s="43"/>
      <c r="E986" s="109" t="s">
        <v>851</v>
      </c>
      <c r="F986" s="356" t="s">
        <v>1586</v>
      </c>
      <c r="G986" s="43"/>
    </row>
    <row r="987" spans="1:7" ht="30" x14ac:dyDescent="0.25">
      <c r="A987" s="345" t="s">
        <v>1590</v>
      </c>
      <c r="B987" s="345" t="s">
        <v>874</v>
      </c>
      <c r="C987" s="345" t="s">
        <v>1591</v>
      </c>
      <c r="D987" s="345"/>
      <c r="E987" s="346" t="s">
        <v>851</v>
      </c>
      <c r="F987" s="359" t="s">
        <v>1589</v>
      </c>
      <c r="G987" s="43"/>
    </row>
    <row r="988" spans="1:7" ht="30" x14ac:dyDescent="0.25">
      <c r="A988" s="43" t="s">
        <v>1286</v>
      </c>
      <c r="B988" s="43" t="s">
        <v>1594</v>
      </c>
      <c r="C988" s="43" t="s">
        <v>1420</v>
      </c>
      <c r="D988" s="43"/>
      <c r="E988" s="109" t="s">
        <v>1094</v>
      </c>
      <c r="F988" s="356" t="s">
        <v>1593</v>
      </c>
      <c r="G988" s="43"/>
    </row>
    <row r="989" spans="1:7" ht="30" x14ac:dyDescent="0.25">
      <c r="A989" s="345" t="s">
        <v>1598</v>
      </c>
      <c r="B989" s="345" t="s">
        <v>1599</v>
      </c>
      <c r="C989" s="345" t="s">
        <v>1597</v>
      </c>
      <c r="D989" s="345"/>
      <c r="E989" s="346" t="s">
        <v>851</v>
      </c>
      <c r="F989" s="347">
        <v>1002846452</v>
      </c>
      <c r="G989" s="43"/>
    </row>
    <row r="990" spans="1:7" ht="30" x14ac:dyDescent="0.25">
      <c r="A990" s="43" t="s">
        <v>914</v>
      </c>
      <c r="B990" s="43" t="s">
        <v>1601</v>
      </c>
      <c r="C990" s="43" t="s">
        <v>1602</v>
      </c>
      <c r="D990" s="43"/>
      <c r="E990" s="109" t="s">
        <v>851</v>
      </c>
      <c r="F990" s="110">
        <v>1003370775</v>
      </c>
      <c r="G990" s="43"/>
    </row>
    <row r="991" spans="1:7" ht="30" x14ac:dyDescent="0.25">
      <c r="A991" s="345" t="s">
        <v>896</v>
      </c>
      <c r="B991" s="345" t="s">
        <v>992</v>
      </c>
      <c r="C991" s="345" t="s">
        <v>1530</v>
      </c>
      <c r="D991" s="345" t="s">
        <v>1357</v>
      </c>
      <c r="E991" s="346" t="s">
        <v>851</v>
      </c>
      <c r="F991" s="347">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5" t="s">
        <v>914</v>
      </c>
      <c r="B993" s="345" t="s">
        <v>943</v>
      </c>
      <c r="C993" s="345" t="s">
        <v>1198</v>
      </c>
      <c r="D993" s="345"/>
      <c r="E993" s="346" t="s">
        <v>851</v>
      </c>
      <c r="F993" s="347">
        <v>1059605317</v>
      </c>
      <c r="G993" s="43"/>
    </row>
    <row r="994" spans="1:7" ht="30" x14ac:dyDescent="0.25">
      <c r="A994" s="43" t="s">
        <v>1439</v>
      </c>
      <c r="B994" s="43" t="s">
        <v>848</v>
      </c>
      <c r="C994" s="43" t="s">
        <v>1437</v>
      </c>
      <c r="D994" s="43"/>
      <c r="E994" s="109" t="s">
        <v>851</v>
      </c>
      <c r="F994" s="110">
        <v>1059595628</v>
      </c>
      <c r="G994" s="43"/>
    </row>
    <row r="995" spans="1:7" ht="30" x14ac:dyDescent="0.25">
      <c r="A995" s="345" t="s">
        <v>873</v>
      </c>
      <c r="B995" s="345" t="s">
        <v>874</v>
      </c>
      <c r="C995" s="345" t="s">
        <v>1612</v>
      </c>
      <c r="D995" s="345" t="s">
        <v>1613</v>
      </c>
      <c r="E995" s="346" t="s">
        <v>851</v>
      </c>
      <c r="F995" s="347">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5" t="s">
        <v>980</v>
      </c>
      <c r="B997" s="345" t="s">
        <v>914</v>
      </c>
      <c r="C997" s="345" t="s">
        <v>1623</v>
      </c>
      <c r="D997" s="345"/>
      <c r="E997" s="346" t="s">
        <v>851</v>
      </c>
      <c r="F997" s="347">
        <v>1059596737</v>
      </c>
      <c r="G997" s="43"/>
    </row>
    <row r="998" spans="1:7" ht="30" x14ac:dyDescent="0.25">
      <c r="A998" s="43" t="s">
        <v>884</v>
      </c>
      <c r="B998" s="43" t="s">
        <v>1286</v>
      </c>
      <c r="C998" s="43" t="s">
        <v>1452</v>
      </c>
      <c r="D998" s="43"/>
      <c r="E998" s="109" t="s">
        <v>851</v>
      </c>
      <c r="F998" s="110">
        <v>25546688</v>
      </c>
      <c r="G998" s="43"/>
    </row>
    <row r="999" spans="1:7" ht="30" x14ac:dyDescent="0.25">
      <c r="A999" s="345" t="s">
        <v>1629</v>
      </c>
      <c r="B999" s="345" t="s">
        <v>1249</v>
      </c>
      <c r="C999" s="345" t="s">
        <v>1630</v>
      </c>
      <c r="D999" s="345"/>
      <c r="E999" s="346" t="s">
        <v>851</v>
      </c>
      <c r="F999" s="345">
        <v>1059601748</v>
      </c>
      <c r="G999" s="43"/>
    </row>
    <row r="1000" spans="1:7" ht="30" x14ac:dyDescent="0.25">
      <c r="A1000" s="43" t="s">
        <v>896</v>
      </c>
      <c r="B1000" s="43" t="s">
        <v>1632</v>
      </c>
      <c r="C1000" s="43" t="s">
        <v>1633</v>
      </c>
      <c r="D1000" s="43"/>
      <c r="E1000" s="109" t="s">
        <v>851</v>
      </c>
      <c r="F1000" s="360" t="s">
        <v>1631</v>
      </c>
      <c r="G1000" s="43"/>
    </row>
    <row r="1001" spans="1:7" ht="30" x14ac:dyDescent="0.25">
      <c r="A1001" s="345" t="s">
        <v>1637</v>
      </c>
      <c r="B1001" s="345" t="s">
        <v>1638</v>
      </c>
      <c r="C1001" s="345" t="s">
        <v>1028</v>
      </c>
      <c r="D1001" s="345"/>
      <c r="E1001" s="346" t="s">
        <v>851</v>
      </c>
      <c r="F1001" s="358">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5" t="s">
        <v>1439</v>
      </c>
      <c r="B1003" s="345" t="s">
        <v>848</v>
      </c>
      <c r="C1003" s="345" t="s">
        <v>1437</v>
      </c>
      <c r="D1003" s="345"/>
      <c r="E1003" s="346" t="s">
        <v>851</v>
      </c>
      <c r="F1003" s="347">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5" t="s">
        <v>848</v>
      </c>
      <c r="B1005" s="345" t="s">
        <v>1034</v>
      </c>
      <c r="C1005" s="345" t="s">
        <v>1612</v>
      </c>
      <c r="D1005" s="345" t="s">
        <v>1662</v>
      </c>
      <c r="E1005" s="346" t="s">
        <v>851</v>
      </c>
      <c r="F1005" s="347">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5" t="s">
        <v>980</v>
      </c>
      <c r="B1007" s="345" t="s">
        <v>1666</v>
      </c>
      <c r="C1007" s="345" t="s">
        <v>1287</v>
      </c>
      <c r="D1007" s="345" t="s">
        <v>919</v>
      </c>
      <c r="E1007" s="346" t="s">
        <v>851</v>
      </c>
      <c r="F1007" s="347">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5" t="s">
        <v>1210</v>
      </c>
      <c r="B1009" s="345" t="s">
        <v>848</v>
      </c>
      <c r="C1009" s="345" t="s">
        <v>1670</v>
      </c>
      <c r="D1009" s="345" t="s">
        <v>1671</v>
      </c>
      <c r="E1009" s="346" t="s">
        <v>851</v>
      </c>
      <c r="F1009" s="347">
        <v>1059602883</v>
      </c>
      <c r="G1009" s="43"/>
    </row>
    <row r="1010" spans="1:7" ht="30" x14ac:dyDescent="0.25">
      <c r="A1010" s="43" t="s">
        <v>943</v>
      </c>
      <c r="B1010" s="43" t="s">
        <v>848</v>
      </c>
      <c r="C1010" s="43" t="s">
        <v>1673</v>
      </c>
      <c r="D1010" s="43" t="s">
        <v>1674</v>
      </c>
      <c r="E1010" s="109" t="s">
        <v>851</v>
      </c>
      <c r="F1010" s="361" t="s">
        <v>1672</v>
      </c>
      <c r="G1010" s="43"/>
    </row>
    <row r="1011" spans="1:7" ht="30" x14ac:dyDescent="0.25">
      <c r="A1011" s="345" t="s">
        <v>1677</v>
      </c>
      <c r="B1011" s="345" t="s">
        <v>962</v>
      </c>
      <c r="C1011" s="345" t="s">
        <v>1678</v>
      </c>
      <c r="D1011" s="345" t="s">
        <v>1679</v>
      </c>
      <c r="E1011" s="346" t="s">
        <v>1094</v>
      </c>
      <c r="F1011" s="362" t="s">
        <v>1676</v>
      </c>
      <c r="G1011" s="43"/>
    </row>
    <row r="1012" spans="1:7" ht="30" x14ac:dyDescent="0.25">
      <c r="A1012" s="43" t="s">
        <v>1286</v>
      </c>
      <c r="B1012" s="43" t="s">
        <v>943</v>
      </c>
      <c r="C1012" s="43" t="s">
        <v>1681</v>
      </c>
      <c r="D1012" s="43"/>
      <c r="E1012" s="109" t="s">
        <v>851</v>
      </c>
      <c r="F1012" s="363" t="s">
        <v>1680</v>
      </c>
      <c r="G1012" s="43"/>
    </row>
    <row r="1013" spans="1:7" ht="30" x14ac:dyDescent="0.25">
      <c r="A1013" s="345" t="s">
        <v>848</v>
      </c>
      <c r="B1013" s="345" t="s">
        <v>914</v>
      </c>
      <c r="C1013" s="345" t="s">
        <v>1683</v>
      </c>
      <c r="D1013" s="345"/>
      <c r="E1013" s="346" t="s">
        <v>851</v>
      </c>
      <c r="F1013" s="362" t="s">
        <v>1682</v>
      </c>
      <c r="G1013" s="43"/>
    </row>
    <row r="1014" spans="1:7" x14ac:dyDescent="0.25">
      <c r="A1014" s="423" t="s">
        <v>1711</v>
      </c>
      <c r="B1014" s="423"/>
      <c r="C1014" s="423"/>
      <c r="D1014" s="423"/>
      <c r="E1014" s="423"/>
      <c r="F1014" s="423"/>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5" t="s">
        <v>953</v>
      </c>
      <c r="B1017" s="345" t="s">
        <v>1316</v>
      </c>
      <c r="C1017" s="345" t="s">
        <v>1317</v>
      </c>
      <c r="D1017" s="345" t="s">
        <v>1028</v>
      </c>
      <c r="E1017" s="346" t="s">
        <v>851</v>
      </c>
      <c r="F1017" s="347">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5" t="s">
        <v>1382</v>
      </c>
      <c r="B1019" s="345" t="s">
        <v>1382</v>
      </c>
      <c r="C1019" s="345" t="s">
        <v>1383</v>
      </c>
      <c r="D1019" s="345"/>
      <c r="E1019" s="346" t="s">
        <v>851</v>
      </c>
      <c r="F1019" s="347">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5" t="s">
        <v>1439</v>
      </c>
      <c r="B1021" s="345" t="s">
        <v>884</v>
      </c>
      <c r="C1021" s="345" t="s">
        <v>1440</v>
      </c>
      <c r="D1021" s="345" t="s">
        <v>1294</v>
      </c>
      <c r="E1021" s="346" t="s">
        <v>851</v>
      </c>
      <c r="F1021" s="347">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5" t="s">
        <v>1441</v>
      </c>
      <c r="B1023" s="345" t="s">
        <v>914</v>
      </c>
      <c r="C1023" s="345" t="s">
        <v>1451</v>
      </c>
      <c r="D1023" s="345"/>
      <c r="E1023" s="346" t="s">
        <v>851</v>
      </c>
      <c r="F1023" s="347">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5" t="s">
        <v>943</v>
      </c>
      <c r="B1025" s="345" t="s">
        <v>1144</v>
      </c>
      <c r="C1025" s="345" t="s">
        <v>1468</v>
      </c>
      <c r="D1025" s="345" t="s">
        <v>1281</v>
      </c>
      <c r="E1025" s="346" t="s">
        <v>851</v>
      </c>
      <c r="F1025" s="347">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5" t="s">
        <v>884</v>
      </c>
      <c r="B1027" s="345" t="s">
        <v>1378</v>
      </c>
      <c r="C1027" s="345" t="s">
        <v>1494</v>
      </c>
      <c r="D1027" s="345" t="s">
        <v>1495</v>
      </c>
      <c r="E1027" s="346" t="s">
        <v>851</v>
      </c>
      <c r="F1027" s="347"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5" t="s">
        <v>992</v>
      </c>
      <c r="B1029" s="345" t="s">
        <v>848</v>
      </c>
      <c r="C1029" s="345" t="s">
        <v>1504</v>
      </c>
      <c r="D1029" s="345" t="s">
        <v>1157</v>
      </c>
      <c r="E1029" s="346" t="s">
        <v>851</v>
      </c>
      <c r="F1029" s="347">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5" t="s">
        <v>1041</v>
      </c>
      <c r="B1031" s="345" t="s">
        <v>1147</v>
      </c>
      <c r="C1031" s="345" t="s">
        <v>1512</v>
      </c>
      <c r="D1031" s="345"/>
      <c r="E1031" s="346" t="s">
        <v>851</v>
      </c>
      <c r="F1031" s="347">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5" t="s">
        <v>1519</v>
      </c>
      <c r="B1033" s="345" t="s">
        <v>848</v>
      </c>
      <c r="C1033" s="345" t="s">
        <v>1520</v>
      </c>
      <c r="D1033" s="345" t="s">
        <v>1521</v>
      </c>
      <c r="E1033" s="346" t="s">
        <v>851</v>
      </c>
      <c r="F1033" s="347">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5" t="s">
        <v>884</v>
      </c>
      <c r="B1035" s="345" t="s">
        <v>1144</v>
      </c>
      <c r="C1035" s="345" t="s">
        <v>1534</v>
      </c>
      <c r="D1035" s="345"/>
      <c r="E1035" s="346" t="s">
        <v>851</v>
      </c>
      <c r="F1035" s="353">
        <v>1002846626</v>
      </c>
      <c r="G1035" s="43"/>
    </row>
    <row r="1036" spans="1:7" ht="30" x14ac:dyDescent="0.25">
      <c r="A1036" s="43" t="s">
        <v>1246</v>
      </c>
      <c r="B1036" s="43" t="s">
        <v>943</v>
      </c>
      <c r="C1036" s="43" t="s">
        <v>1535</v>
      </c>
      <c r="D1036" s="43"/>
      <c r="E1036" s="109" t="s">
        <v>851</v>
      </c>
      <c r="F1036" s="354">
        <v>1002848307</v>
      </c>
      <c r="G1036" s="43"/>
    </row>
    <row r="1037" spans="1:7" ht="30" x14ac:dyDescent="0.25">
      <c r="A1037" s="345" t="s">
        <v>873</v>
      </c>
      <c r="B1037" s="345" t="s">
        <v>1091</v>
      </c>
      <c r="C1037" s="345" t="s">
        <v>1277</v>
      </c>
      <c r="D1037" s="345"/>
      <c r="E1037" s="346" t="s">
        <v>851</v>
      </c>
      <c r="F1037" s="355">
        <v>1059598472</v>
      </c>
      <c r="G1037" s="43"/>
    </row>
    <row r="1038" spans="1:7" ht="30" x14ac:dyDescent="0.25">
      <c r="A1038" s="43" t="s">
        <v>896</v>
      </c>
      <c r="B1038" s="43" t="s">
        <v>953</v>
      </c>
      <c r="C1038" s="43" t="s">
        <v>1217</v>
      </c>
      <c r="D1038" s="43" t="s">
        <v>1471</v>
      </c>
      <c r="E1038" s="109" t="s">
        <v>851</v>
      </c>
      <c r="F1038" s="354">
        <v>1059602285</v>
      </c>
      <c r="G1038" s="43"/>
    </row>
    <row r="1039" spans="1:7" ht="30" x14ac:dyDescent="0.25">
      <c r="A1039" s="345" t="s">
        <v>1540</v>
      </c>
      <c r="B1039" s="345" t="s">
        <v>943</v>
      </c>
      <c r="C1039" s="345" t="s">
        <v>1541</v>
      </c>
      <c r="D1039" s="345" t="s">
        <v>1542</v>
      </c>
      <c r="E1039" s="346" t="s">
        <v>851</v>
      </c>
      <c r="F1039" s="359" t="s">
        <v>1539</v>
      </c>
      <c r="G1039" s="43"/>
    </row>
    <row r="1040" spans="1:7" ht="30" x14ac:dyDescent="0.25">
      <c r="A1040" s="43" t="s">
        <v>1144</v>
      </c>
      <c r="B1040" s="43" t="s">
        <v>996</v>
      </c>
      <c r="C1040" s="43" t="s">
        <v>1192</v>
      </c>
      <c r="D1040" s="43"/>
      <c r="E1040" s="109" t="s">
        <v>851</v>
      </c>
      <c r="F1040" s="354">
        <v>1059604012</v>
      </c>
      <c r="G1040" s="43"/>
    </row>
    <row r="1041" spans="1:7" ht="30" x14ac:dyDescent="0.25">
      <c r="A1041" s="345" t="s">
        <v>943</v>
      </c>
      <c r="B1041" s="345" t="s">
        <v>1144</v>
      </c>
      <c r="C1041" s="345" t="s">
        <v>1504</v>
      </c>
      <c r="D1041" s="345" t="s">
        <v>1281</v>
      </c>
      <c r="E1041" s="346" t="s">
        <v>1094</v>
      </c>
      <c r="F1041" s="347">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5" t="s">
        <v>896</v>
      </c>
      <c r="B1043" s="345" t="s">
        <v>915</v>
      </c>
      <c r="C1043" s="345" t="s">
        <v>1585</v>
      </c>
      <c r="D1043" s="345"/>
      <c r="E1043" s="346" t="s">
        <v>851</v>
      </c>
      <c r="F1043" s="347">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5" t="s">
        <v>1580</v>
      </c>
      <c r="B1045" s="345" t="s">
        <v>914</v>
      </c>
      <c r="C1045" s="345" t="s">
        <v>1581</v>
      </c>
      <c r="D1045" s="345" t="s">
        <v>1464</v>
      </c>
      <c r="E1045" s="346" t="s">
        <v>851</v>
      </c>
      <c r="F1045" s="359">
        <v>1002846447</v>
      </c>
      <c r="G1045" s="43"/>
    </row>
    <row r="1046" spans="1:7" ht="30" x14ac:dyDescent="0.25">
      <c r="A1046" s="43" t="s">
        <v>1583</v>
      </c>
      <c r="B1046" s="43" t="s">
        <v>873</v>
      </c>
      <c r="C1046" s="43" t="s">
        <v>1584</v>
      </c>
      <c r="D1046" s="43"/>
      <c r="E1046" s="109" t="s">
        <v>851</v>
      </c>
      <c r="F1046" s="356" t="s">
        <v>1582</v>
      </c>
      <c r="G1046" s="43"/>
    </row>
    <row r="1047" spans="1:7" ht="30" x14ac:dyDescent="0.25">
      <c r="A1047" s="345" t="s">
        <v>1590</v>
      </c>
      <c r="B1047" s="345" t="s">
        <v>874</v>
      </c>
      <c r="C1047" s="345" t="s">
        <v>1591</v>
      </c>
      <c r="D1047" s="345"/>
      <c r="E1047" s="346" t="s">
        <v>851</v>
      </c>
      <c r="F1047" s="359"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5" t="s">
        <v>914</v>
      </c>
      <c r="B1049" s="345" t="s">
        <v>1601</v>
      </c>
      <c r="C1049" s="345" t="s">
        <v>1602</v>
      </c>
      <c r="D1049" s="345"/>
      <c r="E1049" s="346" t="s">
        <v>851</v>
      </c>
      <c r="F1049" s="347">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5" t="s">
        <v>1439</v>
      </c>
      <c r="B1051" s="345" t="s">
        <v>848</v>
      </c>
      <c r="C1051" s="345" t="s">
        <v>1437</v>
      </c>
      <c r="D1051" s="345"/>
      <c r="E1051" s="346" t="s">
        <v>851</v>
      </c>
      <c r="F1051" s="347">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5" t="s">
        <v>1637</v>
      </c>
      <c r="B1053" s="345" t="s">
        <v>1638</v>
      </c>
      <c r="C1053" s="345" t="s">
        <v>1028</v>
      </c>
      <c r="D1053" s="345"/>
      <c r="E1053" s="346" t="s">
        <v>851</v>
      </c>
      <c r="F1053" s="358">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5" t="s">
        <v>1439</v>
      </c>
      <c r="B1055" s="345" t="s">
        <v>848</v>
      </c>
      <c r="C1055" s="345" t="s">
        <v>1437</v>
      </c>
      <c r="D1055" s="345"/>
      <c r="E1055" s="346" t="s">
        <v>851</v>
      </c>
      <c r="F1055" s="347">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5" t="s">
        <v>980</v>
      </c>
      <c r="B1057" s="345" t="s">
        <v>1666</v>
      </c>
      <c r="C1057" s="345" t="s">
        <v>1287</v>
      </c>
      <c r="D1057" s="345" t="s">
        <v>919</v>
      </c>
      <c r="E1057" s="346" t="s">
        <v>851</v>
      </c>
      <c r="F1057" s="347">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5" t="s">
        <v>1210</v>
      </c>
      <c r="B1059" s="345" t="s">
        <v>848</v>
      </c>
      <c r="C1059" s="345" t="s">
        <v>1670</v>
      </c>
      <c r="D1059" s="345" t="s">
        <v>1671</v>
      </c>
      <c r="E1059" s="346" t="s">
        <v>851</v>
      </c>
      <c r="F1059" s="347">
        <v>1059602883</v>
      </c>
      <c r="G1059" s="43"/>
    </row>
    <row r="1060" spans="1:7" ht="30" x14ac:dyDescent="0.25">
      <c r="A1060" s="43" t="s">
        <v>943</v>
      </c>
      <c r="B1060" s="43" t="s">
        <v>848</v>
      </c>
      <c r="C1060" s="43" t="s">
        <v>1673</v>
      </c>
      <c r="D1060" s="43" t="s">
        <v>1674</v>
      </c>
      <c r="E1060" s="109" t="s">
        <v>851</v>
      </c>
      <c r="F1060" s="361" t="s">
        <v>1672</v>
      </c>
      <c r="G1060" s="43"/>
    </row>
    <row r="1061" spans="1:7" ht="30" x14ac:dyDescent="0.25">
      <c r="A1061" s="345" t="s">
        <v>1677</v>
      </c>
      <c r="B1061" s="345" t="s">
        <v>962</v>
      </c>
      <c r="C1061" s="345" t="s">
        <v>1678</v>
      </c>
      <c r="D1061" s="345" t="s">
        <v>1679</v>
      </c>
      <c r="E1061" s="346" t="s">
        <v>1094</v>
      </c>
      <c r="F1061" s="362" t="s">
        <v>1676</v>
      </c>
      <c r="G1061" s="43"/>
    </row>
    <row r="1062" spans="1:7" ht="30" x14ac:dyDescent="0.25">
      <c r="A1062" s="43" t="s">
        <v>1286</v>
      </c>
      <c r="B1062" s="43" t="s">
        <v>943</v>
      </c>
      <c r="C1062" s="43" t="s">
        <v>1681</v>
      </c>
      <c r="D1062" s="43"/>
      <c r="E1062" s="109" t="s">
        <v>851</v>
      </c>
      <c r="F1062" s="363" t="s">
        <v>1680</v>
      </c>
      <c r="G1062" s="43"/>
    </row>
    <row r="1063" spans="1:7" x14ac:dyDescent="0.25">
      <c r="A1063" s="423" t="s">
        <v>1712</v>
      </c>
      <c r="B1063" s="423"/>
      <c r="C1063" s="423"/>
      <c r="D1063" s="423"/>
      <c r="E1063" s="423"/>
      <c r="F1063" s="423"/>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5" t="s">
        <v>1332</v>
      </c>
      <c r="B1066" s="345" t="s">
        <v>1091</v>
      </c>
      <c r="C1066" s="345" t="s">
        <v>1333</v>
      </c>
      <c r="D1066" s="345"/>
      <c r="E1066" s="346" t="s">
        <v>1094</v>
      </c>
      <c r="F1066" s="347">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5" t="s">
        <v>943</v>
      </c>
      <c r="B1068" s="345" t="s">
        <v>1144</v>
      </c>
      <c r="C1068" s="345" t="s">
        <v>1468</v>
      </c>
      <c r="D1068" s="345" t="s">
        <v>1281</v>
      </c>
      <c r="E1068" s="346" t="s">
        <v>851</v>
      </c>
      <c r="F1068" s="347">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5" t="s">
        <v>848</v>
      </c>
      <c r="B1070" s="345" t="s">
        <v>953</v>
      </c>
      <c r="C1070" s="345" t="s">
        <v>1501</v>
      </c>
      <c r="D1070" s="345" t="s">
        <v>919</v>
      </c>
      <c r="E1070" s="346" t="s">
        <v>851</v>
      </c>
      <c r="F1070" s="347"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5" t="s">
        <v>1519</v>
      </c>
      <c r="B1072" s="345" t="s">
        <v>848</v>
      </c>
      <c r="C1072" s="345" t="s">
        <v>1520</v>
      </c>
      <c r="D1072" s="345" t="s">
        <v>1521</v>
      </c>
      <c r="E1072" s="346" t="s">
        <v>851</v>
      </c>
      <c r="F1072" s="347">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5" t="s">
        <v>896</v>
      </c>
      <c r="B1074" s="345" t="s">
        <v>1091</v>
      </c>
      <c r="C1074" s="345" t="s">
        <v>1538</v>
      </c>
      <c r="D1074" s="345"/>
      <c r="E1074" s="346" t="s">
        <v>851</v>
      </c>
      <c r="F1074" s="347">
        <v>1002846350</v>
      </c>
      <c r="G1074" s="43"/>
    </row>
    <row r="1075" spans="1:7" ht="30" x14ac:dyDescent="0.25">
      <c r="A1075" s="43" t="s">
        <v>1540</v>
      </c>
      <c r="B1075" s="43" t="s">
        <v>943</v>
      </c>
      <c r="C1075" s="43" t="s">
        <v>1541</v>
      </c>
      <c r="D1075" s="43" t="s">
        <v>1542</v>
      </c>
      <c r="E1075" s="109" t="s">
        <v>851</v>
      </c>
      <c r="F1075" s="356" t="s">
        <v>1539</v>
      </c>
      <c r="G1075" s="43"/>
    </row>
    <row r="1076" spans="1:7" ht="30" x14ac:dyDescent="0.25">
      <c r="A1076" s="345" t="s">
        <v>943</v>
      </c>
      <c r="B1076" s="345" t="s">
        <v>1144</v>
      </c>
      <c r="C1076" s="345" t="s">
        <v>1504</v>
      </c>
      <c r="D1076" s="345" t="s">
        <v>1281</v>
      </c>
      <c r="E1076" s="346" t="s">
        <v>1094</v>
      </c>
      <c r="F1076" s="347">
        <v>1059599329</v>
      </c>
      <c r="G1076" s="43"/>
    </row>
    <row r="1077" spans="1:7" ht="30" x14ac:dyDescent="0.25">
      <c r="A1077" s="43" t="s">
        <v>953</v>
      </c>
      <c r="B1077" s="43" t="s">
        <v>1286</v>
      </c>
      <c r="C1077" s="43" t="s">
        <v>1463</v>
      </c>
      <c r="D1077" s="43" t="s">
        <v>1579</v>
      </c>
      <c r="E1077" s="109" t="s">
        <v>851</v>
      </c>
      <c r="F1077" s="356" t="s">
        <v>1578</v>
      </c>
      <c r="G1077" s="43"/>
    </row>
    <row r="1078" spans="1:7" ht="30" x14ac:dyDescent="0.25">
      <c r="A1078" s="345" t="s">
        <v>1590</v>
      </c>
      <c r="B1078" s="345" t="s">
        <v>874</v>
      </c>
      <c r="C1078" s="345" t="s">
        <v>1591</v>
      </c>
      <c r="D1078" s="345"/>
      <c r="E1078" s="346" t="s">
        <v>851</v>
      </c>
      <c r="F1078" s="359" t="s">
        <v>1589</v>
      </c>
      <c r="G1078" s="43"/>
    </row>
    <row r="1079" spans="1:7" ht="30" x14ac:dyDescent="0.25">
      <c r="A1079" s="43" t="s">
        <v>1286</v>
      </c>
      <c r="B1079" s="43" t="s">
        <v>1594</v>
      </c>
      <c r="C1079" s="43" t="s">
        <v>1420</v>
      </c>
      <c r="D1079" s="43"/>
      <c r="E1079" s="109" t="s">
        <v>1094</v>
      </c>
      <c r="F1079" s="356" t="s">
        <v>1593</v>
      </c>
      <c r="G1079" s="43"/>
    </row>
    <row r="1080" spans="1:7" ht="30" x14ac:dyDescent="0.25">
      <c r="A1080" s="345" t="s">
        <v>914</v>
      </c>
      <c r="B1080" s="345" t="s">
        <v>943</v>
      </c>
      <c r="C1080" s="345" t="s">
        <v>1198</v>
      </c>
      <c r="D1080" s="345"/>
      <c r="E1080" s="346" t="s">
        <v>851</v>
      </c>
      <c r="F1080" s="347">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5" t="s">
        <v>873</v>
      </c>
      <c r="B1082" s="345" t="s">
        <v>874</v>
      </c>
      <c r="C1082" s="345" t="s">
        <v>1612</v>
      </c>
      <c r="D1082" s="345" t="s">
        <v>1613</v>
      </c>
      <c r="E1082" s="346" t="s">
        <v>851</v>
      </c>
      <c r="F1082" s="347">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5" t="s">
        <v>896</v>
      </c>
      <c r="B1084" s="345" t="s">
        <v>1632</v>
      </c>
      <c r="C1084" s="345" t="s">
        <v>1633</v>
      </c>
      <c r="D1084" s="345"/>
      <c r="E1084" s="346" t="s">
        <v>851</v>
      </c>
      <c r="F1084" s="360"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5" t="s">
        <v>953</v>
      </c>
      <c r="B1086" s="345" t="s">
        <v>1660</v>
      </c>
      <c r="C1086" s="345" t="s">
        <v>1217</v>
      </c>
      <c r="D1086" s="345" t="s">
        <v>1661</v>
      </c>
      <c r="E1086" s="346" t="s">
        <v>851</v>
      </c>
      <c r="F1086" s="347">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5" t="s">
        <v>1667</v>
      </c>
      <c r="B1088" s="345" t="s">
        <v>1668</v>
      </c>
      <c r="C1088" s="345" t="s">
        <v>1669</v>
      </c>
      <c r="D1088" s="345"/>
      <c r="E1088" s="346" t="s">
        <v>851</v>
      </c>
      <c r="F1088" s="347">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5" t="s">
        <v>943</v>
      </c>
      <c r="B1090" s="345" t="s">
        <v>848</v>
      </c>
      <c r="C1090" s="345" t="s">
        <v>1673</v>
      </c>
      <c r="D1090" s="345" t="s">
        <v>1674</v>
      </c>
      <c r="E1090" s="346" t="s">
        <v>851</v>
      </c>
      <c r="F1090" s="366" t="s">
        <v>1672</v>
      </c>
      <c r="G1090" s="43"/>
    </row>
    <row r="1091" spans="1:7" ht="30" x14ac:dyDescent="0.25">
      <c r="A1091" s="43" t="s">
        <v>1286</v>
      </c>
      <c r="B1091" s="43" t="s">
        <v>943</v>
      </c>
      <c r="C1091" s="43" t="s">
        <v>1681</v>
      </c>
      <c r="D1091" s="43"/>
      <c r="E1091" s="109" t="s">
        <v>851</v>
      </c>
      <c r="F1091" s="363" t="s">
        <v>1680</v>
      </c>
      <c r="G1091" s="43"/>
    </row>
    <row r="1092" spans="1:7" x14ac:dyDescent="0.25">
      <c r="A1092" s="423" t="s">
        <v>1713</v>
      </c>
      <c r="B1092" s="423"/>
      <c r="C1092" s="423"/>
      <c r="D1092" s="423"/>
      <c r="E1092" s="423"/>
      <c r="F1092" s="423"/>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5" t="s">
        <v>914</v>
      </c>
      <c r="B1095" s="345" t="s">
        <v>884</v>
      </c>
      <c r="C1095" s="345" t="s">
        <v>1296</v>
      </c>
      <c r="D1095" s="345" t="s">
        <v>850</v>
      </c>
      <c r="E1095" s="346" t="s">
        <v>851</v>
      </c>
      <c r="F1095" s="347">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5" t="s">
        <v>1305</v>
      </c>
      <c r="B1097" s="345" t="s">
        <v>884</v>
      </c>
      <c r="C1097" s="345" t="s">
        <v>1306</v>
      </c>
      <c r="D1097" s="345" t="s">
        <v>1307</v>
      </c>
      <c r="E1097" s="346" t="s">
        <v>851</v>
      </c>
      <c r="F1097" s="347">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5" t="s">
        <v>874</v>
      </c>
      <c r="B1099" s="345" t="s">
        <v>943</v>
      </c>
      <c r="C1099" s="345" t="s">
        <v>1340</v>
      </c>
      <c r="D1099" s="345"/>
      <c r="E1099" s="346" t="s">
        <v>1094</v>
      </c>
      <c r="F1099" s="347">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5" t="s">
        <v>1360</v>
      </c>
      <c r="B1101" s="345" t="s">
        <v>1361</v>
      </c>
      <c r="C1101" s="345" t="s">
        <v>938</v>
      </c>
      <c r="D1101" s="345" t="s">
        <v>1362</v>
      </c>
      <c r="E1101" s="346" t="s">
        <v>851</v>
      </c>
      <c r="F1101" s="347"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5" t="s">
        <v>857</v>
      </c>
      <c r="B1103" s="345" t="s">
        <v>1365</v>
      </c>
      <c r="C1103" s="345" t="s">
        <v>949</v>
      </c>
      <c r="D1103" s="345" t="s">
        <v>1366</v>
      </c>
      <c r="E1103" s="346" t="s">
        <v>851</v>
      </c>
      <c r="F1103" s="347">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5" t="s">
        <v>873</v>
      </c>
      <c r="B1105" s="345" t="s">
        <v>944</v>
      </c>
      <c r="C1105" s="345" t="s">
        <v>1399</v>
      </c>
      <c r="D1105" s="345" t="s">
        <v>1400</v>
      </c>
      <c r="E1105" s="346" t="s">
        <v>851</v>
      </c>
      <c r="F1105" s="347">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5" t="s">
        <v>944</v>
      </c>
      <c r="B1107" s="345" t="s">
        <v>943</v>
      </c>
      <c r="C1107" s="345" t="s">
        <v>1421</v>
      </c>
      <c r="D1107" s="345"/>
      <c r="E1107" s="346" t="s">
        <v>851</v>
      </c>
      <c r="F1107" s="347">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5" t="s">
        <v>1427</v>
      </c>
      <c r="B1109" s="345" t="s">
        <v>1428</v>
      </c>
      <c r="C1109" s="345" t="s">
        <v>1429</v>
      </c>
      <c r="D1109" s="345" t="s">
        <v>1430</v>
      </c>
      <c r="E1109" s="346" t="s">
        <v>851</v>
      </c>
      <c r="F1109" s="347">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5" t="s">
        <v>1439</v>
      </c>
      <c r="B1111" s="345" t="s">
        <v>884</v>
      </c>
      <c r="C1111" s="345" t="s">
        <v>1440</v>
      </c>
      <c r="D1111" s="345" t="s">
        <v>1294</v>
      </c>
      <c r="E1111" s="346" t="s">
        <v>851</v>
      </c>
      <c r="F1111" s="347">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5" t="s">
        <v>1179</v>
      </c>
      <c r="B1113" s="345" t="s">
        <v>1435</v>
      </c>
      <c r="C1113" s="345" t="s">
        <v>1448</v>
      </c>
      <c r="D1113" s="345" t="s">
        <v>1294</v>
      </c>
      <c r="E1113" s="346" t="s">
        <v>851</v>
      </c>
      <c r="F1113" s="347">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5" t="s">
        <v>896</v>
      </c>
      <c r="B1115" s="345" t="s">
        <v>943</v>
      </c>
      <c r="C1115" s="345" t="s">
        <v>1452</v>
      </c>
      <c r="D1115" s="345" t="s">
        <v>1372</v>
      </c>
      <c r="E1115" s="346" t="s">
        <v>851</v>
      </c>
      <c r="F1115" s="347">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5" t="s">
        <v>1458</v>
      </c>
      <c r="B1117" s="345" t="s">
        <v>1459</v>
      </c>
      <c r="C1117" s="345" t="s">
        <v>1460</v>
      </c>
      <c r="D1117" s="345" t="s">
        <v>976</v>
      </c>
      <c r="E1117" s="346" t="s">
        <v>1094</v>
      </c>
      <c r="F1117" s="347">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5" t="s">
        <v>943</v>
      </c>
      <c r="B1119" s="345" t="s">
        <v>1144</v>
      </c>
      <c r="C1119" s="345" t="s">
        <v>1468</v>
      </c>
      <c r="D1119" s="345" t="s">
        <v>1281</v>
      </c>
      <c r="E1119" s="346" t="s">
        <v>851</v>
      </c>
      <c r="F1119" s="347">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5" t="s">
        <v>914</v>
      </c>
      <c r="B1121" s="345" t="s">
        <v>1276</v>
      </c>
      <c r="C1121" s="345" t="s">
        <v>938</v>
      </c>
      <c r="D1121" s="345" t="s">
        <v>1484</v>
      </c>
      <c r="E1121" s="346" t="s">
        <v>851</v>
      </c>
      <c r="F1121" s="347">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5" t="s">
        <v>974</v>
      </c>
      <c r="B1123" s="345" t="s">
        <v>943</v>
      </c>
      <c r="C1123" s="345" t="s">
        <v>1217</v>
      </c>
      <c r="D1123" s="345" t="s">
        <v>1490</v>
      </c>
      <c r="E1123" s="346" t="s">
        <v>851</v>
      </c>
      <c r="F1123" s="347" t="s">
        <v>1491</v>
      </c>
      <c r="G1123" s="43"/>
    </row>
    <row r="1124" spans="1:7" ht="30" x14ac:dyDescent="0.25">
      <c r="A1124" s="43" t="s">
        <v>967</v>
      </c>
      <c r="B1124" s="43" t="s">
        <v>980</v>
      </c>
      <c r="C1124" s="43" t="s">
        <v>1492</v>
      </c>
      <c r="D1124" s="43"/>
      <c r="E1124" s="109" t="s">
        <v>851</v>
      </c>
      <c r="F1124" s="110" t="s">
        <v>1493</v>
      </c>
      <c r="G1124" s="43"/>
    </row>
    <row r="1125" spans="1:7" ht="30" x14ac:dyDescent="0.25">
      <c r="A1125" s="345" t="s">
        <v>884</v>
      </c>
      <c r="B1125" s="345" t="s">
        <v>1378</v>
      </c>
      <c r="C1125" s="345" t="s">
        <v>1494</v>
      </c>
      <c r="D1125" s="345" t="s">
        <v>1495</v>
      </c>
      <c r="E1125" s="346" t="s">
        <v>851</v>
      </c>
      <c r="F1125" s="347"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5" t="s">
        <v>1507</v>
      </c>
      <c r="B1127" s="345" t="s">
        <v>1365</v>
      </c>
      <c r="C1127" s="345" t="s">
        <v>1508</v>
      </c>
      <c r="D1127" s="345"/>
      <c r="E1127" s="346" t="s">
        <v>851</v>
      </c>
      <c r="F1127" s="347">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5" t="s">
        <v>1513</v>
      </c>
      <c r="B1129" s="345" t="s">
        <v>1514</v>
      </c>
      <c r="C1129" s="345" t="s">
        <v>1515</v>
      </c>
      <c r="D1129" s="345"/>
      <c r="E1129" s="346" t="s">
        <v>851</v>
      </c>
      <c r="F1129" s="347">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5" t="s">
        <v>896</v>
      </c>
      <c r="B1131" s="345" t="s">
        <v>953</v>
      </c>
      <c r="C1131" s="345" t="s">
        <v>1530</v>
      </c>
      <c r="D1131" s="345" t="s">
        <v>1182</v>
      </c>
      <c r="E1131" s="346" t="s">
        <v>851</v>
      </c>
      <c r="F1131" s="347">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5" t="s">
        <v>914</v>
      </c>
      <c r="B1133" s="345" t="s">
        <v>1470</v>
      </c>
      <c r="C1133" s="345" t="s">
        <v>1167</v>
      </c>
      <c r="D1133" s="345" t="s">
        <v>1043</v>
      </c>
      <c r="E1133" s="346" t="s">
        <v>851</v>
      </c>
      <c r="F1133" s="347">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5" t="s">
        <v>884</v>
      </c>
      <c r="B1135" s="345" t="s">
        <v>1144</v>
      </c>
      <c r="C1135" s="345" t="s">
        <v>1534</v>
      </c>
      <c r="D1135" s="345"/>
      <c r="E1135" s="346" t="s">
        <v>851</v>
      </c>
      <c r="F1135" s="353">
        <v>1002846626</v>
      </c>
      <c r="G1135" s="43"/>
    </row>
    <row r="1136" spans="1:7" ht="30" x14ac:dyDescent="0.25">
      <c r="A1136" s="43" t="s">
        <v>1246</v>
      </c>
      <c r="B1136" s="43" t="s">
        <v>943</v>
      </c>
      <c r="C1136" s="43" t="s">
        <v>1535</v>
      </c>
      <c r="D1136" s="43"/>
      <c r="E1136" s="109" t="s">
        <v>851</v>
      </c>
      <c r="F1136" s="354">
        <v>1002848307</v>
      </c>
      <c r="G1136" s="43"/>
    </row>
    <row r="1137" spans="1:7" ht="30" x14ac:dyDescent="0.25">
      <c r="A1137" s="345" t="s">
        <v>873</v>
      </c>
      <c r="B1137" s="345" t="s">
        <v>1091</v>
      </c>
      <c r="C1137" s="345" t="s">
        <v>1277</v>
      </c>
      <c r="D1137" s="345"/>
      <c r="E1137" s="346" t="s">
        <v>851</v>
      </c>
      <c r="F1137" s="355">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5" t="s">
        <v>896</v>
      </c>
      <c r="B1139" s="345" t="s">
        <v>953</v>
      </c>
      <c r="C1139" s="345" t="s">
        <v>1217</v>
      </c>
      <c r="D1139" s="345" t="s">
        <v>1471</v>
      </c>
      <c r="E1139" s="346" t="s">
        <v>851</v>
      </c>
      <c r="F1139" s="353">
        <v>1059602285</v>
      </c>
      <c r="G1139" s="43"/>
    </row>
    <row r="1140" spans="1:7" ht="30" x14ac:dyDescent="0.25">
      <c r="A1140" s="43" t="s">
        <v>1540</v>
      </c>
      <c r="B1140" s="43" t="s">
        <v>943</v>
      </c>
      <c r="C1140" s="43" t="s">
        <v>1541</v>
      </c>
      <c r="D1140" s="43" t="s">
        <v>1542</v>
      </c>
      <c r="E1140" s="109" t="s">
        <v>851</v>
      </c>
      <c r="F1140" s="356" t="s">
        <v>1539</v>
      </c>
      <c r="G1140" s="43"/>
    </row>
    <row r="1141" spans="1:7" ht="30" x14ac:dyDescent="0.25">
      <c r="A1141" s="345" t="s">
        <v>1144</v>
      </c>
      <c r="B1141" s="345" t="s">
        <v>996</v>
      </c>
      <c r="C1141" s="345" t="s">
        <v>1192</v>
      </c>
      <c r="D1141" s="345"/>
      <c r="E1141" s="346" t="s">
        <v>851</v>
      </c>
      <c r="F1141" s="353">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5" t="s">
        <v>1156</v>
      </c>
      <c r="B1143" s="345" t="s">
        <v>980</v>
      </c>
      <c r="C1143" s="345" t="s">
        <v>1547</v>
      </c>
      <c r="D1143" s="345"/>
      <c r="E1143" s="346" t="s">
        <v>1094</v>
      </c>
      <c r="F1143" s="347">
        <v>1059597328</v>
      </c>
      <c r="G1143" s="43"/>
    </row>
    <row r="1144" spans="1:7" ht="30" x14ac:dyDescent="0.25">
      <c r="A1144" s="43" t="s">
        <v>1549</v>
      </c>
      <c r="B1144" s="43" t="s">
        <v>1298</v>
      </c>
      <c r="C1144" s="43" t="s">
        <v>1550</v>
      </c>
      <c r="D1144" s="43" t="s">
        <v>1551</v>
      </c>
      <c r="E1144" s="109" t="s">
        <v>851</v>
      </c>
      <c r="F1144" s="357" t="s">
        <v>1548</v>
      </c>
      <c r="G1144" s="43"/>
    </row>
    <row r="1145" spans="1:7" x14ac:dyDescent="0.25">
      <c r="A1145" s="345" t="s">
        <v>943</v>
      </c>
      <c r="B1145" s="345" t="s">
        <v>848</v>
      </c>
      <c r="C1145" s="345" t="s">
        <v>1553</v>
      </c>
      <c r="D1145" s="345"/>
      <c r="E1145" s="346"/>
      <c r="F1145" s="347">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5" t="s">
        <v>996</v>
      </c>
      <c r="B1147" s="345" t="s">
        <v>1559</v>
      </c>
      <c r="C1147" s="345" t="s">
        <v>1560</v>
      </c>
      <c r="D1147" s="345"/>
      <c r="E1147" s="346" t="s">
        <v>851</v>
      </c>
      <c r="F1147" s="347">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5" t="s">
        <v>953</v>
      </c>
      <c r="B1149" s="345" t="s">
        <v>1378</v>
      </c>
      <c r="C1149" s="345" t="s">
        <v>1617</v>
      </c>
      <c r="D1149" s="345"/>
      <c r="E1149" s="346" t="s">
        <v>851</v>
      </c>
      <c r="F1149" s="347">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5" t="s">
        <v>873</v>
      </c>
      <c r="B1151" s="345" t="s">
        <v>962</v>
      </c>
      <c r="C1151" s="345" t="s">
        <v>1501</v>
      </c>
      <c r="D1151" s="345" t="s">
        <v>1340</v>
      </c>
      <c r="E1151" s="346" t="s">
        <v>851</v>
      </c>
      <c r="F1151" s="347">
        <v>1059594976</v>
      </c>
      <c r="G1151" s="43"/>
    </row>
    <row r="1152" spans="1:7" x14ac:dyDescent="0.25">
      <c r="A1152" s="43" t="s">
        <v>896</v>
      </c>
      <c r="B1152" s="43" t="s">
        <v>953</v>
      </c>
      <c r="C1152" s="43" t="s">
        <v>1634</v>
      </c>
      <c r="D1152" s="43"/>
      <c r="E1152" s="109"/>
      <c r="F1152" s="110">
        <v>1002848733</v>
      </c>
      <c r="G1152" s="43"/>
    </row>
    <row r="1153" spans="1:7" ht="30" x14ac:dyDescent="0.25">
      <c r="A1153" s="345" t="s">
        <v>896</v>
      </c>
      <c r="B1153" s="345" t="s">
        <v>915</v>
      </c>
      <c r="C1153" s="345" t="s">
        <v>1585</v>
      </c>
      <c r="D1153" s="345"/>
      <c r="E1153" s="346" t="s">
        <v>851</v>
      </c>
      <c r="F1153" s="347">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5" t="s">
        <v>1156</v>
      </c>
      <c r="B1155" s="345" t="s">
        <v>884</v>
      </c>
      <c r="C1155" s="345" t="s">
        <v>1481</v>
      </c>
      <c r="D1155" s="345" t="s">
        <v>1482</v>
      </c>
      <c r="E1155" s="346" t="s">
        <v>851</v>
      </c>
      <c r="F1155" s="358" t="s">
        <v>1483</v>
      </c>
      <c r="G1155" s="43"/>
    </row>
    <row r="1156" spans="1:7" ht="30" x14ac:dyDescent="0.25">
      <c r="A1156" s="43" t="s">
        <v>953</v>
      </c>
      <c r="B1156" s="43" t="s">
        <v>1286</v>
      </c>
      <c r="C1156" s="43" t="s">
        <v>1463</v>
      </c>
      <c r="D1156" s="43" t="s">
        <v>1579</v>
      </c>
      <c r="E1156" s="109" t="s">
        <v>851</v>
      </c>
      <c r="F1156" s="356" t="s">
        <v>1578</v>
      </c>
      <c r="G1156" s="43"/>
    </row>
    <row r="1157" spans="1:7" ht="30" x14ac:dyDescent="0.25">
      <c r="A1157" s="345" t="s">
        <v>1580</v>
      </c>
      <c r="B1157" s="345" t="s">
        <v>914</v>
      </c>
      <c r="C1157" s="345" t="s">
        <v>1581</v>
      </c>
      <c r="D1157" s="345" t="s">
        <v>1464</v>
      </c>
      <c r="E1157" s="346" t="s">
        <v>851</v>
      </c>
      <c r="F1157" s="359">
        <v>1002846447</v>
      </c>
      <c r="G1157" s="43"/>
    </row>
    <row r="1158" spans="1:7" ht="30" x14ac:dyDescent="0.25">
      <c r="A1158" s="43" t="s">
        <v>1583</v>
      </c>
      <c r="B1158" s="43" t="s">
        <v>873</v>
      </c>
      <c r="C1158" s="43" t="s">
        <v>1584</v>
      </c>
      <c r="D1158" s="43"/>
      <c r="E1158" s="109" t="s">
        <v>851</v>
      </c>
      <c r="F1158" s="356" t="s">
        <v>1582</v>
      </c>
      <c r="G1158" s="43"/>
    </row>
    <row r="1159" spans="1:7" ht="30" x14ac:dyDescent="0.25">
      <c r="A1159" s="345" t="s">
        <v>1322</v>
      </c>
      <c r="B1159" s="345" t="s">
        <v>1378</v>
      </c>
      <c r="C1159" s="345" t="s">
        <v>1587</v>
      </c>
      <c r="D1159" s="345"/>
      <c r="E1159" s="346" t="s">
        <v>851</v>
      </c>
      <c r="F1159" s="359" t="s">
        <v>1586</v>
      </c>
      <c r="G1159" s="43"/>
    </row>
    <row r="1160" spans="1:7" ht="30" x14ac:dyDescent="0.25">
      <c r="A1160" s="43" t="s">
        <v>1590</v>
      </c>
      <c r="B1160" s="43" t="s">
        <v>874</v>
      </c>
      <c r="C1160" s="43" t="s">
        <v>1591</v>
      </c>
      <c r="D1160" s="43"/>
      <c r="E1160" s="109" t="s">
        <v>851</v>
      </c>
      <c r="F1160" s="356" t="s">
        <v>1589</v>
      </c>
      <c r="G1160" s="43"/>
    </row>
    <row r="1161" spans="1:7" ht="30" x14ac:dyDescent="0.25">
      <c r="A1161" s="345" t="s">
        <v>1286</v>
      </c>
      <c r="B1161" s="345" t="s">
        <v>1594</v>
      </c>
      <c r="C1161" s="345" t="s">
        <v>1420</v>
      </c>
      <c r="D1161" s="345"/>
      <c r="E1161" s="346" t="s">
        <v>1094</v>
      </c>
      <c r="F1161" s="359"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5" t="s">
        <v>914</v>
      </c>
      <c r="B1163" s="345" t="s">
        <v>1601</v>
      </c>
      <c r="C1163" s="345" t="s">
        <v>1602</v>
      </c>
      <c r="D1163" s="345"/>
      <c r="E1163" s="346" t="s">
        <v>851</v>
      </c>
      <c r="F1163" s="347">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5" t="s">
        <v>896</v>
      </c>
      <c r="B1165" s="345" t="s">
        <v>1599</v>
      </c>
      <c r="C1165" s="345" t="s">
        <v>1607</v>
      </c>
      <c r="D1165" s="345" t="s">
        <v>1608</v>
      </c>
      <c r="E1165" s="346" t="s">
        <v>851</v>
      </c>
      <c r="F1165" s="347">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5" t="s">
        <v>1439</v>
      </c>
      <c r="B1167" s="345" t="s">
        <v>848</v>
      </c>
      <c r="C1167" s="345" t="s">
        <v>1437</v>
      </c>
      <c r="D1167" s="345"/>
      <c r="E1167" s="346" t="s">
        <v>851</v>
      </c>
      <c r="F1167" s="347">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5" t="s">
        <v>914</v>
      </c>
      <c r="B1169" s="345" t="s">
        <v>914</v>
      </c>
      <c r="C1169" s="345" t="s">
        <v>1614</v>
      </c>
      <c r="D1169" s="345" t="s">
        <v>1277</v>
      </c>
      <c r="E1169" s="346" t="s">
        <v>851</v>
      </c>
      <c r="F1169" s="347">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5" t="s">
        <v>884</v>
      </c>
      <c r="B1171" s="345" t="s">
        <v>1286</v>
      </c>
      <c r="C1171" s="345" t="s">
        <v>1452</v>
      </c>
      <c r="D1171" s="345"/>
      <c r="E1171" s="346" t="s">
        <v>851</v>
      </c>
      <c r="F1171" s="347">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5" t="s">
        <v>896</v>
      </c>
      <c r="B1173" s="345" t="s">
        <v>1632</v>
      </c>
      <c r="C1173" s="345" t="s">
        <v>1633</v>
      </c>
      <c r="D1173" s="345"/>
      <c r="E1173" s="346" t="s">
        <v>851</v>
      </c>
      <c r="F1173" s="360" t="s">
        <v>1631</v>
      </c>
      <c r="G1173" s="43"/>
    </row>
    <row r="1174" spans="1:7" ht="30" x14ac:dyDescent="0.25">
      <c r="A1174" s="43" t="s">
        <v>1637</v>
      </c>
      <c r="B1174" s="43" t="s">
        <v>1638</v>
      </c>
      <c r="C1174" s="43" t="s">
        <v>1028</v>
      </c>
      <c r="D1174" s="43"/>
      <c r="E1174" s="109" t="s">
        <v>851</v>
      </c>
      <c r="F1174" s="357">
        <v>1060986729</v>
      </c>
      <c r="G1174" s="43"/>
    </row>
    <row r="1175" spans="1:7" ht="30" x14ac:dyDescent="0.25">
      <c r="A1175" s="345" t="s">
        <v>1249</v>
      </c>
      <c r="B1175" s="345" t="s">
        <v>914</v>
      </c>
      <c r="C1175" s="345" t="s">
        <v>1659</v>
      </c>
      <c r="D1175" s="345"/>
      <c r="E1175" s="346" t="s">
        <v>851</v>
      </c>
      <c r="F1175" s="347">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5" t="s">
        <v>953</v>
      </c>
      <c r="B1177" s="345" t="s">
        <v>1660</v>
      </c>
      <c r="C1177" s="345" t="s">
        <v>1217</v>
      </c>
      <c r="D1177" s="345" t="s">
        <v>1661</v>
      </c>
      <c r="E1177" s="346" t="s">
        <v>851</v>
      </c>
      <c r="F1177" s="347">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5" t="s">
        <v>1663</v>
      </c>
      <c r="B1179" s="345" t="s">
        <v>1664</v>
      </c>
      <c r="C1179" s="345" t="s">
        <v>938</v>
      </c>
      <c r="D1179" s="345" t="s">
        <v>1665</v>
      </c>
      <c r="E1179" s="346" t="s">
        <v>851</v>
      </c>
      <c r="F1179" s="347">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5" t="s">
        <v>1667</v>
      </c>
      <c r="B1181" s="345" t="s">
        <v>1668</v>
      </c>
      <c r="C1181" s="345" t="s">
        <v>1669</v>
      </c>
      <c r="D1181" s="345"/>
      <c r="E1181" s="346" t="s">
        <v>851</v>
      </c>
      <c r="F1181" s="347">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5" t="s">
        <v>943</v>
      </c>
      <c r="B1183" s="345" t="s">
        <v>848</v>
      </c>
      <c r="C1183" s="345" t="s">
        <v>1673</v>
      </c>
      <c r="D1183" s="345" t="s">
        <v>1674</v>
      </c>
      <c r="E1183" s="346" t="s">
        <v>851</v>
      </c>
      <c r="F1183" s="366" t="s">
        <v>1672</v>
      </c>
      <c r="G1183" s="43"/>
    </row>
    <row r="1184" spans="1:7" ht="30" x14ac:dyDescent="0.25">
      <c r="A1184" s="43" t="s">
        <v>1677</v>
      </c>
      <c r="B1184" s="43" t="s">
        <v>962</v>
      </c>
      <c r="C1184" s="43" t="s">
        <v>1678</v>
      </c>
      <c r="D1184" s="43" t="s">
        <v>1679</v>
      </c>
      <c r="E1184" s="109" t="s">
        <v>1094</v>
      </c>
      <c r="F1184" s="363" t="s">
        <v>1676</v>
      </c>
      <c r="G1184" s="43"/>
    </row>
    <row r="1185" spans="1:7" ht="30" x14ac:dyDescent="0.25">
      <c r="A1185" s="345" t="s">
        <v>1286</v>
      </c>
      <c r="B1185" s="345" t="s">
        <v>943</v>
      </c>
      <c r="C1185" s="345" t="s">
        <v>1681</v>
      </c>
      <c r="D1185" s="345"/>
      <c r="E1185" s="346" t="s">
        <v>851</v>
      </c>
      <c r="F1185" s="362" t="s">
        <v>1680</v>
      </c>
      <c r="G1185" s="43"/>
    </row>
    <row r="1186" spans="1:7" ht="30" x14ac:dyDescent="0.25">
      <c r="A1186" s="43" t="s">
        <v>848</v>
      </c>
      <c r="B1186" s="43" t="s">
        <v>914</v>
      </c>
      <c r="C1186" s="43" t="s">
        <v>1683</v>
      </c>
      <c r="D1186" s="43"/>
      <c r="E1186" s="109" t="s">
        <v>851</v>
      </c>
      <c r="F1186" s="363" t="s">
        <v>1682</v>
      </c>
      <c r="G1186" s="43"/>
    </row>
    <row r="1187" spans="1:7" x14ac:dyDescent="0.25">
      <c r="A1187" s="423" t="s">
        <v>1714</v>
      </c>
      <c r="B1187" s="423"/>
      <c r="C1187" s="423"/>
      <c r="D1187" s="423"/>
      <c r="E1187" s="423"/>
      <c r="F1187" s="423"/>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5" t="s">
        <v>1298</v>
      </c>
      <c r="B1190" s="345" t="s">
        <v>914</v>
      </c>
      <c r="C1190" s="345" t="s">
        <v>1299</v>
      </c>
      <c r="D1190" s="345" t="s">
        <v>1300</v>
      </c>
      <c r="E1190" s="346" t="s">
        <v>851</v>
      </c>
      <c r="F1190" s="347"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5" t="s">
        <v>914</v>
      </c>
      <c r="B1192" s="345" t="s">
        <v>915</v>
      </c>
      <c r="C1192" s="345" t="s">
        <v>916</v>
      </c>
      <c r="D1192" s="345"/>
      <c r="E1192" s="346" t="s">
        <v>1094</v>
      </c>
      <c r="F1192" s="347">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5" t="s">
        <v>857</v>
      </c>
      <c r="B1194" s="345" t="s">
        <v>1365</v>
      </c>
      <c r="C1194" s="345" t="s">
        <v>949</v>
      </c>
      <c r="D1194" s="345" t="s">
        <v>1366</v>
      </c>
      <c r="E1194" s="346" t="s">
        <v>851</v>
      </c>
      <c r="F1194" s="347">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5" t="s">
        <v>1427</v>
      </c>
      <c r="B1196" s="345" t="s">
        <v>1428</v>
      </c>
      <c r="C1196" s="345" t="s">
        <v>1429</v>
      </c>
      <c r="D1196" s="345" t="s">
        <v>1430</v>
      </c>
      <c r="E1196" s="346" t="s">
        <v>851</v>
      </c>
      <c r="F1196" s="347">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5" t="s">
        <v>873</v>
      </c>
      <c r="B1198" s="345" t="s">
        <v>1435</v>
      </c>
      <c r="C1198" s="345" t="s">
        <v>1436</v>
      </c>
      <c r="D1198" s="345" t="s">
        <v>1437</v>
      </c>
      <c r="E1198" s="346" t="s">
        <v>851</v>
      </c>
      <c r="F1198" s="347">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5" t="s">
        <v>1441</v>
      </c>
      <c r="B1200" s="345"/>
      <c r="C1200" s="345" t="s">
        <v>1284</v>
      </c>
      <c r="D1200" s="345" t="s">
        <v>1442</v>
      </c>
      <c r="E1200" s="346" t="s">
        <v>851</v>
      </c>
      <c r="F1200" s="347">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5" t="s">
        <v>1179</v>
      </c>
      <c r="B1202" s="345" t="s">
        <v>1435</v>
      </c>
      <c r="C1202" s="345" t="s">
        <v>1448</v>
      </c>
      <c r="D1202" s="345" t="s">
        <v>1294</v>
      </c>
      <c r="E1202" s="346" t="s">
        <v>851</v>
      </c>
      <c r="F1202" s="347">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5" t="s">
        <v>884</v>
      </c>
      <c r="B1204" s="345" t="s">
        <v>914</v>
      </c>
      <c r="C1204" s="345" t="s">
        <v>1479</v>
      </c>
      <c r="D1204" s="345" t="s">
        <v>1480</v>
      </c>
      <c r="E1204" s="346" t="s">
        <v>851</v>
      </c>
      <c r="F1204" s="347">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5" t="s">
        <v>914</v>
      </c>
      <c r="B1206" s="345" t="s">
        <v>848</v>
      </c>
      <c r="C1206" s="345" t="s">
        <v>1485</v>
      </c>
      <c r="D1206" s="345" t="s">
        <v>1285</v>
      </c>
      <c r="E1206" s="346" t="s">
        <v>851</v>
      </c>
      <c r="F1206" s="347"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5" t="s">
        <v>967</v>
      </c>
      <c r="B1208" s="345" t="s">
        <v>980</v>
      </c>
      <c r="C1208" s="345" t="s">
        <v>1492</v>
      </c>
      <c r="D1208" s="345"/>
      <c r="E1208" s="346" t="s">
        <v>851</v>
      </c>
      <c r="F1208" s="347"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5" t="s">
        <v>992</v>
      </c>
      <c r="B1210" s="345" t="s">
        <v>1498</v>
      </c>
      <c r="C1210" s="345" t="s">
        <v>938</v>
      </c>
      <c r="D1210" s="345" t="s">
        <v>1499</v>
      </c>
      <c r="E1210" s="346" t="s">
        <v>851</v>
      </c>
      <c r="F1210" s="347"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5" t="s">
        <v>992</v>
      </c>
      <c r="B1212" s="345" t="s">
        <v>848</v>
      </c>
      <c r="C1212" s="345" t="s">
        <v>1504</v>
      </c>
      <c r="D1212" s="345" t="s">
        <v>1157</v>
      </c>
      <c r="E1212" s="346" t="s">
        <v>851</v>
      </c>
      <c r="F1212" s="347">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5" t="s">
        <v>1513</v>
      </c>
      <c r="B1214" s="345" t="s">
        <v>1514</v>
      </c>
      <c r="C1214" s="345" t="s">
        <v>1515</v>
      </c>
      <c r="D1214" s="345"/>
      <c r="E1214" s="346" t="s">
        <v>851</v>
      </c>
      <c r="F1214" s="347">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5" t="s">
        <v>884</v>
      </c>
      <c r="B1216" s="345" t="s">
        <v>1524</v>
      </c>
      <c r="C1216" s="345" t="s">
        <v>945</v>
      </c>
      <c r="D1216" s="345" t="s">
        <v>919</v>
      </c>
      <c r="E1216" s="346" t="s">
        <v>851</v>
      </c>
      <c r="F1216" s="347">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5" t="s">
        <v>1361</v>
      </c>
      <c r="B1218" s="345" t="s">
        <v>992</v>
      </c>
      <c r="C1218" s="345" t="s">
        <v>1531</v>
      </c>
      <c r="D1218" s="345"/>
      <c r="E1218" s="346" t="s">
        <v>851</v>
      </c>
      <c r="F1218" s="347">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5" t="s">
        <v>1286</v>
      </c>
      <c r="B1220" s="345" t="s">
        <v>980</v>
      </c>
      <c r="C1220" s="345" t="s">
        <v>1528</v>
      </c>
      <c r="D1220" s="345" t="s">
        <v>1281</v>
      </c>
      <c r="E1220" s="346" t="s">
        <v>851</v>
      </c>
      <c r="F1220" s="347">
        <v>1059596092</v>
      </c>
      <c r="G1220" s="43"/>
    </row>
    <row r="1221" spans="1:7" ht="30" x14ac:dyDescent="0.25">
      <c r="A1221" s="43" t="s">
        <v>884</v>
      </c>
      <c r="B1221" s="43" t="s">
        <v>1144</v>
      </c>
      <c r="C1221" s="43" t="s">
        <v>1534</v>
      </c>
      <c r="D1221" s="43"/>
      <c r="E1221" s="109" t="s">
        <v>851</v>
      </c>
      <c r="F1221" s="354">
        <v>1002846626</v>
      </c>
      <c r="G1221" s="43"/>
    </row>
    <row r="1222" spans="1:7" ht="30" x14ac:dyDescent="0.25">
      <c r="A1222" s="345" t="s">
        <v>1246</v>
      </c>
      <c r="B1222" s="345" t="s">
        <v>943</v>
      </c>
      <c r="C1222" s="345" t="s">
        <v>1535</v>
      </c>
      <c r="D1222" s="345"/>
      <c r="E1222" s="346" t="s">
        <v>851</v>
      </c>
      <c r="F1222" s="353">
        <v>1002848307</v>
      </c>
      <c r="G1222" s="43"/>
    </row>
    <row r="1223" spans="1:7" ht="30" x14ac:dyDescent="0.25">
      <c r="A1223" s="43" t="s">
        <v>873</v>
      </c>
      <c r="B1223" s="43" t="s">
        <v>1091</v>
      </c>
      <c r="C1223" s="43" t="s">
        <v>1277</v>
      </c>
      <c r="D1223" s="43"/>
      <c r="E1223" s="109" t="s">
        <v>851</v>
      </c>
      <c r="F1223" s="365">
        <v>1059598472</v>
      </c>
      <c r="G1223" s="43"/>
    </row>
    <row r="1224" spans="1:7" ht="30" x14ac:dyDescent="0.25">
      <c r="A1224" s="345" t="s">
        <v>896</v>
      </c>
      <c r="B1224" s="345" t="s">
        <v>1091</v>
      </c>
      <c r="C1224" s="345" t="s">
        <v>1538</v>
      </c>
      <c r="D1224" s="345"/>
      <c r="E1224" s="346" t="s">
        <v>851</v>
      </c>
      <c r="F1224" s="347">
        <v>1002846350</v>
      </c>
      <c r="G1224" s="43"/>
    </row>
    <row r="1225" spans="1:7" ht="30" x14ac:dyDescent="0.25">
      <c r="A1225" s="43" t="s">
        <v>896</v>
      </c>
      <c r="B1225" s="43" t="s">
        <v>953</v>
      </c>
      <c r="C1225" s="43" t="s">
        <v>1217</v>
      </c>
      <c r="D1225" s="43" t="s">
        <v>1471</v>
      </c>
      <c r="E1225" s="109" t="s">
        <v>851</v>
      </c>
      <c r="F1225" s="354">
        <v>1059602285</v>
      </c>
      <c r="G1225" s="43"/>
    </row>
    <row r="1226" spans="1:7" ht="30" x14ac:dyDescent="0.25">
      <c r="A1226" s="345" t="s">
        <v>1540</v>
      </c>
      <c r="B1226" s="345" t="s">
        <v>943</v>
      </c>
      <c r="C1226" s="345" t="s">
        <v>1541</v>
      </c>
      <c r="D1226" s="345" t="s">
        <v>1542</v>
      </c>
      <c r="E1226" s="346" t="s">
        <v>851</v>
      </c>
      <c r="F1226" s="359" t="s">
        <v>1539</v>
      </c>
      <c r="G1226" s="43"/>
    </row>
    <row r="1227" spans="1:7" ht="30" x14ac:dyDescent="0.25">
      <c r="A1227" s="43" t="s">
        <v>1144</v>
      </c>
      <c r="B1227" s="43" t="s">
        <v>996</v>
      </c>
      <c r="C1227" s="43" t="s">
        <v>1192</v>
      </c>
      <c r="D1227" s="43"/>
      <c r="E1227" s="109" t="s">
        <v>851</v>
      </c>
      <c r="F1227" s="354">
        <v>1059604012</v>
      </c>
      <c r="G1227" s="43"/>
    </row>
    <row r="1228" spans="1:7" ht="30" x14ac:dyDescent="0.25">
      <c r="A1228" s="345" t="s">
        <v>896</v>
      </c>
      <c r="B1228" s="345" t="s">
        <v>953</v>
      </c>
      <c r="C1228" s="345" t="s">
        <v>1545</v>
      </c>
      <c r="D1228" s="345"/>
      <c r="E1228" s="346" t="s">
        <v>851</v>
      </c>
      <c r="F1228" s="347">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5" t="s">
        <v>1549</v>
      </c>
      <c r="B1230" s="345" t="s">
        <v>1298</v>
      </c>
      <c r="C1230" s="345" t="s">
        <v>1550</v>
      </c>
      <c r="D1230" s="345" t="s">
        <v>1551</v>
      </c>
      <c r="E1230" s="346" t="s">
        <v>851</v>
      </c>
      <c r="F1230" s="358" t="s">
        <v>1548</v>
      </c>
      <c r="G1230" s="43"/>
    </row>
    <row r="1231" spans="1:7" x14ac:dyDescent="0.25">
      <c r="A1231" s="43" t="s">
        <v>943</v>
      </c>
      <c r="B1231" s="43" t="s">
        <v>848</v>
      </c>
      <c r="C1231" s="43" t="s">
        <v>1553</v>
      </c>
      <c r="D1231" s="43"/>
      <c r="E1231" s="109"/>
      <c r="F1231" s="110">
        <v>1059594153</v>
      </c>
      <c r="G1231" s="43"/>
    </row>
    <row r="1232" spans="1:7" ht="30" x14ac:dyDescent="0.25">
      <c r="A1232" s="345" t="s">
        <v>943</v>
      </c>
      <c r="B1232" s="345" t="s">
        <v>1144</v>
      </c>
      <c r="C1232" s="345" t="s">
        <v>1504</v>
      </c>
      <c r="D1232" s="345" t="s">
        <v>1281</v>
      </c>
      <c r="E1232" s="346" t="s">
        <v>1094</v>
      </c>
      <c r="F1232" s="347">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5" t="s">
        <v>996</v>
      </c>
      <c r="B1234" s="345" t="s">
        <v>1559</v>
      </c>
      <c r="C1234" s="345" t="s">
        <v>1560</v>
      </c>
      <c r="D1234" s="345"/>
      <c r="E1234" s="346" t="s">
        <v>851</v>
      </c>
      <c r="F1234" s="347">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5" t="s">
        <v>953</v>
      </c>
      <c r="B1236" s="345" t="s">
        <v>1378</v>
      </c>
      <c r="C1236" s="345" t="s">
        <v>1617</v>
      </c>
      <c r="D1236" s="345"/>
      <c r="E1236" s="346" t="s">
        <v>851</v>
      </c>
      <c r="F1236" s="347">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5" t="s">
        <v>873</v>
      </c>
      <c r="B1238" s="345" t="s">
        <v>962</v>
      </c>
      <c r="C1238" s="345" t="s">
        <v>1501</v>
      </c>
      <c r="D1238" s="345" t="s">
        <v>1340</v>
      </c>
      <c r="E1238" s="346" t="s">
        <v>851</v>
      </c>
      <c r="F1238" s="347">
        <v>1059594976</v>
      </c>
      <c r="G1238" s="43"/>
    </row>
    <row r="1239" spans="1:7" x14ac:dyDescent="0.25">
      <c r="A1239" s="43" t="s">
        <v>896</v>
      </c>
      <c r="B1239" s="43" t="s">
        <v>953</v>
      </c>
      <c r="C1239" s="43" t="s">
        <v>1634</v>
      </c>
      <c r="D1239" s="43"/>
      <c r="E1239" s="109"/>
      <c r="F1239" s="110">
        <v>1002848733</v>
      </c>
      <c r="G1239" s="43"/>
    </row>
    <row r="1240" spans="1:7" ht="30" x14ac:dyDescent="0.25">
      <c r="A1240" s="345" t="s">
        <v>896</v>
      </c>
      <c r="B1240" s="345" t="s">
        <v>915</v>
      </c>
      <c r="C1240" s="345" t="s">
        <v>1585</v>
      </c>
      <c r="D1240" s="345"/>
      <c r="E1240" s="346" t="s">
        <v>851</v>
      </c>
      <c r="F1240" s="347">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5" t="s">
        <v>953</v>
      </c>
      <c r="B1242" s="345" t="s">
        <v>1286</v>
      </c>
      <c r="C1242" s="345" t="s">
        <v>1463</v>
      </c>
      <c r="D1242" s="345" t="s">
        <v>1579</v>
      </c>
      <c r="E1242" s="346" t="s">
        <v>851</v>
      </c>
      <c r="F1242" s="359" t="s">
        <v>1578</v>
      </c>
      <c r="G1242" s="43"/>
    </row>
    <row r="1243" spans="1:7" ht="30" x14ac:dyDescent="0.25">
      <c r="A1243" s="43" t="s">
        <v>1580</v>
      </c>
      <c r="B1243" s="43" t="s">
        <v>914</v>
      </c>
      <c r="C1243" s="43" t="s">
        <v>1581</v>
      </c>
      <c r="D1243" s="43" t="s">
        <v>1464</v>
      </c>
      <c r="E1243" s="109" t="s">
        <v>851</v>
      </c>
      <c r="F1243" s="356">
        <v>1002846447</v>
      </c>
      <c r="G1243" s="43"/>
    </row>
    <row r="1244" spans="1:7" ht="30" x14ac:dyDescent="0.25">
      <c r="A1244" s="345" t="s">
        <v>1583</v>
      </c>
      <c r="B1244" s="345" t="s">
        <v>873</v>
      </c>
      <c r="C1244" s="345" t="s">
        <v>1584</v>
      </c>
      <c r="D1244" s="345"/>
      <c r="E1244" s="346" t="s">
        <v>851</v>
      </c>
      <c r="F1244" s="359" t="s">
        <v>1582</v>
      </c>
      <c r="G1244" s="43"/>
    </row>
    <row r="1245" spans="1:7" ht="30" x14ac:dyDescent="0.25">
      <c r="A1245" s="43" t="s">
        <v>1322</v>
      </c>
      <c r="B1245" s="43" t="s">
        <v>1378</v>
      </c>
      <c r="C1245" s="43" t="s">
        <v>1587</v>
      </c>
      <c r="D1245" s="43"/>
      <c r="E1245" s="109" t="s">
        <v>851</v>
      </c>
      <c r="F1245" s="356" t="s">
        <v>1586</v>
      </c>
      <c r="G1245" s="43"/>
    </row>
    <row r="1246" spans="1:7" ht="30" x14ac:dyDescent="0.25">
      <c r="A1246" s="345" t="s">
        <v>1590</v>
      </c>
      <c r="B1246" s="345" t="s">
        <v>874</v>
      </c>
      <c r="C1246" s="345" t="s">
        <v>1591</v>
      </c>
      <c r="D1246" s="345"/>
      <c r="E1246" s="346" t="s">
        <v>851</v>
      </c>
      <c r="F1246" s="359" t="s">
        <v>1589</v>
      </c>
      <c r="G1246" s="43"/>
    </row>
    <row r="1247" spans="1:7" ht="30" x14ac:dyDescent="0.25">
      <c r="A1247" s="43" t="s">
        <v>1286</v>
      </c>
      <c r="B1247" s="43" t="s">
        <v>1594</v>
      </c>
      <c r="C1247" s="43" t="s">
        <v>1420</v>
      </c>
      <c r="D1247" s="43"/>
      <c r="E1247" s="109" t="s">
        <v>1094</v>
      </c>
      <c r="F1247" s="356" t="s">
        <v>1593</v>
      </c>
      <c r="G1247" s="43"/>
    </row>
    <row r="1248" spans="1:7" ht="30" x14ac:dyDescent="0.25">
      <c r="A1248" s="345" t="s">
        <v>914</v>
      </c>
      <c r="B1248" s="345" t="s">
        <v>1601</v>
      </c>
      <c r="C1248" s="345" t="s">
        <v>1602</v>
      </c>
      <c r="D1248" s="345"/>
      <c r="E1248" s="346" t="s">
        <v>851</v>
      </c>
      <c r="F1248" s="347">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5" t="s">
        <v>914</v>
      </c>
      <c r="B1250" s="345" t="s">
        <v>943</v>
      </c>
      <c r="C1250" s="345" t="s">
        <v>1198</v>
      </c>
      <c r="D1250" s="345"/>
      <c r="E1250" s="346" t="s">
        <v>851</v>
      </c>
      <c r="F1250" s="347">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5" t="s">
        <v>873</v>
      </c>
      <c r="B1252" s="345" t="s">
        <v>874</v>
      </c>
      <c r="C1252" s="345" t="s">
        <v>1612</v>
      </c>
      <c r="D1252" s="345" t="s">
        <v>1613</v>
      </c>
      <c r="E1252" s="346" t="s">
        <v>851</v>
      </c>
      <c r="F1252" s="347">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5" t="s">
        <v>1621</v>
      </c>
      <c r="B1254" s="345" t="s">
        <v>1622</v>
      </c>
      <c r="C1254" s="345" t="s">
        <v>1619</v>
      </c>
      <c r="D1254" s="345" t="s">
        <v>1620</v>
      </c>
      <c r="E1254" s="346" t="s">
        <v>851</v>
      </c>
      <c r="F1254" s="347">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5" t="s">
        <v>884</v>
      </c>
      <c r="B1256" s="345" t="s">
        <v>1286</v>
      </c>
      <c r="C1256" s="345" t="s">
        <v>1452</v>
      </c>
      <c r="D1256" s="345"/>
      <c r="E1256" s="346" t="s">
        <v>851</v>
      </c>
      <c r="F1256" s="347">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5" t="s">
        <v>896</v>
      </c>
      <c r="B1258" s="345" t="s">
        <v>1632</v>
      </c>
      <c r="C1258" s="345" t="s">
        <v>1633</v>
      </c>
      <c r="D1258" s="345"/>
      <c r="E1258" s="346" t="s">
        <v>851</v>
      </c>
      <c r="F1258" s="360" t="s">
        <v>1631</v>
      </c>
      <c r="G1258" s="43"/>
    </row>
    <row r="1259" spans="1:7" ht="30" x14ac:dyDescent="0.25">
      <c r="A1259" s="43" t="s">
        <v>1637</v>
      </c>
      <c r="B1259" s="43" t="s">
        <v>1638</v>
      </c>
      <c r="C1259" s="43" t="s">
        <v>1028</v>
      </c>
      <c r="D1259" s="43"/>
      <c r="E1259" s="109" t="s">
        <v>851</v>
      </c>
      <c r="F1259" s="357">
        <v>1060986729</v>
      </c>
      <c r="G1259" s="43"/>
    </row>
    <row r="1260" spans="1:7" ht="30" x14ac:dyDescent="0.25">
      <c r="A1260" s="345" t="s">
        <v>1249</v>
      </c>
      <c r="B1260" s="345" t="s">
        <v>914</v>
      </c>
      <c r="C1260" s="345" t="s">
        <v>1659</v>
      </c>
      <c r="D1260" s="345"/>
      <c r="E1260" s="346" t="s">
        <v>851</v>
      </c>
      <c r="F1260" s="347">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5" t="s">
        <v>953</v>
      </c>
      <c r="B1262" s="345" t="s">
        <v>1660</v>
      </c>
      <c r="C1262" s="345" t="s">
        <v>1217</v>
      </c>
      <c r="D1262" s="345" t="s">
        <v>1661</v>
      </c>
      <c r="E1262" s="346" t="s">
        <v>851</v>
      </c>
      <c r="F1262" s="347">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5" t="s">
        <v>1663</v>
      </c>
      <c r="B1264" s="345" t="s">
        <v>1664</v>
      </c>
      <c r="C1264" s="345" t="s">
        <v>938</v>
      </c>
      <c r="D1264" s="345" t="s">
        <v>1665</v>
      </c>
      <c r="E1264" s="346" t="s">
        <v>851</v>
      </c>
      <c r="F1264" s="347">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5" t="s">
        <v>1667</v>
      </c>
      <c r="B1266" s="345" t="s">
        <v>1668</v>
      </c>
      <c r="C1266" s="345" t="s">
        <v>1669</v>
      </c>
      <c r="D1266" s="345"/>
      <c r="E1266" s="346" t="s">
        <v>851</v>
      </c>
      <c r="F1266" s="347">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5" t="s">
        <v>943</v>
      </c>
      <c r="B1268" s="345" t="s">
        <v>848</v>
      </c>
      <c r="C1268" s="345" t="s">
        <v>1673</v>
      </c>
      <c r="D1268" s="345" t="s">
        <v>1674</v>
      </c>
      <c r="E1268" s="346" t="s">
        <v>851</v>
      </c>
      <c r="F1268" s="366" t="s">
        <v>1672</v>
      </c>
      <c r="G1268" s="43"/>
    </row>
    <row r="1269" spans="1:7" ht="30" x14ac:dyDescent="0.25">
      <c r="A1269" s="43" t="s">
        <v>1677</v>
      </c>
      <c r="B1269" s="43" t="s">
        <v>962</v>
      </c>
      <c r="C1269" s="43" t="s">
        <v>1678</v>
      </c>
      <c r="D1269" s="43" t="s">
        <v>1679</v>
      </c>
      <c r="E1269" s="109" t="s">
        <v>1094</v>
      </c>
      <c r="F1269" s="363" t="s">
        <v>1676</v>
      </c>
      <c r="G1269" s="43"/>
    </row>
    <row r="1270" spans="1:7" ht="30" x14ac:dyDescent="0.25">
      <c r="A1270" s="345" t="s">
        <v>1286</v>
      </c>
      <c r="B1270" s="345" t="s">
        <v>943</v>
      </c>
      <c r="C1270" s="345" t="s">
        <v>1681</v>
      </c>
      <c r="D1270" s="345"/>
      <c r="E1270" s="346" t="s">
        <v>851</v>
      </c>
      <c r="F1270" s="362" t="s">
        <v>1680</v>
      </c>
      <c r="G1270" s="43"/>
    </row>
    <row r="1271" spans="1:7" ht="30" x14ac:dyDescent="0.25">
      <c r="A1271" s="43" t="s">
        <v>848</v>
      </c>
      <c r="B1271" s="43" t="s">
        <v>914</v>
      </c>
      <c r="C1271" s="43" t="s">
        <v>1683</v>
      </c>
      <c r="D1271" s="43"/>
      <c r="E1271" s="109" t="s">
        <v>851</v>
      </c>
      <c r="F1271" s="363" t="s">
        <v>1682</v>
      </c>
      <c r="G1271" s="43"/>
    </row>
    <row r="1272" spans="1:7" x14ac:dyDescent="0.25">
      <c r="A1272" s="423" t="s">
        <v>1715</v>
      </c>
      <c r="B1272" s="423"/>
      <c r="C1272" s="423"/>
      <c r="D1272" s="423"/>
      <c r="E1272" s="423"/>
      <c r="F1272" s="423"/>
      <c r="G1272" s="43"/>
    </row>
    <row r="1273" spans="1:7" ht="45" x14ac:dyDescent="0.25">
      <c r="A1273" s="17" t="s">
        <v>94</v>
      </c>
      <c r="B1273" s="17" t="s">
        <v>21</v>
      </c>
      <c r="C1273" s="17" t="s">
        <v>0</v>
      </c>
      <c r="D1273" s="17" t="s">
        <v>1</v>
      </c>
      <c r="E1273" s="17" t="s">
        <v>2</v>
      </c>
      <c r="F1273" s="17" t="s">
        <v>3</v>
      </c>
      <c r="G1273" s="43"/>
    </row>
    <row r="1274" spans="1:7" ht="30" x14ac:dyDescent="0.25">
      <c r="A1274" s="345" t="s">
        <v>937</v>
      </c>
      <c r="B1274" s="345" t="s">
        <v>909</v>
      </c>
      <c r="C1274" s="345" t="s">
        <v>938</v>
      </c>
      <c r="D1274" s="345" t="s">
        <v>939</v>
      </c>
      <c r="E1274" s="346" t="s">
        <v>851</v>
      </c>
      <c r="F1274" s="347">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5" t="s">
        <v>896</v>
      </c>
      <c r="B1276" s="345" t="s">
        <v>953</v>
      </c>
      <c r="C1276" s="345" t="s">
        <v>954</v>
      </c>
      <c r="D1276" s="345"/>
      <c r="E1276" s="346" t="s">
        <v>851</v>
      </c>
      <c r="F1276" s="347">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5" t="s">
        <v>1014</v>
      </c>
      <c r="B1278" s="345" t="s">
        <v>1015</v>
      </c>
      <c r="C1278" s="345" t="s">
        <v>1016</v>
      </c>
      <c r="D1278" s="345"/>
      <c r="E1278" s="346" t="s">
        <v>851</v>
      </c>
      <c r="F1278" s="347">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5" t="s">
        <v>1109</v>
      </c>
      <c r="B1280" s="345" t="s">
        <v>1110</v>
      </c>
      <c r="C1280" s="345" t="s">
        <v>1111</v>
      </c>
      <c r="D1280" s="345" t="s">
        <v>1112</v>
      </c>
      <c r="E1280" s="346" t="s">
        <v>851</v>
      </c>
      <c r="F1280" s="347">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5" t="s">
        <v>992</v>
      </c>
      <c r="B1284" s="345" t="s">
        <v>1213</v>
      </c>
      <c r="C1284" s="345" t="s">
        <v>1214</v>
      </c>
      <c r="D1284" s="345"/>
      <c r="E1284" s="346" t="s">
        <v>1094</v>
      </c>
      <c r="F1284" s="347">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5" t="s">
        <v>1255</v>
      </c>
      <c r="B1286" s="345" t="s">
        <v>1256</v>
      </c>
      <c r="C1286" s="345" t="s">
        <v>1257</v>
      </c>
      <c r="D1286" s="345" t="s">
        <v>1258</v>
      </c>
      <c r="E1286" s="346" t="s">
        <v>851</v>
      </c>
      <c r="F1286" s="347">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5" t="s">
        <v>873</v>
      </c>
      <c r="B1288" s="345" t="s">
        <v>874</v>
      </c>
      <c r="C1288" s="345" t="s">
        <v>1280</v>
      </c>
      <c r="D1288" s="345" t="s">
        <v>1281</v>
      </c>
      <c r="E1288" s="346" t="s">
        <v>1094</v>
      </c>
      <c r="F1288" s="347">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5" t="s">
        <v>914</v>
      </c>
      <c r="B1290" s="345" t="s">
        <v>943</v>
      </c>
      <c r="C1290" s="345" t="s">
        <v>1289</v>
      </c>
      <c r="D1290" s="345"/>
      <c r="E1290" s="346" t="s">
        <v>851</v>
      </c>
      <c r="F1290" s="347">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5" t="s">
        <v>1144</v>
      </c>
      <c r="B1292" s="345" t="s">
        <v>914</v>
      </c>
      <c r="C1292" s="345" t="s">
        <v>1303</v>
      </c>
      <c r="D1292" s="345"/>
      <c r="E1292" s="346" t="s">
        <v>851</v>
      </c>
      <c r="F1292" s="347">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5" t="s">
        <v>909</v>
      </c>
      <c r="B1294" s="345" t="s">
        <v>928</v>
      </c>
      <c r="C1294" s="345" t="s">
        <v>1047</v>
      </c>
      <c r="D1294" s="345"/>
      <c r="E1294" s="346" t="s">
        <v>851</v>
      </c>
      <c r="F1294" s="347"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5" t="s">
        <v>953</v>
      </c>
      <c r="B1296" s="345" t="s">
        <v>1345</v>
      </c>
      <c r="C1296" s="345" t="s">
        <v>1346</v>
      </c>
      <c r="D1296" s="345"/>
      <c r="E1296" s="346" t="s">
        <v>851</v>
      </c>
      <c r="F1296" s="347"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5" t="s">
        <v>1356</v>
      </c>
      <c r="B1298" s="345" t="s">
        <v>943</v>
      </c>
      <c r="C1298" s="345" t="s">
        <v>1357</v>
      </c>
      <c r="D1298" s="345"/>
      <c r="E1298" s="346" t="s">
        <v>1094</v>
      </c>
      <c r="F1298" s="347"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5" t="s">
        <v>1394</v>
      </c>
      <c r="B1302" s="345" t="s">
        <v>1395</v>
      </c>
      <c r="C1302" s="345" t="s">
        <v>1284</v>
      </c>
      <c r="D1302" s="345" t="s">
        <v>1182</v>
      </c>
      <c r="E1302" s="346" t="s">
        <v>851</v>
      </c>
      <c r="F1302" s="347">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5" t="s">
        <v>1410</v>
      </c>
      <c r="B1304" s="345" t="s">
        <v>1411</v>
      </c>
      <c r="C1304" s="345" t="s">
        <v>1412</v>
      </c>
      <c r="D1304" s="345" t="s">
        <v>1028</v>
      </c>
      <c r="E1304" s="346" t="s">
        <v>851</v>
      </c>
      <c r="F1304" s="347">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5" t="s">
        <v>953</v>
      </c>
      <c r="B1306" s="345" t="s">
        <v>848</v>
      </c>
      <c r="C1306" s="345" t="s">
        <v>1420</v>
      </c>
      <c r="D1306" s="345"/>
      <c r="E1306" s="346" t="s">
        <v>851</v>
      </c>
      <c r="F1306" s="347">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5" t="s">
        <v>1014</v>
      </c>
      <c r="B1308" s="345" t="s">
        <v>1474</v>
      </c>
      <c r="C1308" s="345" t="s">
        <v>1475</v>
      </c>
      <c r="D1308" s="345"/>
      <c r="E1308" s="346" t="s">
        <v>851</v>
      </c>
      <c r="F1308" s="347">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5" t="s">
        <v>914</v>
      </c>
      <c r="B1310" s="345" t="s">
        <v>953</v>
      </c>
      <c r="C1310" s="345" t="s">
        <v>1217</v>
      </c>
      <c r="D1310" s="345" t="s">
        <v>1398</v>
      </c>
      <c r="E1310" s="346" t="s">
        <v>851</v>
      </c>
      <c r="F1310" s="347">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5" t="s">
        <v>914</v>
      </c>
      <c r="B1312" s="345" t="s">
        <v>943</v>
      </c>
      <c r="C1312" s="345" t="s">
        <v>1575</v>
      </c>
      <c r="D1312" s="345"/>
      <c r="E1312" s="346" t="s">
        <v>851</v>
      </c>
      <c r="F1312" s="359" t="s">
        <v>1574</v>
      </c>
      <c r="G1312" s="43"/>
    </row>
    <row r="1313" spans="1:7" ht="30" x14ac:dyDescent="0.25">
      <c r="A1313" s="43" t="s">
        <v>1068</v>
      </c>
      <c r="B1313" s="43" t="s">
        <v>1577</v>
      </c>
      <c r="C1313" s="43" t="s">
        <v>1468</v>
      </c>
      <c r="D1313" s="43" t="s">
        <v>1281</v>
      </c>
      <c r="E1313" s="109" t="s">
        <v>851</v>
      </c>
      <c r="F1313" s="356" t="s">
        <v>1576</v>
      </c>
      <c r="G1313" s="43"/>
    </row>
    <row r="1314" spans="1:7" ht="30" x14ac:dyDescent="0.25">
      <c r="A1314" s="345" t="s">
        <v>944</v>
      </c>
      <c r="B1314" s="345" t="s">
        <v>944</v>
      </c>
      <c r="C1314" s="345" t="s">
        <v>1616</v>
      </c>
      <c r="D1314" s="345" t="s">
        <v>1617</v>
      </c>
      <c r="E1314" s="346" t="s">
        <v>851</v>
      </c>
      <c r="F1314" s="347">
        <v>1059595276</v>
      </c>
      <c r="G1314" s="43"/>
    </row>
    <row r="1315" spans="1:7" x14ac:dyDescent="0.25">
      <c r="A1315" s="423" t="s">
        <v>1716</v>
      </c>
      <c r="B1315" s="423"/>
      <c r="C1315" s="423"/>
      <c r="D1315" s="423"/>
      <c r="E1315" s="423"/>
      <c r="F1315" s="423"/>
      <c r="G1315" s="43"/>
    </row>
    <row r="1316" spans="1:7" ht="45" x14ac:dyDescent="0.25">
      <c r="A1316" s="17" t="s">
        <v>94</v>
      </c>
      <c r="B1316" s="17" t="s">
        <v>21</v>
      </c>
      <c r="C1316" s="17" t="s">
        <v>0</v>
      </c>
      <c r="D1316" s="17" t="s">
        <v>1</v>
      </c>
      <c r="E1316" s="17" t="s">
        <v>2</v>
      </c>
      <c r="F1316" s="17" t="s">
        <v>3</v>
      </c>
      <c r="G1316" s="43"/>
    </row>
    <row r="1317" spans="1:7" ht="30" x14ac:dyDescent="0.25">
      <c r="A1317" s="345" t="s">
        <v>847</v>
      </c>
      <c r="B1317" s="345" t="s">
        <v>848</v>
      </c>
      <c r="C1317" s="345" t="s">
        <v>849</v>
      </c>
      <c r="D1317" s="345" t="s">
        <v>850</v>
      </c>
      <c r="E1317" s="346" t="s">
        <v>851</v>
      </c>
      <c r="F1317" s="347">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5" t="s">
        <v>883</v>
      </c>
      <c r="B1319" s="345" t="s">
        <v>884</v>
      </c>
      <c r="C1319" s="345" t="s">
        <v>885</v>
      </c>
      <c r="D1319" s="345" t="s">
        <v>850</v>
      </c>
      <c r="E1319" s="346" t="s">
        <v>851</v>
      </c>
      <c r="F1319" s="347">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5" t="s">
        <v>896</v>
      </c>
      <c r="B1321" s="345" t="s">
        <v>873</v>
      </c>
      <c r="C1321" s="345"/>
      <c r="D1321" s="345"/>
      <c r="E1321" s="346" t="s">
        <v>851</v>
      </c>
      <c r="F1321" s="347">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5" t="s">
        <v>908</v>
      </c>
      <c r="B1323" s="345" t="s">
        <v>909</v>
      </c>
      <c r="C1323" s="345" t="s">
        <v>910</v>
      </c>
      <c r="D1323" s="345" t="s">
        <v>850</v>
      </c>
      <c r="E1323" s="346" t="s">
        <v>851</v>
      </c>
      <c r="F1323" s="347">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5" t="s">
        <v>922</v>
      </c>
      <c r="B1325" s="345" t="s">
        <v>923</v>
      </c>
      <c r="C1325" s="345" t="s">
        <v>924</v>
      </c>
      <c r="D1325" s="345"/>
      <c r="E1325" s="346" t="s">
        <v>851</v>
      </c>
      <c r="F1325" s="347">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5" t="s">
        <v>937</v>
      </c>
      <c r="B1327" s="345" t="s">
        <v>909</v>
      </c>
      <c r="C1327" s="345" t="s">
        <v>938</v>
      </c>
      <c r="D1327" s="345" t="s">
        <v>939</v>
      </c>
      <c r="E1327" s="346" t="s">
        <v>851</v>
      </c>
      <c r="F1327" s="347">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5" t="s">
        <v>947</v>
      </c>
      <c r="B1329" s="345" t="s">
        <v>948</v>
      </c>
      <c r="C1329" s="345" t="s">
        <v>949</v>
      </c>
      <c r="D1329" s="345" t="s">
        <v>950</v>
      </c>
      <c r="E1329" s="346" t="s">
        <v>851</v>
      </c>
      <c r="F1329" s="347">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5" t="s">
        <v>943</v>
      </c>
      <c r="B1331" s="345" t="s">
        <v>944</v>
      </c>
      <c r="C1331" s="345" t="s">
        <v>957</v>
      </c>
      <c r="D1331" s="345" t="s">
        <v>958</v>
      </c>
      <c r="E1331" s="346" t="s">
        <v>851</v>
      </c>
      <c r="F1331" s="347">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5" t="s">
        <v>967</v>
      </c>
      <c r="B1333" s="345" t="s">
        <v>968</v>
      </c>
      <c r="C1333" s="345" t="s">
        <v>969</v>
      </c>
      <c r="D1333" s="345"/>
      <c r="E1333" s="346" t="s">
        <v>851</v>
      </c>
      <c r="F1333" s="347">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5" t="s">
        <v>979</v>
      </c>
      <c r="B1335" s="345" t="s">
        <v>980</v>
      </c>
      <c r="C1335" s="345" t="s">
        <v>981</v>
      </c>
      <c r="D1335" s="345" t="s">
        <v>982</v>
      </c>
      <c r="E1335" s="346" t="s">
        <v>851</v>
      </c>
      <c r="F1335" s="347">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5" t="s">
        <v>991</v>
      </c>
      <c r="B1337" s="345" t="s">
        <v>992</v>
      </c>
      <c r="C1337" s="345"/>
      <c r="D1337" s="345" t="s">
        <v>993</v>
      </c>
      <c r="E1337" s="346" t="s">
        <v>851</v>
      </c>
      <c r="F1337" s="347">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5" t="s">
        <v>857</v>
      </c>
      <c r="B1339" s="345" t="s">
        <v>1001</v>
      </c>
      <c r="C1339" s="345" t="s">
        <v>1002</v>
      </c>
      <c r="D1339" s="345"/>
      <c r="E1339" s="346" t="s">
        <v>851</v>
      </c>
      <c r="F1339" s="347">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5" t="s">
        <v>1014</v>
      </c>
      <c r="B1341" s="345" t="s">
        <v>1015</v>
      </c>
      <c r="C1341" s="345" t="s">
        <v>1016</v>
      </c>
      <c r="D1341" s="345"/>
      <c r="E1341" s="346" t="s">
        <v>851</v>
      </c>
      <c r="F1341" s="347">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5" t="s">
        <v>1025</v>
      </c>
      <c r="B1343" s="345" t="s">
        <v>1026</v>
      </c>
      <c r="C1343" s="345" t="s">
        <v>1027</v>
      </c>
      <c r="D1343" s="345" t="s">
        <v>1028</v>
      </c>
      <c r="E1343" s="346" t="s">
        <v>851</v>
      </c>
      <c r="F1343" s="347">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5" t="s">
        <v>1037</v>
      </c>
      <c r="B1345" s="345" t="s">
        <v>980</v>
      </c>
      <c r="C1345" s="345" t="s">
        <v>1038</v>
      </c>
      <c r="D1345" s="345"/>
      <c r="E1345" s="346" t="s">
        <v>851</v>
      </c>
      <c r="F1345" s="347">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5" t="s">
        <v>848</v>
      </c>
      <c r="B1347" s="345" t="s">
        <v>874</v>
      </c>
      <c r="C1347" s="345" t="s">
        <v>1046</v>
      </c>
      <c r="D1347" s="345" t="s">
        <v>1047</v>
      </c>
      <c r="E1347" s="346" t="s">
        <v>851</v>
      </c>
      <c r="F1347" s="347">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5" t="s">
        <v>992</v>
      </c>
      <c r="B1349" s="345" t="s">
        <v>908</v>
      </c>
      <c r="C1349" s="345" t="s">
        <v>1055</v>
      </c>
      <c r="D1349" s="345"/>
      <c r="E1349" s="346" t="s">
        <v>851</v>
      </c>
      <c r="F1349" s="347">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5" t="s">
        <v>848</v>
      </c>
      <c r="B1351" s="345"/>
      <c r="C1351" s="345" t="s">
        <v>1063</v>
      </c>
      <c r="D1351" s="345"/>
      <c r="E1351" s="346" t="s">
        <v>851</v>
      </c>
      <c r="F1351" s="347">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5" t="s">
        <v>1041</v>
      </c>
      <c r="B1353" s="345" t="s">
        <v>953</v>
      </c>
      <c r="C1353" s="345" t="s">
        <v>1074</v>
      </c>
      <c r="D1353" s="345"/>
      <c r="E1353" s="346" t="s">
        <v>851</v>
      </c>
      <c r="F1353" s="347">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5" t="s">
        <v>953</v>
      </c>
      <c r="B1355" s="345" t="s">
        <v>1084</v>
      </c>
      <c r="C1355" s="345" t="s">
        <v>1085</v>
      </c>
      <c r="D1355" s="345"/>
      <c r="E1355" s="346" t="s">
        <v>851</v>
      </c>
      <c r="F1355" s="347">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5" t="s">
        <v>1098</v>
      </c>
      <c r="B1357" s="345" t="s">
        <v>914</v>
      </c>
      <c r="C1357" s="345" t="s">
        <v>1099</v>
      </c>
      <c r="D1357" s="345" t="s">
        <v>1100</v>
      </c>
      <c r="E1357" s="346" t="s">
        <v>1094</v>
      </c>
      <c r="F1357" s="347">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5" t="s">
        <v>1109</v>
      </c>
      <c r="B1359" s="345" t="s">
        <v>1110</v>
      </c>
      <c r="C1359" s="345" t="s">
        <v>1111</v>
      </c>
      <c r="D1359" s="345" t="s">
        <v>1112</v>
      </c>
      <c r="E1359" s="346" t="s">
        <v>851</v>
      </c>
      <c r="F1359" s="347">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5" t="s">
        <v>1122</v>
      </c>
      <c r="B1361" s="345" t="s">
        <v>1123</v>
      </c>
      <c r="C1361" s="345" t="s">
        <v>1124</v>
      </c>
      <c r="D1361" s="345"/>
      <c r="E1361" s="346" t="s">
        <v>851</v>
      </c>
      <c r="F1361" s="347">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5" t="s">
        <v>1134</v>
      </c>
      <c r="B1363" s="345" t="s">
        <v>1135</v>
      </c>
      <c r="C1363" s="345" t="s">
        <v>1136</v>
      </c>
      <c r="D1363" s="345" t="s">
        <v>1129</v>
      </c>
      <c r="E1363" s="346" t="s">
        <v>1094</v>
      </c>
      <c r="F1363" s="347">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5" t="s">
        <v>1140</v>
      </c>
      <c r="B1365" s="345" t="s">
        <v>1141</v>
      </c>
      <c r="C1365" s="345" t="s">
        <v>1142</v>
      </c>
      <c r="D1365" s="345"/>
      <c r="E1365" s="346" t="s">
        <v>851</v>
      </c>
      <c r="F1365" s="347">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5" t="s">
        <v>884</v>
      </c>
      <c r="B1367" s="345" t="s">
        <v>1147</v>
      </c>
      <c r="C1367" s="345" t="s">
        <v>938</v>
      </c>
      <c r="D1367" s="345" t="s">
        <v>1148</v>
      </c>
      <c r="E1367" s="346" t="s">
        <v>851</v>
      </c>
      <c r="F1367" s="347">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5" t="s">
        <v>1155</v>
      </c>
      <c r="B1369" s="345" t="s">
        <v>1156</v>
      </c>
      <c r="C1369" s="345" t="s">
        <v>954</v>
      </c>
      <c r="D1369" s="345" t="s">
        <v>1157</v>
      </c>
      <c r="E1369" s="346" t="s">
        <v>851</v>
      </c>
      <c r="F1369" s="347">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5" t="s">
        <v>1165</v>
      </c>
      <c r="B1371" s="345" t="s">
        <v>1166</v>
      </c>
      <c r="C1371" s="345" t="s">
        <v>1167</v>
      </c>
      <c r="D1371" s="345"/>
      <c r="E1371" s="346" t="s">
        <v>851</v>
      </c>
      <c r="F1371" s="347">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5" t="s">
        <v>1175</v>
      </c>
      <c r="B1373" s="345" t="s">
        <v>1176</v>
      </c>
      <c r="C1373" s="345" t="s">
        <v>1177</v>
      </c>
      <c r="D1373" s="345" t="s">
        <v>1100</v>
      </c>
      <c r="E1373" s="346" t="s">
        <v>851</v>
      </c>
      <c r="F1373" s="347">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5" t="s">
        <v>1179</v>
      </c>
      <c r="B1375" s="345" t="s">
        <v>1180</v>
      </c>
      <c r="C1375" s="345" t="s">
        <v>1181</v>
      </c>
      <c r="D1375" s="345" t="s">
        <v>1182</v>
      </c>
      <c r="E1375" s="346" t="s">
        <v>1094</v>
      </c>
      <c r="F1375" s="347">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5" t="s">
        <v>1196</v>
      </c>
      <c r="B1377" s="345" t="s">
        <v>1197</v>
      </c>
      <c r="C1377" s="345" t="s">
        <v>1198</v>
      </c>
      <c r="D1377" s="345" t="s">
        <v>1199</v>
      </c>
      <c r="E1377" s="346" t="s">
        <v>851</v>
      </c>
      <c r="F1377" s="347">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5" t="s">
        <v>909</v>
      </c>
      <c r="B1379" s="345"/>
      <c r="C1379" s="345" t="s">
        <v>1203</v>
      </c>
      <c r="D1379" s="345"/>
      <c r="E1379" s="346" t="s">
        <v>851</v>
      </c>
      <c r="F1379" s="347">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5" t="s">
        <v>1209</v>
      </c>
      <c r="B1381" s="345" t="s">
        <v>1210</v>
      </c>
      <c r="C1381" s="345" t="s">
        <v>1043</v>
      </c>
      <c r="D1381" s="345"/>
      <c r="E1381" s="346" t="s">
        <v>851</v>
      </c>
      <c r="F1381" s="347">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5" t="s">
        <v>992</v>
      </c>
      <c r="B1383" s="345" t="s">
        <v>1213</v>
      </c>
      <c r="C1383" s="345" t="s">
        <v>1214</v>
      </c>
      <c r="D1383" s="345"/>
      <c r="E1383" s="346" t="s">
        <v>1094</v>
      </c>
      <c r="F1383" s="347">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5" t="s">
        <v>1127</v>
      </c>
      <c r="B1385" s="345" t="s">
        <v>1127</v>
      </c>
      <c r="C1385" s="345" t="s">
        <v>1217</v>
      </c>
      <c r="D1385" s="345" t="s">
        <v>1218</v>
      </c>
      <c r="E1385" s="346" t="s">
        <v>1094</v>
      </c>
      <c r="F1385" s="347">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5" t="s">
        <v>1223</v>
      </c>
      <c r="B1387" s="345" t="s">
        <v>1224</v>
      </c>
      <c r="C1387" s="345" t="s">
        <v>1225</v>
      </c>
      <c r="D1387" s="345" t="s">
        <v>1226</v>
      </c>
      <c r="E1387" s="346" t="s">
        <v>851</v>
      </c>
      <c r="F1387" s="347">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5" t="s">
        <v>1144</v>
      </c>
      <c r="B1389" s="345" t="s">
        <v>953</v>
      </c>
      <c r="C1389" s="345" t="s">
        <v>1232</v>
      </c>
      <c r="D1389" s="345"/>
      <c r="E1389" s="346" t="s">
        <v>851</v>
      </c>
      <c r="F1389" s="347">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5" t="s">
        <v>1237</v>
      </c>
      <c r="B1391" s="345" t="s">
        <v>1238</v>
      </c>
      <c r="C1391" s="345" t="s">
        <v>1239</v>
      </c>
      <c r="D1391" s="345" t="s">
        <v>1240</v>
      </c>
      <c r="E1391" s="346" t="s">
        <v>851</v>
      </c>
      <c r="F1391" s="347">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5" t="s">
        <v>1202</v>
      </c>
      <c r="B1393" s="345" t="s">
        <v>1244</v>
      </c>
      <c r="C1393" s="345" t="s">
        <v>1245</v>
      </c>
      <c r="D1393" s="345" t="s">
        <v>848</v>
      </c>
      <c r="E1393" s="346" t="s">
        <v>851</v>
      </c>
      <c r="F1393" s="347">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5" t="s">
        <v>1249</v>
      </c>
      <c r="B1395" s="345" t="s">
        <v>883</v>
      </c>
      <c r="C1395" s="345" t="s">
        <v>949</v>
      </c>
      <c r="D1395" s="345" t="s">
        <v>1250</v>
      </c>
      <c r="E1395" s="346" t="s">
        <v>851</v>
      </c>
      <c r="F1395" s="347">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5" t="s">
        <v>1255</v>
      </c>
      <c r="B1397" s="345" t="s">
        <v>1256</v>
      </c>
      <c r="C1397" s="345" t="s">
        <v>1257</v>
      </c>
      <c r="D1397" s="345" t="s">
        <v>1258</v>
      </c>
      <c r="E1397" s="346" t="s">
        <v>851</v>
      </c>
      <c r="F1397" s="347">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5" t="s">
        <v>1265</v>
      </c>
      <c r="B1399" s="345" t="s">
        <v>953</v>
      </c>
      <c r="C1399" s="345" t="s">
        <v>1266</v>
      </c>
      <c r="D1399" s="345"/>
      <c r="E1399" s="346" t="s">
        <v>851</v>
      </c>
      <c r="F1399" s="347">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5" t="s">
        <v>980</v>
      </c>
      <c r="B1401" s="345" t="s">
        <v>980</v>
      </c>
      <c r="C1401" s="345" t="s">
        <v>1272</v>
      </c>
      <c r="D1401" s="345" t="s">
        <v>1273</v>
      </c>
      <c r="E1401" s="346" t="s">
        <v>851</v>
      </c>
      <c r="F1401" s="347">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5" t="s">
        <v>873</v>
      </c>
      <c r="B1403" s="345" t="s">
        <v>874</v>
      </c>
      <c r="C1403" s="345" t="s">
        <v>1280</v>
      </c>
      <c r="D1403" s="345" t="s">
        <v>1281</v>
      </c>
      <c r="E1403" s="346" t="s">
        <v>1094</v>
      </c>
      <c r="F1403" s="347">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5" t="s">
        <v>896</v>
      </c>
      <c r="B1405" s="345" t="s">
        <v>943</v>
      </c>
      <c r="C1405" s="345" t="s">
        <v>1284</v>
      </c>
      <c r="D1405" s="345" t="s">
        <v>1285</v>
      </c>
      <c r="E1405" s="346" t="s">
        <v>851</v>
      </c>
      <c r="F1405" s="347">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5" t="s">
        <v>914</v>
      </c>
      <c r="B1407" s="345" t="s">
        <v>943</v>
      </c>
      <c r="C1407" s="345" t="s">
        <v>1289</v>
      </c>
      <c r="D1407" s="345"/>
      <c r="E1407" s="346" t="s">
        <v>851</v>
      </c>
      <c r="F1407" s="347">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5" t="s">
        <v>884</v>
      </c>
      <c r="B1409" s="345"/>
      <c r="C1409" s="345" t="s">
        <v>1293</v>
      </c>
      <c r="D1409" s="345" t="s">
        <v>1294</v>
      </c>
      <c r="E1409" s="346" t="s">
        <v>1094</v>
      </c>
      <c r="F1409" s="347">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5" t="s">
        <v>1144</v>
      </c>
      <c r="B1411" s="345" t="s">
        <v>914</v>
      </c>
      <c r="C1411" s="345" t="s">
        <v>1303</v>
      </c>
      <c r="D1411" s="345"/>
      <c r="E1411" s="346" t="s">
        <v>851</v>
      </c>
      <c r="F1411" s="347">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5" t="s">
        <v>1309</v>
      </c>
      <c r="B1413" s="345" t="s">
        <v>1310</v>
      </c>
      <c r="C1413" s="345" t="s">
        <v>1281</v>
      </c>
      <c r="D1413" s="345" t="s">
        <v>1277</v>
      </c>
      <c r="E1413" s="346" t="s">
        <v>851</v>
      </c>
      <c r="F1413" s="347">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5" t="s">
        <v>884</v>
      </c>
      <c r="B1415" s="345" t="s">
        <v>1322</v>
      </c>
      <c r="C1415" s="345" t="s">
        <v>1323</v>
      </c>
      <c r="D1415" s="345" t="s">
        <v>1324</v>
      </c>
      <c r="E1415" s="346" t="s">
        <v>851</v>
      </c>
      <c r="F1415" s="347"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5" t="s">
        <v>884</v>
      </c>
      <c r="B1417" s="345" t="s">
        <v>943</v>
      </c>
      <c r="C1417" s="345" t="s">
        <v>1330</v>
      </c>
      <c r="D1417" s="345"/>
      <c r="E1417" s="346" t="s">
        <v>851</v>
      </c>
      <c r="F1417" s="347">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5" t="s">
        <v>1336</v>
      </c>
      <c r="B1419" s="345" t="s">
        <v>1336</v>
      </c>
      <c r="C1419" s="345" t="s">
        <v>938</v>
      </c>
      <c r="D1419" s="345" t="s">
        <v>1337</v>
      </c>
      <c r="E1419" s="346" t="s">
        <v>851</v>
      </c>
      <c r="F1419" s="347">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5" t="s">
        <v>953</v>
      </c>
      <c r="B1421" s="345" t="s">
        <v>1345</v>
      </c>
      <c r="C1421" s="345" t="s">
        <v>1346</v>
      </c>
      <c r="D1421" s="345"/>
      <c r="E1421" s="346" t="s">
        <v>851</v>
      </c>
      <c r="F1421" s="347"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5" t="s">
        <v>1349</v>
      </c>
      <c r="B1423" s="345" t="s">
        <v>1350</v>
      </c>
      <c r="C1423" s="345" t="s">
        <v>1351</v>
      </c>
      <c r="D1423" s="345" t="s">
        <v>1352</v>
      </c>
      <c r="E1423" s="346" t="s">
        <v>851</v>
      </c>
      <c r="F1423" s="347"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5" t="s">
        <v>1356</v>
      </c>
      <c r="B1425" s="345" t="s">
        <v>943</v>
      </c>
      <c r="C1425" s="345" t="s">
        <v>1357</v>
      </c>
      <c r="D1425" s="345"/>
      <c r="E1425" s="346" t="s">
        <v>1094</v>
      </c>
      <c r="F1425" s="347"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5" t="s">
        <v>943</v>
      </c>
      <c r="B1427" s="345" t="s">
        <v>1025</v>
      </c>
      <c r="C1427" s="345" t="s">
        <v>1657</v>
      </c>
      <c r="D1427" s="345"/>
      <c r="E1427" s="346" t="s">
        <v>851</v>
      </c>
      <c r="F1427" s="347">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5" t="s">
        <v>1365</v>
      </c>
      <c r="B1429" s="345" t="s">
        <v>1378</v>
      </c>
      <c r="C1429" s="345" t="s">
        <v>1379</v>
      </c>
      <c r="D1429" s="345"/>
      <c r="E1429" s="346" t="s">
        <v>851</v>
      </c>
      <c r="F1429" s="347">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5" t="s">
        <v>1394</v>
      </c>
      <c r="B1431" s="345" t="s">
        <v>1395</v>
      </c>
      <c r="C1431" s="345" t="s">
        <v>1284</v>
      </c>
      <c r="D1431" s="345" t="s">
        <v>1182</v>
      </c>
      <c r="E1431" s="346" t="s">
        <v>851</v>
      </c>
      <c r="F1431" s="347">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5" t="s">
        <v>1410</v>
      </c>
      <c r="B1433" s="345" t="s">
        <v>1411</v>
      </c>
      <c r="C1433" s="345" t="s">
        <v>1412</v>
      </c>
      <c r="D1433" s="345" t="s">
        <v>1028</v>
      </c>
      <c r="E1433" s="346" t="s">
        <v>851</v>
      </c>
      <c r="F1433" s="347">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5" t="s">
        <v>1424</v>
      </c>
      <c r="B1437" s="345" t="s">
        <v>1425</v>
      </c>
      <c r="C1437" s="345" t="s">
        <v>1192</v>
      </c>
      <c r="D1437" s="345" t="s">
        <v>1243</v>
      </c>
      <c r="E1437" s="346" t="s">
        <v>851</v>
      </c>
      <c r="F1437" s="347">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5" t="s">
        <v>1342</v>
      </c>
      <c r="B1439" s="345" t="s">
        <v>1450</v>
      </c>
      <c r="C1439" s="345" t="s">
        <v>1167</v>
      </c>
      <c r="D1439" s="345"/>
      <c r="E1439" s="346" t="s">
        <v>851</v>
      </c>
      <c r="F1439" s="347">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5" t="s">
        <v>1470</v>
      </c>
      <c r="B1441" s="345" t="s">
        <v>874</v>
      </c>
      <c r="C1441" s="345" t="s">
        <v>1217</v>
      </c>
      <c r="D1441" s="345" t="s">
        <v>1471</v>
      </c>
      <c r="E1441" s="346" t="s">
        <v>851</v>
      </c>
      <c r="F1441" s="347">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5" t="s">
        <v>1014</v>
      </c>
      <c r="B1443" s="345" t="s">
        <v>1474</v>
      </c>
      <c r="C1443" s="345" t="s">
        <v>1475</v>
      </c>
      <c r="D1443" s="345"/>
      <c r="E1443" s="346" t="s">
        <v>851</v>
      </c>
      <c r="F1443" s="347">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5" t="s">
        <v>914</v>
      </c>
      <c r="B1445" s="345" t="s">
        <v>953</v>
      </c>
      <c r="C1445" s="345" t="s">
        <v>1217</v>
      </c>
      <c r="D1445" s="345" t="s">
        <v>1398</v>
      </c>
      <c r="E1445" s="346" t="s">
        <v>851</v>
      </c>
      <c r="F1445" s="347">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5" t="s">
        <v>848</v>
      </c>
      <c r="B1447" s="345" t="s">
        <v>943</v>
      </c>
      <c r="C1447" s="345" t="s">
        <v>1565</v>
      </c>
      <c r="D1447" s="345"/>
      <c r="E1447" s="346" t="s">
        <v>851</v>
      </c>
      <c r="F1447" s="347">
        <v>1059606933</v>
      </c>
      <c r="G1447" s="43"/>
    </row>
    <row r="1448" spans="1:7" ht="30" x14ac:dyDescent="0.25">
      <c r="A1448" s="43" t="s">
        <v>914</v>
      </c>
      <c r="B1448" s="43" t="s">
        <v>943</v>
      </c>
      <c r="C1448" s="43" t="s">
        <v>1575</v>
      </c>
      <c r="D1448" s="43"/>
      <c r="E1448" s="109" t="s">
        <v>851</v>
      </c>
      <c r="F1448" s="356" t="s">
        <v>1574</v>
      </c>
      <c r="G1448" s="43"/>
    </row>
    <row r="1449" spans="1:7" ht="30" x14ac:dyDescent="0.25">
      <c r="A1449" s="345" t="s">
        <v>1068</v>
      </c>
      <c r="B1449" s="345" t="s">
        <v>1577</v>
      </c>
      <c r="C1449" s="345" t="s">
        <v>1468</v>
      </c>
      <c r="D1449" s="345" t="s">
        <v>1281</v>
      </c>
      <c r="E1449" s="346" t="s">
        <v>851</v>
      </c>
      <c r="F1449" s="359"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1315:F1315"/>
    <mergeCell ref="A1014:F1014"/>
    <mergeCell ref="A1063:F1063"/>
    <mergeCell ref="A1092:F1092"/>
    <mergeCell ref="A1187:F1187"/>
    <mergeCell ref="A1272:F1272"/>
    <mergeCell ref="A681:F681"/>
    <mergeCell ref="A619:F619"/>
    <mergeCell ref="A788:F788"/>
    <mergeCell ref="A923:F923"/>
    <mergeCell ref="A602:F602"/>
    <mergeCell ref="A611:F611"/>
    <mergeCell ref="A437:F437"/>
    <mergeCell ref="A464:F464"/>
    <mergeCell ref="A502:F502"/>
    <mergeCell ref="A535:F535"/>
    <mergeCell ref="A561:F561"/>
    <mergeCell ref="A380:F380"/>
    <mergeCell ref="A1:G1"/>
    <mergeCell ref="A112:G112"/>
    <mergeCell ref="A115:G115"/>
    <mergeCell ref="A160:G160"/>
    <mergeCell ref="A217:F217"/>
    <mergeCell ref="A236:F236"/>
    <mergeCell ref="A240:F240"/>
    <mergeCell ref="A278:F278"/>
    <mergeCell ref="A337:F337"/>
    <mergeCell ref="A341:F341"/>
  </mergeCells>
  <conditionalFormatting sqref="G3:G111">
    <cfRule type="cellIs" dxfId="9" priority="12" operator="equal">
      <formula>"CON RIESGO"</formula>
    </cfRule>
    <cfRule type="containsText" dxfId="8" priority="13" operator="containsText" text="BAJO">
      <formula>NOT(ISERROR(SEARCH("BAJO",G3)))</formula>
    </cfRule>
    <cfRule type="containsText" dxfId="7" priority="14" operator="containsText" text="ALTO">
      <formula>NOT(ISERROR(SEARCH("ALTO",G3)))</formula>
    </cfRule>
  </conditionalFormatting>
  <conditionalFormatting sqref="G114">
    <cfRule type="containsText" dxfId="6" priority="9" operator="containsText" text="NORMAL">
      <formula>NOT(ISERROR(SEARCH("NORMAL",G114)))</formula>
    </cfRule>
    <cfRule type="containsText" dxfId="5" priority="10" operator="containsText" text="VIGILAR">
      <formula>NOT(ISERROR(SEARCH("VIGILAR",G114)))</formula>
    </cfRule>
    <cfRule type="containsText" dxfId="4" priority="11" operator="containsText" text="HTA">
      <formula>NOT(ISERROR(SEARCH("HTA",G114)))</formula>
    </cfRule>
  </conditionalFormatting>
  <conditionalFormatting sqref="G162">
    <cfRule type="containsText" dxfId="3" priority="5" operator="containsText" text="RH NEGATIVO SIN COOMB">
      <formula>NOT(ISERROR(SEARCH("RH NEGATIVO SIN COOMB",G162)))</formula>
    </cfRule>
    <cfRule type="containsText" dxfId="2" priority="6" operator="containsText" text="RH NEGATIVO CON COOMBS POSITIVO">
      <formula>NOT(ISERROR(SEARCH("RH NEGATIVO CON COOMBS POSITIVO",G162)))</formula>
    </cfRule>
    <cfRule type="containsText" dxfId="1" priority="7" operator="containsText" text="RH NEGATIVO CON COOMBS NEGATIVO">
      <formula>NOT(ISERROR(SEARCH("RH NEGATIVO CON COOMBS NEGATIVO",G162)))</formula>
    </cfRule>
    <cfRule type="containsText" dxfId="0"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INSTRUCTIVO </vt:lpstr>
      <vt:lpstr>INDICADORES</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2023-11-02T20:35:31Z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