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47B3EC3B-F1A3-45AB-9502-ACAA3F823441}"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5" l="1"/>
  <c r="P2" i="5"/>
  <c r="AK2" i="5"/>
  <c r="BM2" i="5"/>
  <c r="BN2" i="5"/>
  <c r="BO2" i="5"/>
  <c r="BQ2" i="5"/>
  <c r="CC2" i="5"/>
  <c r="CD2" i="5" s="1"/>
  <c r="CG2" i="5"/>
  <c r="CH2" i="5"/>
  <c r="CL2" i="5"/>
  <c r="CM2" i="5"/>
  <c r="CN2" i="5" s="1"/>
  <c r="CR2" i="5"/>
  <c r="CU2" i="5"/>
  <c r="CZ2" i="5"/>
  <c r="DR2" i="5"/>
  <c r="DU2" i="5"/>
  <c r="DV2" i="5" s="1"/>
  <c r="DW2" i="5"/>
  <c r="DX2" i="5" s="1"/>
  <c r="EL2" i="5"/>
  <c r="EQ2" i="5"/>
  <c r="EU2" i="5"/>
  <c r="FP2" i="5"/>
  <c r="GS2" i="5"/>
  <c r="HA2" i="5"/>
  <c r="HB2" i="5" s="1"/>
  <c r="HC2" i="5"/>
  <c r="HK2" i="5"/>
  <c r="HL2" i="5"/>
  <c r="HM2" i="5"/>
  <c r="HN2" i="5"/>
  <c r="HO2" i="5"/>
  <c r="HP2" i="5"/>
  <c r="HQ2" i="5"/>
  <c r="HR2" i="5"/>
  <c r="IN2" i="5"/>
  <c r="IP2" i="5"/>
  <c r="IY2" i="5"/>
  <c r="JN2" i="5" s="1"/>
  <c r="KG2" i="5"/>
  <c r="KI2" i="5"/>
  <c r="DT2" i="5"/>
  <c r="IK2" i="5"/>
  <c r="P3" i="5"/>
  <c r="BM3" i="5"/>
  <c r="BN3" i="5"/>
  <c r="BO3" i="5"/>
  <c r="BP3" i="5" s="1"/>
  <c r="BQ3" i="5"/>
  <c r="CC3" i="5"/>
  <c r="CD3" i="5" s="1"/>
  <c r="CG3" i="5"/>
  <c r="CH3" i="5"/>
  <c r="CI3" i="5" s="1"/>
  <c r="CL3" i="5"/>
  <c r="CM3" i="5"/>
  <c r="CR3" i="5"/>
  <c r="CU3" i="5"/>
  <c r="CZ3" i="5"/>
  <c r="DR3" i="5"/>
  <c r="DU3" i="5"/>
  <c r="DV3" i="5" s="1"/>
  <c r="DS3" i="5" s="1"/>
  <c r="DW3" i="5"/>
  <c r="DX3" i="5" s="1"/>
  <c r="EL3" i="5"/>
  <c r="EQ3" i="5"/>
  <c r="EU3" i="5"/>
  <c r="FP3" i="5"/>
  <c r="GS3" i="5"/>
  <c r="HA3" i="5"/>
  <c r="HB3" i="5" s="1"/>
  <c r="HC3" i="5"/>
  <c r="HK3" i="5"/>
  <c r="HR3" i="5"/>
  <c r="IP3" i="5"/>
  <c r="IY3" i="5"/>
  <c r="JN3" i="5" s="1"/>
  <c r="KG3" i="5"/>
  <c r="KI3" i="5"/>
  <c r="AK3" i="5"/>
  <c r="P4" i="5"/>
  <c r="BM4" i="5"/>
  <c r="BN4" i="5"/>
  <c r="BO4" i="5"/>
  <c r="DY4" i="5" s="1"/>
  <c r="BQ4" i="5"/>
  <c r="CC4" i="5"/>
  <c r="CD4" i="5" s="1"/>
  <c r="CG4" i="5"/>
  <c r="CH4" i="5"/>
  <c r="CI4" i="5" s="1"/>
  <c r="CL4" i="5"/>
  <c r="CM4" i="5"/>
  <c r="CR4" i="5"/>
  <c r="CU4" i="5"/>
  <c r="CZ4" i="5"/>
  <c r="DR4" i="5"/>
  <c r="DU4" i="5"/>
  <c r="DV4" i="5" s="1"/>
  <c r="DW4" i="5"/>
  <c r="DX4" i="5" s="1"/>
  <c r="EL4" i="5"/>
  <c r="EQ4" i="5"/>
  <c r="EU4" i="5"/>
  <c r="FP4" i="5"/>
  <c r="GS4" i="5"/>
  <c r="HA4" i="5"/>
  <c r="HB4" i="5" s="1"/>
  <c r="HC4" i="5"/>
  <c r="HK4" i="5"/>
  <c r="HR4" i="5"/>
  <c r="IP4" i="5"/>
  <c r="IY4" i="5"/>
  <c r="JN4" i="5" s="1"/>
  <c r="JX4" i="5"/>
  <c r="KG4" i="5"/>
  <c r="KI4" i="5"/>
  <c r="HO4" i="5"/>
  <c r="IN4" i="5"/>
  <c r="AK4" i="5"/>
  <c r="IK4" i="5"/>
  <c r="P5" i="5"/>
  <c r="BM5" i="5"/>
  <c r="BN5" i="5"/>
  <c r="BO5" i="5"/>
  <c r="BQ5" i="5"/>
  <c r="CC5" i="5"/>
  <c r="CD5" i="5" s="1"/>
  <c r="CG5" i="5"/>
  <c r="CH5" i="5"/>
  <c r="CL5" i="5"/>
  <c r="CM5" i="5"/>
  <c r="CR5" i="5"/>
  <c r="CU5" i="5"/>
  <c r="CZ5" i="5"/>
  <c r="DR5" i="5"/>
  <c r="DU5" i="5"/>
  <c r="DV5" i="5" s="1"/>
  <c r="DW5" i="5"/>
  <c r="DX5" i="5" s="1"/>
  <c r="EL5" i="5"/>
  <c r="EQ5" i="5"/>
  <c r="EU5" i="5"/>
  <c r="FP5" i="5"/>
  <c r="GS5" i="5"/>
  <c r="HA5" i="5"/>
  <c r="HB5" i="5" s="1"/>
  <c r="HC5" i="5"/>
  <c r="HK5" i="5"/>
  <c r="HR5" i="5"/>
  <c r="IP5" i="5"/>
  <c r="IY5" i="5"/>
  <c r="JN5" i="5" s="1"/>
  <c r="KG5" i="5"/>
  <c r="KI5" i="5"/>
  <c r="HO5" i="5"/>
  <c r="IN5" i="5"/>
  <c r="AK5" i="5"/>
  <c r="IK5" i="5"/>
  <c r="N6" i="5"/>
  <c r="P6" i="5"/>
  <c r="BM6" i="5"/>
  <c r="BN6" i="5"/>
  <c r="BO6" i="5"/>
  <c r="DY6" i="5" s="1"/>
  <c r="BQ6" i="5"/>
  <c r="CC6" i="5"/>
  <c r="CD6" i="5" s="1"/>
  <c r="CG6" i="5"/>
  <c r="CH6" i="5"/>
  <c r="CI6" i="5" s="1"/>
  <c r="CL6" i="5"/>
  <c r="CM6" i="5"/>
  <c r="CR6" i="5"/>
  <c r="CU6" i="5"/>
  <c r="CZ6" i="5"/>
  <c r="DR6" i="5"/>
  <c r="DS6" i="5"/>
  <c r="DT6" i="5"/>
  <c r="DU6" i="5"/>
  <c r="DV6" i="5" s="1"/>
  <c r="DW6" i="5"/>
  <c r="DX6" i="5" s="1"/>
  <c r="EL6" i="5"/>
  <c r="EQ6" i="5"/>
  <c r="EU6" i="5"/>
  <c r="FP6" i="5"/>
  <c r="GS6" i="5"/>
  <c r="HA6" i="5"/>
  <c r="HB6" i="5" s="1"/>
  <c r="HC6" i="5"/>
  <c r="HK6" i="5"/>
  <c r="HR6" i="5"/>
  <c r="IP6" i="5"/>
  <c r="IY6" i="5"/>
  <c r="JX6" i="5" s="1"/>
  <c r="KG6" i="5"/>
  <c r="KI6" i="5"/>
  <c r="IN6" i="5"/>
  <c r="AK6" i="5"/>
  <c r="HQ6" i="5"/>
  <c r="IK6" i="5"/>
  <c r="N7" i="5"/>
  <c r="P7" i="5"/>
  <c r="BM7" i="5"/>
  <c r="HO7" i="5" s="1"/>
  <c r="HM7" i="5" s="1"/>
  <c r="BN7" i="5"/>
  <c r="BO7" i="5"/>
  <c r="DY7" i="5" s="1"/>
  <c r="BQ7" i="5"/>
  <c r="CC7" i="5"/>
  <c r="CD7" i="5" s="1"/>
  <c r="CG7" i="5"/>
  <c r="CH7" i="5"/>
  <c r="CI7" i="5" s="1"/>
  <c r="CL7" i="5"/>
  <c r="CM7" i="5"/>
  <c r="CN7" i="5" s="1"/>
  <c r="CR7" i="5"/>
  <c r="CU7" i="5"/>
  <c r="CZ7" i="5"/>
  <c r="DR7" i="5"/>
  <c r="DS7" i="5"/>
  <c r="DU7" i="5"/>
  <c r="DV7" i="5" s="1"/>
  <c r="DW7" i="5"/>
  <c r="DX7" i="5" s="1"/>
  <c r="EL7" i="5"/>
  <c r="EQ7" i="5"/>
  <c r="EU7" i="5"/>
  <c r="FP7" i="5"/>
  <c r="GS7" i="5"/>
  <c r="HA7" i="5"/>
  <c r="HB7" i="5"/>
  <c r="HC7" i="5"/>
  <c r="HK7" i="5"/>
  <c r="HR7" i="5"/>
  <c r="IP7" i="5"/>
  <c r="IY7" i="5"/>
  <c r="KG7" i="5"/>
  <c r="KI7" i="5"/>
  <c r="IN7" i="5"/>
  <c r="AK7" i="5"/>
  <c r="HQ7" i="5"/>
  <c r="IK7" i="5"/>
  <c r="N8" i="5"/>
  <c r="P8" i="5"/>
  <c r="AK8" i="5"/>
  <c r="BM8" i="5"/>
  <c r="BN8" i="5"/>
  <c r="BO8" i="5"/>
  <c r="DY8" i="5" s="1"/>
  <c r="BQ8" i="5"/>
  <c r="CC8" i="5"/>
  <c r="CD8" i="5" s="1"/>
  <c r="CG8" i="5"/>
  <c r="CH8" i="5"/>
  <c r="CI8" i="5" s="1"/>
  <c r="CL8" i="5"/>
  <c r="CM8" i="5"/>
  <c r="CR8" i="5"/>
  <c r="CU8" i="5"/>
  <c r="CZ8" i="5"/>
  <c r="DR8" i="5"/>
  <c r="DS8" i="5"/>
  <c r="DU8" i="5"/>
  <c r="DV8" i="5" s="1"/>
  <c r="DW8" i="5"/>
  <c r="DX8" i="5" s="1"/>
  <c r="EL8" i="5"/>
  <c r="EQ8" i="5"/>
  <c r="EU8" i="5"/>
  <c r="FP8" i="5"/>
  <c r="GS8" i="5"/>
  <c r="HA8" i="5"/>
  <c r="HB8" i="5" s="1"/>
  <c r="HC8" i="5"/>
  <c r="HK8" i="5"/>
  <c r="HR8" i="5"/>
  <c r="IP8" i="5"/>
  <c r="IY8" i="5"/>
  <c r="KG8" i="5"/>
  <c r="KI8" i="5"/>
  <c r="IN8" i="5"/>
  <c r="DT8" i="5"/>
  <c r="IK8" i="5"/>
  <c r="DZ8" i="5" l="1"/>
  <c r="JN6" i="5"/>
  <c r="DZ7" i="5"/>
  <c r="JX5" i="5"/>
  <c r="DS4" i="5"/>
  <c r="BP6" i="5"/>
  <c r="FD6" i="5" s="1"/>
  <c r="FB6" i="5" s="1"/>
  <c r="HN6" i="5" s="1"/>
  <c r="DS2" i="5"/>
  <c r="DZ4" i="5"/>
  <c r="DZ6" i="5"/>
  <c r="JX3" i="5"/>
  <c r="HP7" i="5"/>
  <c r="BP7" i="5"/>
  <c r="FJ7" i="5" s="1"/>
  <c r="HP6" i="5"/>
  <c r="DS5" i="5"/>
  <c r="HP8" i="5"/>
  <c r="CO7" i="5"/>
  <c r="HL7" i="5" s="1"/>
  <c r="HP4" i="5"/>
  <c r="BP5" i="5"/>
  <c r="GP5" i="5" s="1"/>
  <c r="JX2" i="5"/>
  <c r="BP2" i="5"/>
  <c r="DQ2" i="5" s="1"/>
  <c r="DY2" i="5"/>
  <c r="DZ2" i="5" s="1"/>
  <c r="HP5" i="5"/>
  <c r="HP3" i="5"/>
  <c r="DY5" i="5"/>
  <c r="GU5" i="5"/>
  <c r="GV5" i="5" s="1"/>
  <c r="IQ5" i="5"/>
  <c r="IR5" i="5" s="1"/>
  <c r="FG5" i="5"/>
  <c r="FJ5" i="5"/>
  <c r="FM5" i="5"/>
  <c r="GG5" i="5"/>
  <c r="IC5" i="5"/>
  <c r="FV5" i="5"/>
  <c r="GA5" i="5"/>
  <c r="DT3" i="5"/>
  <c r="HQ3" i="5"/>
  <c r="IK3" i="5"/>
  <c r="DT5" i="5"/>
  <c r="HQ5" i="5"/>
  <c r="EP2" i="5"/>
  <c r="GU2" i="5"/>
  <c r="GV2" i="5" s="1"/>
  <c r="GA2" i="5"/>
  <c r="EX2" i="5"/>
  <c r="FD2" i="5"/>
  <c r="FB2" i="5" s="1"/>
  <c r="EK2" i="5"/>
  <c r="EM2" i="5" s="1"/>
  <c r="FD3" i="5"/>
  <c r="FB3" i="5" s="1"/>
  <c r="FG3" i="5"/>
  <c r="FJ3" i="5"/>
  <c r="IQ3" i="5"/>
  <c r="IR3" i="5" s="1"/>
  <c r="IN3" i="5" s="1"/>
  <c r="FM3" i="5"/>
  <c r="FS3" i="5"/>
  <c r="GU3" i="5"/>
  <c r="GV3" i="5" s="1"/>
  <c r="FV3" i="5"/>
  <c r="EK3" i="5"/>
  <c r="EM3" i="5" s="1"/>
  <c r="GA3" i="5"/>
  <c r="GD3" i="5"/>
  <c r="ET3" i="5"/>
  <c r="DQ3" i="5"/>
  <c r="GG3" i="5"/>
  <c r="IC3" i="5"/>
  <c r="EX3" i="5"/>
  <c r="EP3" i="5"/>
  <c r="GP3" i="5"/>
  <c r="FM7" i="5"/>
  <c r="DQ6" i="5"/>
  <c r="HO3" i="5"/>
  <c r="CI2" i="5"/>
  <c r="CO2" i="5" s="1"/>
  <c r="GU6" i="5"/>
  <c r="GV6" i="5" s="1"/>
  <c r="DZ5" i="5"/>
  <c r="CN8" i="5"/>
  <c r="CO8" i="5" s="1"/>
  <c r="HL8" i="5" s="1"/>
  <c r="HQ8" i="5"/>
  <c r="JX7" i="5"/>
  <c r="FG7" i="5"/>
  <c r="HO6" i="5"/>
  <c r="HM6" i="5" s="1"/>
  <c r="CI5" i="5"/>
  <c r="BP4" i="5"/>
  <c r="JN7" i="5"/>
  <c r="FD7" i="5"/>
  <c r="FB7" i="5" s="1"/>
  <c r="DT7" i="5"/>
  <c r="GP6" i="5"/>
  <c r="EP6" i="5"/>
  <c r="CN3" i="5"/>
  <c r="CO3" i="5" s="1"/>
  <c r="HL3" i="5" s="1"/>
  <c r="HO8" i="5"/>
  <c r="HM8" i="5" s="1"/>
  <c r="CN6" i="5"/>
  <c r="CO6" i="5" s="1"/>
  <c r="HL6" i="5" s="1"/>
  <c r="CN5" i="5"/>
  <c r="EX6" i="5"/>
  <c r="GA6" i="5"/>
  <c r="EK6" i="5"/>
  <c r="EM6" i="5" s="1"/>
  <c r="DY3" i="5"/>
  <c r="DZ3" i="5" s="1"/>
  <c r="GU7" i="5"/>
  <c r="GV7" i="5" s="1"/>
  <c r="ET7" i="5"/>
  <c r="IC6" i="5"/>
  <c r="FV6" i="5"/>
  <c r="JX8" i="5"/>
  <c r="FS6" i="5"/>
  <c r="JN8" i="5"/>
  <c r="EP7" i="5"/>
  <c r="CN4" i="5"/>
  <c r="CO4" i="5" s="1"/>
  <c r="HL4" i="5" s="1"/>
  <c r="FJ6" i="5"/>
  <c r="BP8" i="5"/>
  <c r="IQ8" i="5" s="1"/>
  <c r="IR8" i="5" s="1"/>
  <c r="FM6" i="5"/>
  <c r="DQ7" i="5" l="1"/>
  <c r="GP7" i="5"/>
  <c r="GD6" i="5"/>
  <c r="ET6" i="5"/>
  <c r="GG6" i="5"/>
  <c r="IC2" i="5"/>
  <c r="IQ6" i="5"/>
  <c r="IR6" i="5" s="1"/>
  <c r="FG6" i="5"/>
  <c r="CO5" i="5"/>
  <c r="HL5" i="5" s="1"/>
  <c r="GD2" i="5"/>
  <c r="FS5" i="5"/>
  <c r="FD5" i="5"/>
  <c r="FB5" i="5" s="1"/>
  <c r="EX7" i="5"/>
  <c r="GG2" i="5"/>
  <c r="EX5" i="5"/>
  <c r="EP5" i="5"/>
  <c r="GD5" i="5"/>
  <c r="GA7" i="5"/>
  <c r="GG7" i="5"/>
  <c r="FV7" i="5"/>
  <c r="FS2" i="5"/>
  <c r="FS7" i="5"/>
  <c r="IC7" i="5"/>
  <c r="GD7" i="5"/>
  <c r="FM2" i="5"/>
  <c r="EK7" i="5"/>
  <c r="EM7" i="5" s="1"/>
  <c r="FG2" i="5"/>
  <c r="IQ7" i="5"/>
  <c r="IR7" i="5" s="1"/>
  <c r="ET2" i="5"/>
  <c r="GP2" i="5"/>
  <c r="FJ2" i="5"/>
  <c r="FV2" i="5"/>
  <c r="DQ5" i="5"/>
  <c r="IQ2" i="5"/>
  <c r="IR2" i="5" s="1"/>
  <c r="EK5" i="5"/>
  <c r="EM5" i="5" s="1"/>
  <c r="ET5" i="5"/>
  <c r="HM3" i="5"/>
  <c r="HN3" i="5"/>
  <c r="HM5" i="5"/>
  <c r="HQ4" i="5"/>
  <c r="DT4" i="5"/>
  <c r="FS4" i="5"/>
  <c r="FV4" i="5"/>
  <c r="EK4" i="5"/>
  <c r="EM4" i="5" s="1"/>
  <c r="GA4" i="5"/>
  <c r="GD4" i="5"/>
  <c r="GG4" i="5"/>
  <c r="IC4" i="5"/>
  <c r="EP4" i="5"/>
  <c r="GP4" i="5"/>
  <c r="ET4" i="5"/>
  <c r="GU4" i="5"/>
  <c r="GV4" i="5" s="1"/>
  <c r="FM4" i="5"/>
  <c r="DQ4" i="5"/>
  <c r="IQ4" i="5"/>
  <c r="IR4" i="5" s="1"/>
  <c r="EX4" i="5"/>
  <c r="FJ4" i="5"/>
  <c r="FD4" i="5"/>
  <c r="FB4" i="5" s="1"/>
  <c r="FG4" i="5"/>
  <c r="HN7" i="5"/>
  <c r="DQ8" i="5"/>
  <c r="EX8" i="5"/>
  <c r="FD8" i="5"/>
  <c r="FB8" i="5" s="1"/>
  <c r="FG8" i="5"/>
  <c r="FJ8" i="5"/>
  <c r="FM8" i="5"/>
  <c r="GP8" i="5"/>
  <c r="GU8" i="5"/>
  <c r="GV8" i="5" s="1"/>
  <c r="EP8" i="5"/>
  <c r="FS8" i="5"/>
  <c r="FV8" i="5"/>
  <c r="EK8" i="5"/>
  <c r="EM8" i="5" s="1"/>
  <c r="GA8" i="5"/>
  <c r="GG8" i="5"/>
  <c r="ET8" i="5"/>
  <c r="GD8" i="5"/>
  <c r="IC8" i="5"/>
  <c r="HN5" i="5"/>
  <c r="HM4" i="5" l="1"/>
  <c r="HN4" i="5"/>
  <c r="HN8" i="5"/>
  <c r="XFD105" i="30" l="1"/>
  <c r="B29" i="30" l="1"/>
  <c r="B18" i="30"/>
  <c r="D29" i="30"/>
  <c r="D30" i="30"/>
  <c r="B30" i="30"/>
  <c r="B27" i="30"/>
  <c r="D27" i="30"/>
  <c r="B26" i="30"/>
  <c r="D26" i="30"/>
  <c r="D24" i="30"/>
  <c r="B24" i="30"/>
  <c r="D21" i="30"/>
  <c r="B17" i="30"/>
  <c r="D18" i="30"/>
  <c r="B21" i="30"/>
  <c r="D17" i="30"/>
  <c r="C17" i="30" l="1"/>
  <c r="C29" i="30"/>
  <c r="E17" i="30"/>
  <c r="C26" i="30"/>
  <c r="E29" i="30"/>
  <c r="E26" i="30"/>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<sst xmlns="http://schemas.openxmlformats.org/spreadsheetml/2006/main" count="1750" uniqueCount="872">
  <si>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</si>
  <si>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</si>
  <si>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</si>
  <si>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</si>
  <si>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</si>
  <si>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</si>
  <si>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</si>
  <si>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</si>
  <si>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</si>
  <si>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</si>
  <si>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</si>
  <si>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</si>
  <si>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</si>
  <si>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</si>
  <si>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</si>
  <si>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</si>
  <si>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</si>
  <si>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</si>
  <si>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</si>
  <si>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</si>
  <si>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</si>
  <si>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</si>
  <si>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</si>
  <si>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</si>
  <si>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</si>
  <si>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</si>
  <si>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</si>
  <si>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</si>
  <si>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</si>
  <si>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</si>
  <si>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</si>
  <si>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</si>
  <si>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</si>
  <si>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</si>
  <si>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</si>
  <si>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</si>
  <si>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</si>
  <si>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</si>
  <si>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</si>
  <si>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</si>
  <si>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</si>
  <si>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</si>
  <si>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</si>
  <si>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</si>
  <si>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</si>
  <si>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</si>
  <si>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</si>
  <si>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</si>
  <si>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</si>
  <si>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</si>
  <si>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</si>
  <si>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</si>
  <si>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</si>
  <si>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</si>
  <si>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</si>
  <si>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</si>
  <si>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</si>
  <si>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</si>
  <si>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</si>
  <si>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</si>
  <si>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</si>
  <si>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</si>
  <si>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</si>
  <si>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</si>
  <si>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</si>
  <si>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</si>
  <si>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</si>
  <si>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</si>
  <si>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</si>
  <si>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</si>
  <si>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</si>
  <si>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</si>
  <si>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</si>
  <si>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</si>
  <si>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</si>
  <si>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</si>
  <si>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</si>
  <si>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</si>
  <si>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</si>
  <si>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</si>
  <si>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</si>
  <si>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</si>
  <si>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</si>
  <si>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</si>
  <si>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</si>
  <si>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</si>
  <si>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</si>
  <si>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</si>
  <si>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</si>
  <si>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</si>
  <si>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</si>
  <si>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</si>
  <si>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</si>
  <si>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</si>
  <si>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</si>
  <si>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</si>
  <si>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</si>
  <si>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</si>
  <si>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</si>
  <si>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</si>
  <si>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</si>
  <si>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</si>
  <si>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</si>
  <si>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</si>
  <si>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</si>
  <si>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</si>
  <si>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</si>
  <si>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</si>
  <si>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</si>
  <si>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</si>
  <si>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</si>
  <si>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</si>
  <si>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</si>
  <si>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</si>
  <si>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</si>
  <si>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</si>
  <si>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</si>
  <si>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</si>
  <si>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</si>
  <si>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</si>
  <si>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</si>
  <si>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</si>
  <si>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</si>
  <si>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</si>
  <si>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</si>
  <si>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</si>
  <si>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</si>
  <si>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</si>
  <si>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</si>
  <si>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</si>
  <si>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</si>
  <si>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</si>
  <si>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</si>
  <si>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</si>
  <si>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</si>
  <si>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</si>
  <si>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</si>
  <si>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</si>
  <si>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</si>
  <si>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</si>
  <si>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</si>
  <si>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</si>
  <si>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</si>
  <si>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</si>
  <si>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</si>
  <si>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</si>
  <si>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</si>
  <si>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</si>
  <si>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</si>
  <si>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</si>
  <si>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</si>
  <si>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</si>
  <si>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</si>
  <si>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</si>
  <si>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</si>
  <si>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</si>
  <si>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</si>
  <si>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</si>
  <si>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</si>
  <si>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</si>
  <si>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</si>
  <si>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</si>
  <si>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</si>
  <si>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</si>
  <si>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</si>
  <si>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</si>
  <si>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</si>
  <si>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</si>
  <si>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</si>
  <si>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</si>
  <si>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</si>
  <si>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</si>
  <si>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</si>
  <si>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</si>
  <si>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</si>
  <si>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</si>
  <si>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</si>
  <si>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</si>
  <si>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</si>
  <si>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</si>
  <si>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</si>
  <si>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</si>
  <si>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</si>
  <si>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</si>
  <si>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</si>
  <si>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</si>
  <si>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</si>
  <si>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</si>
  <si>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</si>
  <si>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</si>
  <si>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</si>
  <si>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</si>
  <si>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</si>
  <si>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</si>
  <si>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</si>
  <si>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</si>
  <si>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</si>
  <si>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</si>
  <si>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</si>
  <si>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</si>
  <si>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</si>
  <si>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</si>
  <si>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</si>
  <si>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</si>
  <si>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</si>
  <si>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</si>
  <si>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</si>
  <si>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</si>
  <si>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</si>
  <si>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</si>
  <si>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</si>
  <si>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</si>
  <si>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</si>
  <si>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</si>
  <si>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</si>
  <si>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</si>
  <si>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</si>
  <si>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</si>
  <si>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</si>
  <si>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</si>
  <si>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</si>
  <si>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</si>
  <si>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</si>
  <si>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</si>
  <si>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</si>
  <si>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</si>
  <si>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</si>
  <si>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</si>
  <si>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</si>
  <si>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</si>
  <si>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</si>
  <si>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</si>
  <si>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</si>
  <si>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</si>
  <si>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</si>
  <si>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</si>
  <si>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</si>
  <si>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</si>
  <si>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</si>
  <si>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</si>
  <si>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</si>
  <si>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</si>
  <si>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</si>
  <si>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</si>
  <si>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</si>
  <si>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</si>
  <si>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</si>
  <si>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</si>
  <si>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</si>
  <si>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</si>
  <si>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</si>
  <si>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</si>
  <si>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</si>
  <si>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</si>
  <si>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</si>
  <si>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</si>
  <si>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</si>
  <si>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</si>
  <si>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</si>
  <si>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</si>
  <si>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</si>
  <si>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</si>
  <si>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</si>
  <si>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</si>
  <si>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</si>
  <si>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</si>
  <si>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</si>
  <si>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</si>
  <si>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</si>
  <si>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</si>
  <si>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</si>
  <si>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</si>
  <si>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</si>
  <si>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</si>
  <si>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</si>
  <si>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</si>
  <si>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</si>
  <si>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</si>
  <si>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</si>
  <si>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</si>
  <si>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</si>
  <si>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</si>
  <si>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</si>
  <si>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</si>
  <si>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</si>
  <si>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</si>
  <si>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</si>
  <si>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</si>
  <si>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</si>
  <si>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</si>
  <si>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</si>
  <si>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</si>
  <si>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</si>
  <si>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</si>
  <si>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</si>
  <si>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</si>
  <si>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</si>
  <si>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</si>
  <si>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</si>
  <si>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</si>
  <si>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</si>
  <si>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</si>
  <si>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</si>
  <si>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</si>
  <si>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</si>
  <si>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</si>
  <si>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</si>
  <si>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</si>
  <si>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</si>
  <si>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</si>
  <si>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</si>
  <si>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ENFERMEDADES PROPIAS O CULTURALES</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</si>
  <si>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</si>
  <si>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</si>
  <si>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</si>
  <si>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</si>
  <si>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</si>
  <si>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</si>
  <si>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</si>
  <si>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</si>
  <si>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</si>
  <si>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</si>
  <si>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</si>
  <si>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</si>
  <si>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</si>
  <si>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</si>
  <si>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</si>
  <si>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</si>
  <si>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</si>
  <si>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</si>
  <si>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</si>
  <si>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</si>
  <si>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</si>
  <si>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</si>
  <si>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</si>
  <si>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</si>
  <si>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FECHA INSCRIPCION A PLANIFICACION FAMILIAR2</t>
  </si>
  <si>
    <t>FECHA ASISTENCIA PRIMERA VEZ CON GINECOLOGÍA</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</si>
  <si>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</si>
  <si>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</si>
  <si>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</si>
  <si>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</si>
  <si>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</si>
  <si>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</si>
  <si>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</si>
  <si>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</si>
  <si>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</si>
  <si>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</si>
  <si>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</si>
  <si>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</si>
  <si>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</si>
  <si>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</si>
  <si>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</si>
  <si>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</si>
  <si>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</si>
  <si>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</si>
  <si>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</si>
  <si>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</si>
  <si>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</si>
  <si>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</si>
  <si>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</si>
  <si>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</si>
  <si>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</si>
  <si>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</si>
  <si>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</si>
  <si>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</si>
  <si>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</si>
  <si>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</si>
  <si>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</si>
  <si>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</si>
  <si>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</si>
  <si>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</si>
  <si>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</si>
  <si>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</si>
  <si>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</si>
  <si>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</si>
  <si>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</si>
  <si>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</si>
  <si>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</si>
  <si>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</si>
  <si>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</si>
  <si>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</si>
  <si>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</si>
  <si>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</si>
  <si>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</si>
  <si>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</si>
  <si>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</si>
  <si>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</si>
  <si>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</si>
  <si>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</si>
  <si>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</si>
  <si>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</si>
  <si>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</si>
  <si>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</si>
  <si>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</si>
  <si>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</si>
  <si>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</si>
  <si>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</si>
  <si>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</si>
  <si>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</si>
  <si>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</si>
  <si>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</si>
  <si>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</si>
  <si>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</si>
  <si>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</si>
  <si>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</si>
  <si>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</si>
  <si>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</si>
  <si>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</si>
  <si>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</si>
  <si>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</si>
  <si>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</si>
  <si>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</si>
  <si>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</si>
  <si>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</si>
  <si>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</si>
  <si>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</si>
  <si>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</si>
  <si>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</si>
  <si>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</si>
  <si>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</si>
  <si>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</si>
  <si>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</si>
  <si>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</si>
  <si>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</si>
  <si>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</si>
  <si>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NÚMERO DE GESTANTES  CON SEGUIMIENTO POR PARTERA, SEGÚN MES DEL AÑO DE INGRESO AL PROGRAMA</t>
  </si>
  <si>
    <t>NÚMERO DE GESTANTES CON SEGUIMIENTO POR MEDICO TRADICIONAL, SEGÚN MES DEL AÑO DE INGRESO AL PROGRAMA</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</si>
  <si>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</si>
  <si>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</si>
  <si>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</si>
  <si>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</si>
  <si>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</si>
  <si>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</si>
  <si>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</si>
  <si>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</si>
  <si>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</si>
  <si>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</si>
  <si>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</si>
  <si>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</si>
  <si>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</si>
  <si>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</si>
  <si>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</si>
  <si>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</si>
  <si>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</si>
  <si>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</si>
  <si>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</si>
  <si>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</si>
  <si>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</si>
  <si>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</si>
  <si>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</si>
  <si>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</si>
  <si>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</si>
  <si>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</si>
  <si>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</si>
  <si>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</si>
  <si>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</si>
  <si>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</si>
  <si>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</si>
  <si>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</si>
  <si>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</si>
  <si>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</si>
  <si>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</si>
  <si>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</si>
  <si>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</si>
  <si>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</si>
  <si>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</si>
  <si>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</si>
  <si>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</si>
  <si>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</si>
  <si>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</si>
  <si>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</si>
  <si>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</si>
  <si>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</si>
  <si>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</si>
  <si>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</si>
  <si>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</si>
  <si>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</si>
  <si>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</si>
  <si>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</si>
  <si>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</si>
  <si>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</si>
  <si>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</si>
  <si>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</si>
  <si>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</si>
  <si>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</si>
  <si>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</si>
  <si>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</si>
  <si>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</si>
  <si>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</si>
  <si>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</si>
  <si>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</si>
  <si>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</si>
  <si>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</si>
  <si>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</si>
  <si>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</si>
  <si>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</si>
  <si>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</si>
  <si>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</si>
  <si>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</si>
  <si>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</si>
  <si>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</si>
  <si>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</si>
  <si>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</si>
  <si>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</si>
  <si>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</si>
  <si>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</si>
  <si>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</si>
  <si>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</si>
  <si>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</si>
  <si>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</si>
  <si>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</si>
  <si>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</si>
  <si>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</si>
  <si>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</si>
  <si>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</si>
  <si>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</si>
  <si>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</si>
  <si>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</si>
  <si>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</si>
  <si>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</si>
  <si>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</si>
  <si>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</si>
  <si>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</si>
  <si>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</si>
  <si>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</si>
  <si>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</si>
  <si>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</si>
  <si>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</si>
  <si>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</si>
  <si>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</si>
  <si>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</si>
  <si>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</si>
  <si>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</si>
  <si>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</si>
  <si>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</si>
  <si>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</si>
  <si>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</si>
  <si>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</si>
  <si>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</si>
  <si>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</si>
  <si>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</si>
  <si>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</si>
  <si>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</si>
  <si>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</si>
  <si>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</si>
  <si>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</si>
  <si>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</si>
  <si>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</si>
  <si>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</si>
  <si>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</si>
  <si>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</si>
  <si>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</si>
  <si>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</si>
  <si>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</si>
  <si>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</si>
  <si>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</si>
  <si>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</si>
  <si>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</si>
  <si>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</si>
  <si>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</si>
  <si>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</si>
  <si>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</si>
  <si>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</si>
  <si>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</si>
  <si>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</si>
  <si>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</si>
  <si>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</si>
  <si>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</si>
  <si>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</si>
  <si>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</si>
  <si>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</si>
  <si>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</si>
  <si>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</si>
  <si>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</si>
  <si>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</si>
  <si>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</si>
  <si>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</si>
  <si>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</si>
  <si>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</si>
  <si>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</si>
  <si>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</si>
  <si>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</si>
  <si>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</si>
  <si>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</si>
  <si>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</si>
  <si>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</si>
  <si>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</si>
  <si>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</si>
  <si>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</si>
  <si>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</si>
  <si>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</si>
  <si>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</si>
  <si>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</si>
  <si>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</si>
  <si>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</si>
  <si>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</si>
  <si>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</si>
  <si>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</si>
  <si>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</si>
  <si>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</si>
  <si>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</si>
  <si>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</si>
  <si>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</si>
  <si>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</si>
  <si>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</si>
  <si>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</si>
  <si>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</si>
  <si>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</si>
  <si>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</si>
  <si>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</si>
  <si>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</si>
  <si>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</si>
  <si>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</si>
  <si>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</si>
  <si>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</si>
  <si>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</si>
  <si>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</si>
  <si>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</si>
  <si>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</si>
  <si>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</si>
  <si>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</si>
  <si>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</si>
  <si>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</si>
  <si>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</si>
  <si>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</si>
  <si>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</si>
  <si>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</si>
  <si>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</si>
  <si>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</si>
  <si>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</si>
  <si>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</si>
  <si>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</si>
  <si>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</si>
  <si>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</si>
  <si>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</si>
  <si>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</si>
  <si>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</si>
  <si>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</si>
  <si>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</si>
  <si>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</si>
  <si>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</si>
  <si>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</si>
  <si>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</si>
  <si>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</si>
  <si>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</si>
  <si>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</si>
  <si>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</si>
  <si>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</si>
  <si>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</si>
  <si>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</si>
  <si>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</si>
  <si>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</si>
  <si>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</si>
  <si>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</si>
  <si>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</si>
  <si>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</si>
  <si>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</si>
  <si>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</si>
  <si>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</si>
  <si>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</si>
  <si>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</si>
  <si>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</si>
  <si>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</si>
  <si>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</si>
  <si>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</si>
  <si>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</si>
  <si>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</si>
  <si>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</si>
  <si>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</si>
  <si>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</si>
  <si>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</si>
  <si>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</si>
  <si>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</si>
  <si>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</si>
  <si>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</si>
  <si>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</si>
  <si>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</si>
  <si>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</si>
  <si>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</si>
  <si>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</si>
  <si>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</si>
  <si>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</si>
  <si>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</si>
  <si>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</si>
  <si>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</si>
  <si>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</si>
  <si>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</si>
  <si>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</si>
  <si>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</si>
  <si>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</si>
  <si>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</si>
  <si>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</si>
  <si>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</si>
  <si>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</si>
  <si>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</si>
  <si>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</si>
  <si>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</si>
  <si>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</si>
  <si>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</si>
  <si>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</si>
  <si>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</si>
  <si>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</si>
  <si>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</si>
  <si>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</si>
  <si>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</si>
  <si>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</si>
  <si>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</si>
  <si>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</si>
  <si>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</si>
  <si>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</si>
  <si>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</si>
  <si>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</si>
  <si>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</si>
  <si>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</si>
  <si>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</si>
  <si>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</si>
  <si>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</si>
  <si>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</si>
  <si>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</si>
  <si>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</si>
  <si>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</si>
  <si>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</si>
  <si>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</si>
  <si>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</si>
  <si>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</si>
  <si>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</si>
  <si>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</si>
  <si>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</si>
  <si>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</si>
  <si>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</si>
  <si>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</si>
  <si>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</si>
  <si>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</si>
  <si>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</si>
  <si>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</si>
  <si>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</si>
  <si>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</si>
  <si>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</si>
  <si>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</si>
  <si>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</si>
  <si>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</si>
  <si>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</si>
  <si>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</si>
  <si>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</si>
  <si>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</si>
  <si>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</si>
  <si>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</si>
  <si>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</si>
  <si>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</si>
  <si>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</si>
  <si>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</si>
  <si>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</si>
  <si>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</si>
  <si>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</si>
  <si>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</si>
  <si>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</si>
  <si>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</si>
  <si>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</si>
  <si>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</si>
  <si>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</si>
  <si>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</si>
  <si>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</si>
  <si>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</si>
  <si>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</si>
  <si>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</si>
  <si>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</si>
  <si>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</si>
  <si>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</si>
  <si>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</si>
  <si>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</si>
  <si>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</si>
  <si>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</si>
  <si>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</si>
  <si>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</si>
  <si>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</si>
  <si>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</si>
  <si>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</si>
  <si>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</si>
  <si>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</si>
  <si>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</si>
  <si>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</si>
  <si>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</si>
  <si>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</si>
  <si>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</si>
  <si>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</si>
  <si>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</si>
  <si>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</si>
  <si>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</si>
  <si>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</si>
  <si>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</si>
  <si>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</si>
  <si>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</si>
  <si>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</si>
  <si>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</si>
  <si>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</si>
  <si>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</si>
  <si>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</si>
  <si>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</si>
  <si>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</si>
  <si>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</si>
  <si>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</si>
  <si>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</si>
  <si>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</si>
  <si>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</si>
  <si>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</si>
  <si>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</si>
  <si>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</si>
  <si>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</si>
  <si>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</si>
  <si>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</si>
  <si>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</si>
  <si>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</si>
  <si>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</si>
  <si>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</si>
  <si>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</si>
  <si>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</si>
  <si>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</si>
  <si>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</si>
  <si>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</si>
  <si>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</si>
  <si>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</si>
  <si>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</si>
  <si>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</si>
  <si>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</si>
  <si>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</si>
  <si>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</si>
  <si>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</si>
  <si>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</si>
  <si>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</si>
  <si>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</si>
  <si>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</si>
  <si>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</si>
  <si>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</si>
  <si>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</si>
  <si>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</si>
  <si>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</si>
  <si>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</si>
  <si>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</si>
  <si>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</si>
  <si>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</si>
  <si>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</si>
  <si>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</si>
  <si>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</si>
  <si>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</si>
  <si>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</si>
  <si>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</si>
  <si>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</si>
  <si>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</si>
  <si>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</si>
  <si>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</si>
  <si>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</si>
  <si>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</si>
  <si>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</si>
  <si>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</si>
  <si>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</si>
  <si>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</si>
  <si>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</si>
  <si>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</si>
  <si>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</si>
  <si>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</si>
  <si>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</si>
  <si>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</si>
  <si>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</si>
  <si>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</si>
  <si>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</si>
  <si>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</si>
  <si>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</si>
  <si>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</si>
  <si>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</si>
  <si>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</si>
  <si>
    <t>FECHA DE NACIMIENTO2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</si>
</sst>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2"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b/>
      <sz val="11"/>
      <name val="Calibri"/>
      <family val="2"/>
      <scheme val="minor"/>
    </font>
    <font>
      <b/>
      <sz val="10"/>
      <name val="Times New Roman"/>
      <family val="1"/>
    </font>
    <font>
      <b/>
      <sz val="16"/>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31869B"/>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38">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22" fillId="30" borderId="1" xfId="10" applyFont="1" applyFill="1" applyBorder="1" applyAlignment="1">
      <alignment horizontal="center" vertical="center" wrapText="1"/>
    </xf>
    <xf numFmtId="0" fontId="4" fillId="30" borderId="1" xfId="10"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0"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0" xfId="0" applyFont="1" applyFill="1" applyBorder="1" applyAlignment="1">
      <alignment vertical="center" wrapText="1"/>
    </xf>
    <xf numFmtId="0" fontId="25" fillId="0" borderId="41" xfId="0" applyFont="1" applyBorder="1" applyAlignment="1">
      <alignment vertical="center" wrapText="1"/>
    </xf>
    <xf numFmtId="0" fontId="25" fillId="0" borderId="10" xfId="0" applyFont="1" applyBorder="1" applyAlignment="1">
      <alignment vertical="center" wrapText="1"/>
    </xf>
    <xf numFmtId="9" fontId="0" fillId="0" borderId="42"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3" xfId="0" applyBorder="1"/>
    <xf numFmtId="0" fontId="25" fillId="31" borderId="12" xfId="0" applyFont="1" applyFill="1" applyBorder="1" applyAlignment="1">
      <alignment vertical="center" wrapText="1"/>
    </xf>
    <xf numFmtId="0" fontId="7" fillId="30" borderId="1" xfId="10" applyNumberFormat="1" applyFill="1" applyBorder="1" applyAlignment="1">
      <alignment horizontal="center" vertical="center" wrapText="1"/>
    </xf>
    <xf numFmtId="0" fontId="25" fillId="9" borderId="45" xfId="0" applyFont="1" applyFill="1" applyBorder="1" applyAlignment="1">
      <alignment vertical="center" wrapText="1"/>
    </xf>
    <xf numFmtId="0" fontId="25" fillId="9" borderId="46"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48" xfId="0" applyBorder="1"/>
    <xf numFmtId="0" fontId="25" fillId="31" borderId="10" xfId="0" applyFont="1" applyFill="1" applyBorder="1" applyAlignment="1">
      <alignment vertical="center" wrapText="1"/>
    </xf>
    <xf numFmtId="0" fontId="0" fillId="0" borderId="21" xfId="0" applyBorder="1"/>
    <xf numFmtId="0" fontId="0" fillId="0" borderId="23" xfId="0" applyBorder="1"/>
    <xf numFmtId="0" fontId="25" fillId="31" borderId="13" xfId="0" applyFont="1" applyFill="1" applyBorder="1" applyAlignment="1">
      <alignment vertical="center" wrapText="1"/>
    </xf>
    <xf numFmtId="9" fontId="0" fillId="0" borderId="39" xfId="6" applyFont="1" applyBorder="1"/>
    <xf numFmtId="0" fontId="0" fillId="0" borderId="14" xfId="0" applyBorder="1"/>
    <xf numFmtId="165" fontId="0" fillId="8" borderId="1" xfId="10" applyNumberFormat="1" applyFont="1" applyFill="1" applyBorder="1" applyAlignment="1">
      <alignment horizontal="center" vertical="center" wrapText="1"/>
    </xf>
    <xf numFmtId="0" fontId="25" fillId="0" borderId="49" xfId="0" applyFont="1" applyBorder="1" applyAlignment="1">
      <alignment vertical="center" wrapText="1"/>
    </xf>
    <xf numFmtId="0" fontId="25" fillId="32" borderId="12" xfId="0" applyFont="1" applyFill="1" applyBorder="1" applyAlignment="1">
      <alignment vertical="center" wrapText="1"/>
    </xf>
    <xf numFmtId="0" fontId="25" fillId="32" borderId="13" xfId="0" applyFont="1" applyFill="1" applyBorder="1" applyAlignment="1">
      <alignment vertical="center" wrapText="1"/>
    </xf>
    <xf numFmtId="0" fontId="25" fillId="31" borderId="49" xfId="0" applyFont="1" applyFill="1" applyBorder="1" applyAlignment="1">
      <alignment vertical="center" wrapText="1"/>
    </xf>
    <xf numFmtId="0" fontId="25" fillId="31" borderId="19" xfId="0" applyFont="1" applyFill="1" applyBorder="1" applyAlignment="1">
      <alignment vertical="center" wrapText="1"/>
    </xf>
    <xf numFmtId="0" fontId="40" fillId="31"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39" fillId="26" borderId="10" xfId="0" applyFont="1" applyFill="1" applyBorder="1" applyAlignment="1">
      <alignment horizontal="center" vertical="center"/>
    </xf>
    <xf numFmtId="0" fontId="24" fillId="31"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25" fillId="33" borderId="29" xfId="0" applyFont="1" applyFill="1" applyBorder="1" applyAlignment="1">
      <alignment vertical="center" wrapText="1"/>
    </xf>
    <xf numFmtId="0" fontId="25" fillId="33"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0"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0" fillId="0" borderId="47"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1" xfId="0" applyBorder="1" applyAlignment="1">
      <alignment horizontal="center"/>
    </xf>
    <xf numFmtId="0" fontId="0" fillId="0" borderId="44" xfId="0" applyBorder="1" applyAlignment="1">
      <alignment horizontal="center"/>
    </xf>
    <xf numFmtId="9" fontId="41" fillId="0" borderId="49" xfId="6" applyFont="1" applyBorder="1" applyAlignment="1">
      <alignment horizontal="center" vertical="center"/>
    </xf>
    <xf numFmtId="9" fontId="41" fillId="0" borderId="50" xfId="6" applyFont="1" applyBorder="1" applyAlignment="1">
      <alignment horizontal="center" vertical="center"/>
    </xf>
    <xf numFmtId="166" fontId="41" fillId="0" borderId="49" xfId="6" applyNumberFormat="1" applyFont="1" applyBorder="1" applyAlignment="1">
      <alignment horizontal="center" vertical="center"/>
    </xf>
    <xf numFmtId="166" fontId="41" fillId="0" borderId="50" xfId="6" applyNumberFormat="1" applyFont="1" applyBorder="1" applyAlignment="1">
      <alignment horizontal="center" vertical="center"/>
    </xf>
    <xf numFmtId="9" fontId="27" fillId="0" borderId="13" xfId="6" applyFont="1" applyFill="1" applyBorder="1" applyAlignment="1">
      <alignment horizontal="center"/>
    </xf>
    <xf numFmtId="9" fontId="27" fillId="0" borderId="39" xfId="6" applyFont="1" applyFill="1" applyBorder="1" applyAlignment="1">
      <alignment horizontal="center"/>
    </xf>
    <xf numFmtId="9" fontId="27" fillId="0" borderId="13" xfId="6" applyFont="1" applyBorder="1" applyAlignment="1">
      <alignment horizontal="center"/>
    </xf>
    <xf numFmtId="9" fontId="27" fillId="0" borderId="39" xfId="6" applyFont="1" applyBorder="1" applyAlignment="1">
      <alignment horizontal="center"/>
    </xf>
    <xf numFmtId="166" fontId="27" fillId="0" borderId="49" xfId="6" applyNumberFormat="1" applyFont="1" applyBorder="1" applyAlignment="1">
      <alignment horizontal="center" vertical="center"/>
    </xf>
    <xf numFmtId="166" fontId="27" fillId="0" borderId="50" xfId="6" applyNumberFormat="1" applyFont="1" applyBorder="1" applyAlignment="1">
      <alignment horizontal="center" vertical="center"/>
    </xf>
    <xf numFmtId="14" fontId="0" fillId="0" borderId="0" xfId="0" applyNumberFormat="1"/>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16">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15"/>
      <tableStyleElement type="firstRowStripe" dxfId="714"/>
      <tableStyleElement type="secondRowStripe" dxfId="713"/>
      <tableStyleElement type="firstColumnStripe" dxfId="712"/>
    </tableStyle>
    <tableStyle name="Estilo de tabla 2" pivot="0" count="3" xr9:uid="{00000000-0011-0000-FFFF-FFFF01000000}">
      <tableStyleElement type="headerRow" dxfId="711"/>
      <tableStyleElement type="firstRowStripe" dxfId="710"/>
      <tableStyleElement type="secondRowStripe" dxfId="709"/>
    </tableStyle>
    <tableStyle name="Estilo de tabla 3" pivot="0" count="2" xr9:uid="{00000000-0011-0000-FFFF-FFFF02000000}">
      <tableStyleElement type="headerRow" dxfId="708"/>
      <tableStyleElement type="firstRowStripe" dxfId="707"/>
    </tableStyle>
    <tableStyle name="Estilo de tabla 4" pivot="0" count="0" xr9:uid="{00000000-0011-0000-FFFF-FFFF03000000}"/>
    <tableStyle name="Estilo de tabla 5" pivot="0" count="2" xr9:uid="{00000000-0011-0000-FFFF-FFFF04000000}">
      <tableStyleElement type="wholeTable" dxfId="706"/>
      <tableStyleElement type="headerRow" dxfId="705"/>
    </tableStyle>
    <tableStyle name="Estilo de tabla 6" pivot="0" count="3" xr9:uid="{00000000-0011-0000-FFFF-FFFF05000000}">
      <tableStyleElement type="headerRow" dxfId="704"/>
      <tableStyleElement type="firstRowStripe" dxfId="703"/>
      <tableStyleElement type="secondRowStripe" dxfId="702"/>
    </tableStyle>
    <tableStyle name="Estilo de tabla 7" pivot="0" count="3" xr9:uid="{00000000-0011-0000-FFFF-FFFF06000000}">
      <tableStyleElement type="headerRow" dxfId="701"/>
      <tableStyleElement type="firstRowStripe" dxfId="700"/>
      <tableStyleElement type="secondRowStripe" dxfId="699"/>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MP5" totalsRowShown="0" headerRowDxfId="698" dataDxfId="697" headerRowCellStyle="Énfasis5" dataCellStyle="Normal 2">
  <autoFilter ref="A1:MP5" xr:uid="{00000000-0009-0000-0100-000001000000}"/>
  <tableColumns count="354">
    <tableColumn id="101" xr3:uid="{00000000-0010-0000-0000-000065000000}" name="OBSERVACIONES PARA SEGUIMIENTO" dataDxfId="696"/>
    <tableColumn id="1" xr3:uid="{00000000-0010-0000-0000-000001000000}" name="RESPONSABLE DE LA ZONA" dataDxfId="695"/>
    <tableColumn id="77" xr3:uid="{00000000-0010-0000-0000-00004D000000}" name="PUNTO O CENTRO DE ATENCION" dataDxfId="694"/>
    <tableColumn id="2" xr3:uid="{00000000-0010-0000-0000-000002000000}" name="ATENCIÓN PRECONCEPCIONAL" dataDxfId="693"/>
    <tableColumn id="3" xr3:uid="{00000000-0010-0000-0000-000003000000}" name="APELLIDO" dataDxfId="692"/>
    <tableColumn id="4" xr3:uid="{00000000-0010-0000-0000-000004000000}" name="APELLIDO 2" dataDxfId="691"/>
    <tableColumn id="5" xr3:uid="{00000000-0010-0000-0000-000005000000}" name="NOMBRE 1" dataDxfId="690"/>
    <tableColumn id="6" xr3:uid="{00000000-0010-0000-0000-000006000000}" name="NOMBRE 2" dataDxfId="689"/>
    <tableColumn id="7" xr3:uid="{00000000-0010-0000-0000-000007000000}" name="TIPO DE DOCUMENTO" dataDxfId="688"/>
    <tableColumn id="8" xr3:uid="{00000000-0010-0000-0000-000008000000}" name="No DE IDENTIFICACION" dataDxfId="687"/>
    <tableColumn id="9" xr3:uid="{00000000-0010-0000-0000-000009000000}" name="ESTADO CIVIL" dataDxfId="686"/>
    <tableColumn id="10" xr3:uid="{00000000-0010-0000-0000-00000A000000}" name="OCUPACION" dataDxfId="685"/>
    <tableColumn id="11" xr3:uid="{00000000-0010-0000-0000-00000B000000}" name="FECHA DE NACIMIENTO" dataDxfId="684" dataCellStyle="Normal 2"/>
    <tableColumn id="12" xr3:uid="{00000000-0010-0000-0000-00000C000000}" name="FECHA DE NACIMIENTO2" dataDxfId="683" dataCellStyle="Normal 2">
      <calculatedColumnFormula>IF(M2&gt;0,SUM(TODAY()-M2)/365,"")</calculatedColumnFormula>
    </tableColumn>
    <tableColumn id="13" xr3:uid="{00000000-0010-0000-0000-00000D000000}" name="FECHA DE IDENTIFICACION DE LA GESTANTE" dataDxfId="682" dataCellStyle="Normal 2"/>
    <tableColumn id="14" xr3:uid="{00000000-0010-0000-0000-00000E000000}" name="EFECTIVIDAD DEMANDA" dataDxfId="681"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80" dataCellStyle="Normal 2"/>
    <tableColumn id="16" xr3:uid="{00000000-0010-0000-0000-000010000000}" name="FECHA CONSULTA PRIMERA VEZ PROGRAMA CPN " dataDxfId="679" dataCellStyle="Normal 2"/>
    <tableColumn id="24" xr3:uid="{00000000-0010-0000-0000-000018000000}" name="REGIMEN" dataDxfId="678" dataCellStyle="Normal 2"/>
    <tableColumn id="25" xr3:uid="{00000000-0010-0000-0000-000019000000}" name="ASEGURADORA" dataDxfId="677" dataCellStyle="Normal 2"/>
    <tableColumn id="26" xr3:uid="{00000000-0010-0000-0000-00001A000000}" name="MUNICIPIO DE RESIDENCIA" dataDxfId="676" dataCellStyle="Normal 2"/>
    <tableColumn id="27" xr3:uid="{00000000-0010-0000-0000-00001B000000}" name="ZONA DE RESIDENCIA" dataDxfId="675" dataCellStyle="Normal 2"/>
    <tableColumn id="28" xr3:uid="{00000000-0010-0000-0000-00001C000000}" name="VEREDA/BARRIO" dataDxfId="674" dataCellStyle="Normal 2"/>
    <tableColumn id="29" xr3:uid="{00000000-0010-0000-0000-00001D000000}" name="DIRECCION - (ESPECIFICAR UBICACIÓN EN VEREDA)" dataDxfId="673" dataCellStyle="Normal 2"/>
    <tableColumn id="30" xr3:uid="{00000000-0010-0000-0000-00001E000000}" name="RESGUARDO / CORREGIMIENTO / COMUNA / LOCALIDAD" dataDxfId="672" dataCellStyle="Normal 2"/>
    <tableColumn id="31" xr3:uid="{00000000-0010-0000-0000-00001F000000}" name="TELEFONO FIJO O CELULAR" dataDxfId="671" dataCellStyle="Normal 2"/>
    <tableColumn id="32" xr3:uid="{00000000-0010-0000-0000-000020000000}" name="TIPO DE ETNIA" dataDxfId="670" dataCellStyle="Normal 2"/>
    <tableColumn id="33" xr3:uid="{00000000-0010-0000-0000-000021000000}" name="PUEBLO INDIGENA ESPECIFICO" dataDxfId="669" dataCellStyle="Normal 2"/>
    <tableColumn id="34" xr3:uid="{00000000-0010-0000-0000-000022000000}" name="ESTUDIOS" dataDxfId="668" dataCellStyle="Normal 2"/>
    <tableColumn id="68" xr3:uid="{00000000-0010-0000-0000-000044000000}" name="PROGRAMAS DE APOYO SOCIAL " dataDxfId="667" dataCellStyle="Normal 2"/>
    <tableColumn id="35" xr3:uid="{00000000-0010-0000-0000-000023000000}" name="EMBARAZO ACEPTADO Y/O  DESEADO" dataDxfId="666" dataCellStyle="Normal 2"/>
    <tableColumn id="36" xr3:uid="{00000000-0010-0000-0000-000024000000}" name="APOYO FAMILIAR" dataDxfId="665" dataCellStyle="Normal 2"/>
    <tableColumn id="37" xr3:uid="{00000000-0010-0000-0000-000025000000}" name="MUJER CABEZA DE FAMILIA" dataDxfId="664" dataCellStyle="Normal 2"/>
    <tableColumn id="38" xr3:uid="{00000000-0010-0000-0000-000026000000}" name="ANSIEDAD (Tensión emocional, Humor depresivo y sx angustia)." dataDxfId="663" dataCellStyle="Normal 2"/>
    <tableColumn id="39" xr3:uid="{00000000-0010-0000-0000-000027000000}" name="GRUPO DE POBLACION ESPECIAL" dataDxfId="662" dataCellStyle="Normal 2"/>
    <tableColumn id="40" xr3:uid="{00000000-0010-0000-0000-000028000000}" name="HA SIDO VICTIMA DE VIOLENCIA BASADA EN GENERO" dataDxfId="661" dataCellStyle="Normal 2"/>
    <tableColumn id="41" xr3:uid="{00000000-0010-0000-0000-000029000000}" name="RIESGO PSICOSOCIAL" dataDxfId="660">
      <calculatedColumnFormula>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59" dataCellStyle="Normal 2"/>
    <tableColumn id="44" xr3:uid="{00000000-0010-0000-0000-00002C000000}" name="ANTECEDENTE. RETENCION PLACENTARIA O HEMORRAGIA POSTPARTO" dataDxfId="658" dataCellStyle="Normal 2"/>
    <tableColumn id="45" xr3:uid="{00000000-0010-0000-0000-00002D000000}" name="ANTECEDENTE. PESO BEBE MAYOR A 4000 o MENOR A  2500" dataDxfId="657" dataCellStyle="Normal 2"/>
    <tableColumn id="47" xr3:uid="{00000000-0010-0000-0000-00002F000000}" name="ANTECEDENTE. EMBARAZO GEMELAR" dataDxfId="656" dataCellStyle="Normal 2"/>
    <tableColumn id="48" xr3:uid="{00000000-0010-0000-0000-000030000000}" name="ANTECEDENTE. Trabajo de Parto PROLONGADO/PARTO DIFICIL" dataDxfId="655" dataCellStyle="Normal 2"/>
    <tableColumn id="49" xr3:uid="{00000000-0010-0000-0000-000031000000}" name="ANTECEDENTE. FLIAR PREECLAMPSIA" dataDxfId="654" dataCellStyle="Normal 2"/>
    <tableColumn id="51" xr3:uid="{00000000-0010-0000-0000-000033000000}" name="ANTECEDENTE GRAVIDA" dataDxfId="653" dataCellStyle="Normal 2"/>
    <tableColumn id="52" xr3:uid="{00000000-0010-0000-0000-000034000000}" name="ANTECEDENTE PARTOS" dataDxfId="652" dataCellStyle="Normal 2"/>
    <tableColumn id="53" xr3:uid="{00000000-0010-0000-0000-000035000000}" name="ANTECEDENTE ABORTOS" dataDxfId="651" dataCellStyle="Normal 2"/>
    <tableColumn id="54" xr3:uid="{00000000-0010-0000-0000-000036000000}" name="ANTE. 3 ABORTOS SEGUIDOS O INFERTILIDAD" dataDxfId="650" dataCellStyle="Normal 2"/>
    <tableColumn id="55" xr3:uid="{00000000-0010-0000-0000-000037000000}" name="ANTECEDENTE CESAREAS" dataDxfId="649" dataCellStyle="Normal 2"/>
    <tableColumn id="56" xr3:uid="{00000000-0010-0000-0000-000038000000}" name="ANTECEDENTE OBITO FETAL Y/O MUERTE PERINATAL NEONATAL TEMPRANA" dataDxfId="648" dataCellStyle="Normal 2"/>
    <tableColumn id="57" xr3:uid="{00000000-0010-0000-0000-000039000000}" name="ANTECEDENTE EMBARAZO ECTOPICO O CX UTERINA (MIOMECTOMIA)" dataDxfId="647" dataCellStyle="Normal 2"/>
    <tableColumn id="58" xr3:uid="{00000000-0010-0000-0000-00003A000000}" name="ANTECEDENTE EMBARAZO MOLAR" dataDxfId="646" dataCellStyle="Normal 2"/>
    <tableColumn id="59" xr3:uid="{00000000-0010-0000-0000-00003B000000}" name="ANTECEDENTE MUERTE NEONATAL TARDIA" dataDxfId="645" dataCellStyle="Normal 2"/>
    <tableColumn id="64" xr3:uid="{00000000-0010-0000-0000-000040000000}" name="TIENE ENFERMEDADES AUTOINMUNES" dataDxfId="644" dataCellStyle="Normal 2"/>
    <tableColumn id="65" xr3:uid="{00000000-0010-0000-0000-000041000000}" name="TIENE DIABETES MELLITUS" dataDxfId="643" dataCellStyle="Normal 2"/>
    <tableColumn id="66" xr3:uid="{00000000-0010-0000-0000-000042000000}" name="TIENE ENFERMEDAD CARDIACA" dataDxfId="642" dataCellStyle="Normal 2"/>
    <tableColumn id="315" xr3:uid="{00000000-0010-0000-0000-00003B010000}" name="TIENE HTA CRONICA" dataDxfId="641" dataCellStyle="Normal 2"/>
    <tableColumn id="305" xr3:uid="{00000000-0010-0000-0000-000031010000}" name="TIENE ENF RENAL CRONICA" dataDxfId="640" dataCellStyle="Normal 2"/>
    <tableColumn id="74" xr3:uid="{00000000-0010-0000-0000-00004A000000}" name="EN EMB ACTUAL ENFERMEDADES INFECCIOSAS AGUDAS(BACTERIANAS)" dataDxfId="639" dataCellStyle="Normal 2"/>
    <tableColumn id="76" xr3:uid="{00000000-0010-0000-0000-00004C000000}" name="EN EMB ACTUAL RPM" dataDxfId="638" dataCellStyle="Normal 2"/>
    <tableColumn id="79" xr3:uid="{00000000-0010-0000-0000-00004F000000}" name=" EN EMB ACTUAL HEMORRAGIA VAGINAL &gt; 20 SEM22" dataDxfId="637" dataCellStyle="Normal 2"/>
    <tableColumn id="81" xr3:uid="{00000000-0010-0000-0000-000051000000}" name="EN EMB ACTUAL HEMORRAGIA VAGINAL &lt; 20 SEM" dataDxfId="636" dataCellStyle="Normal 2"/>
    <tableColumn id="87" xr3:uid="{00000000-0010-0000-0000-000057000000}" name="FECHA TERMINACIÓN ÚLTIMO EMBARAZO" dataDxfId="635" dataCellStyle="Normal 2"/>
    <tableColumn id="89" xr3:uid="{00000000-0010-0000-0000-000059000000}" name="FUM" dataDxfId="634" dataCellStyle="Normal 2"/>
    <tableColumn id="90" xr3:uid="{00000000-0010-0000-0000-00005A000000}" name="FUM FORMULA CONFIABLE" dataDxfId="633" dataCellStyle="Normal 2"/>
    <tableColumn id="20" xr3:uid="{00000000-0010-0000-0000-000014000000}" name="PERIODO INTERGENESICO (MESES)" dataDxfId="632" dataCellStyle="Normal 2">
      <calculatedColumnFormula>IF(OR(BJ2="SD",BK2=""),"",IF(BJ2="",0,SUM(BK2-BJ2)/30))</calculatedColumnFormula>
    </tableColumn>
    <tableColumn id="19" xr3:uid="{00000000-0010-0000-0000-000013000000}" name="FUM X ECO 1" dataDxfId="631" dataCellStyle="Normal 2">
      <calculatedColumnFormula>IF(BS2&gt;0,SUM(BR2-#REF!),"")</calculatedColumnFormula>
    </tableColumn>
    <tableColumn id="94" xr3:uid="{00000000-0010-0000-0000-00005E000000}" name="SEMANAS DE GESTACION AL INGRESO" dataDxfId="630"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29"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28" dataCellStyle="Normal 2">
      <calculatedColumnFormula>IF(SUM((TODAY()-BK2)/7)&gt;43.1,"",IF(AND(BK2&gt;0,OR(BL2="si",BL2="Corregida",BL2="NO")),SUM((TODAY()-BK2)/7),""))</calculatedColumnFormula>
    </tableColumn>
    <tableColumn id="99" xr3:uid="{00000000-0010-0000-0000-000063000000}" name="FECHA ECO 1" dataDxfId="627" dataCellStyle="Normal 2"/>
    <tableColumn id="100" xr3:uid="{00000000-0010-0000-0000-000064000000}" name="SEMANAS GESTACION ECO 1" dataDxfId="626" dataCellStyle="Normal 2"/>
    <tableColumn id="104" xr3:uid="{00000000-0010-0000-0000-000068000000}" name="FECHA ECO 2" dataDxfId="625" dataCellStyle="Normal 2"/>
    <tableColumn id="105" xr3:uid="{00000000-0010-0000-0000-000069000000}" name="SEMANAS GESTACION ECO 2" dataDxfId="624" dataCellStyle="Normal 2"/>
    <tableColumn id="279" xr3:uid="{00000000-0010-0000-0000-000017010000}" name="EN EMB. ACTUAL  RCIU" dataDxfId="623" dataCellStyle="Normal 2"/>
    <tableColumn id="280" xr3:uid="{00000000-0010-0000-0000-000018010000}" name="TIENE EMB. MUTIPLE ACTUAL " dataDxfId="622" dataCellStyle="Normal 2"/>
    <tableColumn id="287" xr3:uid="{00000000-0010-0000-0000-00001F010000}" name="PRESENTACION DEL FETO - ACTUALIZAR DESPUÉS DE LA SEMANA 32" dataDxfId="621" dataCellStyle="Normal 2"/>
    <tableColumn id="293" xr3:uid="{00000000-0010-0000-0000-000025010000}" name="TIENE POLIHIDRAMNIOS" dataDxfId="620" dataCellStyle="Normal 2"/>
    <tableColumn id="110" xr3:uid="{00000000-0010-0000-0000-00006E000000}" name="FECHA DE REGISTRO DE PESO Y/O TALLA PREGESTACIONAL O I TRIM GESTACION" dataDxfId="619" dataCellStyle="Normal 2"/>
    <tableColumn id="111" xr3:uid="{00000000-0010-0000-0000-00006F000000}" name="TALLA EN Mts     " dataDxfId="618" dataCellStyle="Normal 2"/>
    <tableColumn id="112" xr3:uid="{00000000-0010-0000-0000-000070000000}" name="PESO EN Kg INGRESO I TRIM O PRE GESTACION" dataDxfId="617" dataCellStyle="Normal 2"/>
    <tableColumn id="113" xr3:uid="{00000000-0010-0000-0000-000071000000}" name="IMC" dataDxfId="616" dataCellStyle="Normal 2">
      <calculatedColumnFormula>IF(AND(OR(O2&gt;0,R2&gt;0),CA2=""),"SD",IF(AND(OR(O2="",R2=""),CA2=""),"",IF(AND(OR(O2&gt;0,R2&gt;0),CA2&gt;0,CB2&gt;0),SUM(CB2)/(CA2*CA2),"X")))</calculatedColumnFormula>
    </tableColumn>
    <tableColumn id="114" xr3:uid="{00000000-0010-0000-0000-000072000000}" name="CLASIFICACION NUTRICIONAL 1" dataDxfId="615"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14" dataCellStyle="Normal 2"/>
    <tableColumn id="117" xr3:uid="{00000000-0010-0000-0000-000075000000}" name="IMC5 II TRIM" dataDxfId="613" dataCellStyle="Normal 2">
      <calculatedColumnFormula>IF(AND(OR(O2&gt;0,R2&gt;0),CA2=""),"SD",IF(AND(OR(O2="",R2=""),CA2=""),"",IF(AND(OR(O2&gt;0,R2&gt;0),CA2&gt;0),SUM(CF2)/(CA2*CA2),"X")))</calculatedColumnFormula>
    </tableColumn>
    <tableColumn id="118" xr3:uid="{00000000-0010-0000-0000-000076000000}" name="SEMANAS DE GESTACION II TRIM" dataDxfId="612" dataCellStyle="Normal 2">
      <calculatedColumnFormula>IF(AND(CE2="",BK2=""),"",IF(AND(BK2&gt;0,CE2=""),"NA",IF(CE2&lt;BK2,"REVISAR FUM O FECHA PESO",IF(CE2&gt;0,INT(SUM(CE2-BK2)/7)))))</calculatedColumnFormula>
    </tableColumn>
    <tableColumn id="119" xr3:uid="{00000000-0010-0000-0000-000077000000}" name="CLASIFICACION SEGÚN CURVA ATALAH - II TRIM" dataDxfId="611" dataCellStyle="Normal 2">
      <calculatedColumnFormula>IF(OR(CH2="",CH2="NA"),"",IF(AND(CH2&gt;=29,CH2&lt;=42),"REGISTRAR EN III TRIM",IF(AND(CH2&gt;0,CH2&lt;=13),"REGISTRAR EN I TRIM",IF(CH2="REVISAR FUM O FECHA PESO","REVISAR",IF(CH2&gt;0,HLOOKUP(CH2,#REF!,#REF!),"")))))</calculatedColumnFormula>
    </tableColumn>
    <tableColumn id="120" xr3:uid="{00000000-0010-0000-0000-000078000000}" name="FECHA DEL PESO Y TALLA III TRIM" dataDxfId="610" dataCellStyle="Normal 2"/>
    <tableColumn id="121" xr3:uid="{00000000-0010-0000-0000-000079000000}" name="PESO EN Kg (29 A 42 SEMANAS)" dataDxfId="609" dataCellStyle="Normal 2"/>
    <tableColumn id="123" xr3:uid="{00000000-0010-0000-0000-00007B000000}" name="IMC8 III TRIM" dataDxfId="608" dataCellStyle="Normal 2">
      <calculatedColumnFormula>IF(AND(OR(O2&gt;0,R2&gt;0),CA2=""),"SD",IF(AND(OR(O2="",R2=""),CA2=""),"",IF(AND(OR(O2&gt;0,R2&gt;0),CA2&gt;0),SUM(CK2)/(CA2*CA2),"X")))</calculatedColumnFormula>
    </tableColumn>
    <tableColumn id="124" xr3:uid="{00000000-0010-0000-0000-00007C000000}" name="SEMANAS DE GESTACION9 III TRIM" dataDxfId="607" dataCellStyle="Normal 2">
      <calculatedColumnFormula>IF(AND(CJ2="",BK2=""),"",IF(AND(BK2&gt;0,CJ2=""),"NA",IF(CJ2&lt;BK2,"REVISAR FUM O FECHA PESO",IF(CJ2&gt;0,INT(SUM(CJ2-BK2)/7)))))</calculatedColumnFormula>
    </tableColumn>
    <tableColumn id="125" xr3:uid="{00000000-0010-0000-0000-00007D000000}" name="CLASIFICACION SEGÚN CURVA ATALAH - III TRIM" dataDxfId="606" dataCellStyle="Normal 2">
      <calculatedColumnFormula>IF(OR(CM2="",CM2="NA"),"",IF(AND(CM2&gt;0,CM2&lt;=28),"REGISTRAR EN  TRIM RESPECTIVO",IF(CM2&gt;0,HLOOKUP(CM2,#REF!,#REF!),"")))</calculatedColumnFormula>
    </tableColumn>
    <tableColumn id="126" xr3:uid="{00000000-0010-0000-0000-00007E000000}" name="CLASIFICACION SEGÚN CURVA ATALAH -CONSOLIDADO ULTIMO DATO DE CADA MUJER" dataDxfId="605"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04" dataCellStyle="Normal 2"/>
    <tableColumn id="127" xr3:uid="{00000000-0010-0000-0000-00007F000000}" name="T.A. DIASTOLICA - ANTES DE SEMANA 12" dataDxfId="603" dataCellStyle="Normal 2"/>
    <tableColumn id="128" xr3:uid="{00000000-0010-0000-0000-000080000000}" name="ALARMA 1 T.A.  ANTES 12 SEMANAS" dataDxfId="602"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01" dataCellStyle="Normal 2"/>
    <tableColumn id="130" xr3:uid="{00000000-0010-0000-0000-000082000000}" name="T.A. DIATOLICA (Entre semana 20 y 26)" dataDxfId="600" dataCellStyle="Normal 2"/>
    <tableColumn id="131" xr3:uid="{00000000-0010-0000-0000-000083000000}" name="ALARMA 2 T.A.  ENTRE SEMANA 20 Y 26 " dataDxfId="599"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98"/>
    <tableColumn id="133" xr3:uid="{00000000-0010-0000-0000-000085000000}" name="TA. DIASTOLICA SEM 30 A 34" dataDxfId="597" dataCellStyle="Normal 2"/>
    <tableColumn id="134" xr3:uid="{00000000-0010-0000-0000-000086000000}" name="TA SISTOLICA SEM 35 A 37 ULTIMO CONTROL" dataDxfId="596" dataCellStyle="Normal 2"/>
    <tableColumn id="135" xr3:uid="{00000000-0010-0000-0000-000087000000}" name="TA DIASTOLICA SEM 35 A 37 ULTIMO CONTROL" dataDxfId="595" dataCellStyle="Normal 2"/>
    <tableColumn id="136" xr3:uid="{00000000-0010-0000-0000-000088000000}" name="ALARMA 3 T.A.  III TRIMESTRE" dataDxfId="594"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93" dataCellStyle="Normal 2"/>
    <tableColumn id="138" xr3:uid="{00000000-0010-0000-0000-00008A000000}" name="FECHA ASESORIA EN ANTICONCEPCION DURANTE CPN" dataDxfId="592" dataCellStyle="Normal 2"/>
    <tableColumn id="139" xr3:uid="{00000000-0010-0000-0000-00008B000000}" name="FECHA C2" dataDxfId="591" dataCellStyle="Normal 2"/>
    <tableColumn id="144" xr3:uid="{00000000-0010-0000-0000-000090000000}" name="FECHA C3" dataDxfId="590" dataCellStyle="Normal 2"/>
    <tableColumn id="145" xr3:uid="{00000000-0010-0000-0000-000091000000}" name="FECHA C4" dataDxfId="589" dataCellStyle="Normal 2"/>
    <tableColumn id="146" xr3:uid="{00000000-0010-0000-0000-000092000000}" name="FECHA C5" dataDxfId="588" dataCellStyle="Normal 2"/>
    <tableColumn id="147" xr3:uid="{00000000-0010-0000-0000-000093000000}" name="FECHA C6" dataDxfId="587" dataCellStyle="Normal 2"/>
    <tableColumn id="148" xr3:uid="{00000000-0010-0000-0000-000094000000}" name="FECHA C7" dataDxfId="586" dataCellStyle="Normal 2"/>
    <tableColumn id="149" xr3:uid="{00000000-0010-0000-0000-000095000000}" name="FECHA C8" dataDxfId="585" dataCellStyle="Normal 2"/>
    <tableColumn id="150" xr3:uid="{00000000-0010-0000-0000-000096000000}" name="FECHA C9" dataDxfId="584" dataCellStyle="Normal 2"/>
    <tableColumn id="151" xr3:uid="{00000000-0010-0000-0000-000097000000}" name="FECHA C10" dataDxfId="583" dataCellStyle="Normal 2"/>
    <tableColumn id="152" xr3:uid="{00000000-0010-0000-0000-000098000000}" name="FECHA C11" dataDxfId="582" dataCellStyle="Normal 2"/>
    <tableColumn id="153" xr3:uid="{00000000-0010-0000-0000-000099000000}" name="FECHA C12" dataDxfId="581" dataCellStyle="Normal 2"/>
    <tableColumn id="83" xr3:uid="{00000000-0010-0000-0000-000053000000}" name="FECHA C13" dataDxfId="580" dataCellStyle="Normal 2"/>
    <tableColumn id="341" xr3:uid="{00000000-0010-0000-0000-000055010000}" name="CURSO DE MATERNIDAD Y PATERNIDAD" dataDxfId="579" dataCellStyle="Normal 2"/>
    <tableColumn id="342" xr3:uid="{00000000-0010-0000-0000-000056010000}" name="FECHA DE CONCERTACIÓN PLAN DE PARTO (Soporte HC)" dataDxfId="578" dataCellStyle="Normal 2"/>
    <tableColumn id="343" xr3:uid="{00000000-0010-0000-0000-000057010000}" name="ALERTA DE PLAN DE PARTO" dataDxfId="577"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76"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75"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74"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62" xr3:uid="{00000000-0010-0000-0000-00003E000000}" name="FECHA ULTIMO CPN" dataDxfId="573"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72"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71" dataCellStyle="Normal 2">
      <calculatedColumnFormula>IF(R2&gt;0,SUM(COUNTA(DC2:DN2)+COUNTA(Tabla1[[#This Row],[FECHA CONSULTA PRIMERA VEZ PROGRAMA CPN ]])),"")</calculatedColumnFormula>
    </tableColumn>
    <tableColumn id="155" xr3:uid="{00000000-0010-0000-0000-00009B000000}" name="ADHERENCIA AL CPN" dataDxfId="570" dataCellStyle="Normal 2">
      <calculatedColumnFormula>IF(AND(DW2&gt;=0,DW2&lt;4),"NO",IF(AND(DW2&gt;=4,DW2&lt;12),"SI",""))</calculatedColumnFormula>
    </tableColumn>
    <tableColumn id="156" xr3:uid="{00000000-0010-0000-0000-00009C000000}" name="CONTROLES PROGRAMADOS " dataDxfId="569" dataCellStyle="Normal 2">
      <calculatedColumnFormula>IF(BO2="","",IF(BO2&gt;0,INT(SUM(((40-BO2)/4)+2)),"X"))</calculatedColumnFormula>
    </tableColumn>
    <tableColumn id="157" xr3:uid="{00000000-0010-0000-0000-00009D000000}" name="% CUMPLIM INDIVIDUAL" dataDxfId="568" dataCellStyle="Normal 2">
      <calculatedColumnFormula>IF(DY2="","",IF(DW2&gt;0,SUM(DW2/DY2),"X"))</calculatedColumnFormula>
    </tableColumn>
    <tableColumn id="158" xr3:uid="{00000000-0010-0000-0000-00009E000000}" name="FECHA  REMISION PSICOLOGIA" dataDxfId="567" dataCellStyle="Normal 2"/>
    <tableColumn id="159" xr3:uid="{00000000-0010-0000-0000-00009F000000}" name="FECHA ASISTENCIA A CONSULTA PSICOLOGIA" dataDxfId="566" dataCellStyle="Normal 2"/>
    <tableColumn id="160" xr3:uid="{00000000-0010-0000-0000-0000A0000000}" name="FECHA  REMISION NUTRICION" dataDxfId="565" dataCellStyle="Normal 2"/>
    <tableColumn id="161" xr3:uid="{00000000-0010-0000-0000-0000A1000000}" name="FECHA ASISTENCIA A CONSULTA NUTRICION" dataDxfId="564" dataCellStyle="Normal 2"/>
    <tableColumn id="162" xr3:uid="{00000000-0010-0000-0000-0000A2000000}" name="FECHA  REMISION GINECOLOGO" dataDxfId="563" dataCellStyle="Normal 2"/>
    <tableColumn id="163" xr3:uid="{00000000-0010-0000-0000-0000A3000000}" name="FECHA ASISTENCIA PRIMERA VEZ CON GINECOLOGÍA" dataDxfId="562" dataCellStyle="Normal 2"/>
    <tableColumn id="250" xr3:uid="{00000000-0010-0000-0000-0000FA000000}" name="FECHA ULTIMA ASISTENCIA A CONSULTA GINECO" dataDxfId="561" dataCellStyle="Normal 2"/>
    <tableColumn id="164" xr3:uid="{00000000-0010-0000-0000-0000A4000000}" name="No CONSULTAS GINECOLOGO" dataDxfId="560" dataCellStyle="Normal 2"/>
    <tableColumn id="165" xr3:uid="{00000000-0010-0000-0000-0000A5000000}" name="RESULTADO HEMOGLOBINA INGRESO" dataDxfId="559" dataCellStyle="Normal 2"/>
    <tableColumn id="167" xr3:uid="{00000000-0010-0000-0000-0000A7000000}" name="FECHA RESULTADO HB" dataDxfId="558" dataCellStyle="Normal 2"/>
    <tableColumn id="168" xr3:uid="{00000000-0010-0000-0000-0000A8000000}" name="EDAD GESTACIONAL HB" dataDxfId="557"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56"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55"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54" dataCellStyle="Normal 2"/>
    <tableColumn id="171" xr3:uid="{00000000-0010-0000-0000-0000AB000000}" name="FECHA RESULTADO HB SEM 28" dataDxfId="553" dataCellStyle="Normal 2"/>
    <tableColumn id="172" xr3:uid="{00000000-0010-0000-0000-0000AC000000}" name="EDAD GESTACIONAL HB - SEM 28" dataDxfId="552"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51"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50" dataCellStyle="Normal 2"/>
    <tableColumn id="175" xr3:uid="{00000000-0010-0000-0000-0000AF000000}" name="FECHA RESULTADO GRUPO SANGUINEO" dataDxfId="549" dataCellStyle="Normal 2"/>
    <tableColumn id="176" xr3:uid="{00000000-0010-0000-0000-0000B0000000}" name="EDAD GESTACIONAL GRUPO SANGUINEO" dataDxfId="548"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47"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46" dataCellStyle="Normal 2"/>
    <tableColumn id="179" xr3:uid="{00000000-0010-0000-0000-0000B3000000}" name="FECHA GLICEMIA" dataDxfId="545" dataCellStyle="Normal 2"/>
    <tableColumn id="180" xr3:uid="{00000000-0010-0000-0000-0000B4000000}" name="EDAD GESTACIONAL GLICEMIA" dataDxfId="544"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43" dataCellStyle="Normal 2"/>
    <tableColumn id="185" xr3:uid="{00000000-0010-0000-0000-0000B9000000}" name="PTOG. carga 75 gr 1 HORA - VALOR" dataDxfId="542" dataCellStyle="Normal 2"/>
    <tableColumn id="186" xr3:uid="{00000000-0010-0000-0000-0000BA000000}" name="PTOG. carga 75 gr 2 HORA - VALOR" dataDxfId="541" dataCellStyle="Normal 2"/>
    <tableColumn id="187" xr3:uid="{00000000-0010-0000-0000-0000BB000000}" name="PTOG. carga 75 gr - RESULTADO" dataDxfId="540"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39" dataCellStyle="Normal 2"/>
    <tableColumn id="189" xr3:uid="{00000000-0010-0000-0000-0000BD000000}" name="EDAD GESTACIONAL P.T.O.G" dataDxfId="538"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37" dataCellStyle="Normal 2"/>
    <tableColumn id="200" xr3:uid="{00000000-0010-0000-0000-0000C8000000}" name="FECHA RESULTADO I TRIM" dataDxfId="536" dataCellStyle="Normal 2"/>
    <tableColumn id="201" xr3:uid="{00000000-0010-0000-0000-0000C9000000}" name="ALARMA TAMIZAJE SIFILIS I TRIMESTRE" dataDxfId="535"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34" dataCellStyle="Normal 2"/>
    <tableColumn id="203" xr3:uid="{00000000-0010-0000-0000-0000CB000000}" name="FECHA RESULTADO PR-  II TRIM" dataDxfId="533" dataCellStyle="Normal 2"/>
    <tableColumn id="204" xr3:uid="{00000000-0010-0000-0000-0000CC000000}" name="ALARMA TAMIZAJE SIFILIS II TRIMESTRE2" dataDxfId="532"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31" dataCellStyle="Normal 2"/>
    <tableColumn id="206" xr3:uid="{00000000-0010-0000-0000-0000CE000000}" name="FECHA RESULTADO PR-  III TRIM" dataDxfId="530" dataCellStyle="Normal 2"/>
    <tableColumn id="207" xr3:uid="{00000000-0010-0000-0000-0000CF000000}" name="ALARMA TAMIZAJE SIFILIS III TRIMESTRE22" dataDxfId="529"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28" dataCellStyle="Normal 2"/>
    <tableColumn id="209" xr3:uid="{00000000-0010-0000-0000-0000D1000000}" name="FECHA RESULTADO PR INTRAPARTO" dataDxfId="527" dataCellStyle="Normal 2"/>
    <tableColumn id="210" xr3:uid="{00000000-0010-0000-0000-0000D2000000}" name="ALARMA CONSOLIDADA CASOS SIFILIS GESTACIONAL" dataDxfId="526"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25" dataCellStyle="Normal 2"/>
    <tableColumn id="216" xr3:uid="{00000000-0010-0000-0000-0000D8000000}" name="FECHA RESULTADO UROANALISIS ULTIMO" dataDxfId="524" dataCellStyle="Normal 2"/>
    <tableColumn id="217" xr3:uid="{00000000-0010-0000-0000-0000D9000000}" name="EDAD GESTACIONAL UROANALSIS ULTIMO" dataDxfId="523"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22" dataCellStyle="Normal 2"/>
    <tableColumn id="219" xr3:uid="{00000000-0010-0000-0000-0000DB000000}" name="FECHA RESULTADO UROCULTIVO" dataDxfId="521" dataCellStyle="Normal 2"/>
    <tableColumn id="220" xr3:uid="{00000000-0010-0000-0000-0000DC000000}" name="EDAD GESTACIONAL UROCULTIVO" dataDxfId="52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19"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18" dataCellStyle="Normal 2"/>
    <tableColumn id="223" xr3:uid="{00000000-0010-0000-0000-0000DF000000}" name="TAMIZAJE  PARA VIH I TRIM" dataDxfId="517" dataCellStyle="Normal 2"/>
    <tableColumn id="224" xr3:uid="{00000000-0010-0000-0000-0000E0000000}" name="FECHA RESULTADO TAMIZAJE VIH I TRIMESTRE" dataDxfId="516" dataCellStyle="Normal 2"/>
    <tableColumn id="225" xr3:uid="{00000000-0010-0000-0000-0000E1000000}" name="ALARMA TAMIZAJE VIH - I TRIM" dataDxfId="515"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14" dataCellStyle="Normal 2"/>
    <tableColumn id="103" xr3:uid="{00000000-0010-0000-0000-000067000000}" name="FECHA RESULTADO TAMIZAJE VIH II TRIM" dataDxfId="513" dataCellStyle="Normal 2"/>
    <tableColumn id="345" xr3:uid="{00000000-0010-0000-0000-000059010000}" name="ALARMA TAMIZAJE VIH - II TRIM" dataDxfId="512"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11" dataCellStyle="Normal 2"/>
    <tableColumn id="228" xr3:uid="{00000000-0010-0000-0000-0000E4000000}" name="FECHA RESULTADO TAMIZAJE VIH III TRIM" dataDxfId="510" dataCellStyle="Normal 2"/>
    <tableColumn id="229" xr3:uid="{00000000-0010-0000-0000-0000E5000000}" name="ALARMA TAMIZAJE VIH - III TRIM" dataDxfId="509"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08" dataCellStyle="Normal 2"/>
    <tableColumn id="91" xr3:uid="{00000000-0010-0000-0000-00005B000000}" name="FECHA RESULTADO TAMIZAJE INTRAPARTO" dataDxfId="507" dataCellStyle="Normal 2"/>
    <tableColumn id="84" xr3:uid="{00000000-0010-0000-0000-000054000000}" name="SEGUNDA PRUEBA ELISA O PR PARA DEFINIR DIAGNOSTICO VIH SEGÚN PROTOCOLO INS" dataDxfId="506" dataCellStyle="Normal 2"/>
    <tableColumn id="140" xr3:uid="{00000000-0010-0000-0000-00008C000000}" name="FECHA RESULTADO SEGUNDA PRUEBA ELISA O PR PARA DEFINIR DIAGNOSTICO VIH SEGÚN PROTOCOLO INS" dataDxfId="505" dataCellStyle="Normal 2"/>
    <tableColumn id="141" xr3:uid="{00000000-0010-0000-0000-00008D000000}" name="RESULTADO CARGA VIRAL SEGÚN PROTOCOLO INS" dataDxfId="504" dataCellStyle="Normal 2"/>
    <tableColumn id="142" xr3:uid="{00000000-0010-0000-0000-00008E000000}" name="FECHA RESULTADO CARGA VIRAL SEGÚN PROTOCOLO INS" dataDxfId="503" dataCellStyle="Normal 2"/>
    <tableColumn id="143" xr3:uid="{00000000-0010-0000-0000-00008F000000}" name="RESULTADO HEP B ANTIGENO SUPERFICIE" dataDxfId="502" dataCellStyle="Normal 2"/>
    <tableColumn id="232" xr3:uid="{00000000-0010-0000-0000-0000E8000000}" name="FECHA RESULTADO H ASB" dataDxfId="501" dataCellStyle="Normal 2"/>
    <tableColumn id="233" xr3:uid="{00000000-0010-0000-0000-0000E9000000}" name="EDAD GESTACIONAL18" dataDxfId="500"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99" dataCellStyle="Normal 2"/>
    <tableColumn id="236" xr3:uid="{00000000-0010-0000-0000-0000EC000000}" name="RESULTADO CONFIRM. TOXO. IgM" dataDxfId="498" dataCellStyle="Normal 2"/>
    <tableColumn id="237" xr3:uid="{00000000-0010-0000-0000-0000ED000000}" name="ALARMA TOXOPLASMOSIS" dataDxfId="497"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96" dataCellStyle="Normal 2"/>
    <tableColumn id="239" xr3:uid="{00000000-0010-0000-0000-0000EF000000}" name="EDAD GESTACIONAL21" dataDxfId="495"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94"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93" dataCellStyle="Normal 2"/>
    <tableColumn id="243" xr3:uid="{00000000-0010-0000-0000-0000F3000000}" name="NUMERO VECES TOMA TOXOPLASMA IgM - Control" dataDxfId="492" dataCellStyle="Normal 2"/>
    <tableColumn id="244" xr3:uid="{00000000-0010-0000-0000-0000F4000000}" name="RESULTADO ULTIMA CITOLOGIA (SEGÚN NORMA Y VIGENTE)" dataDxfId="491" dataCellStyle="Normal 2"/>
    <tableColumn id="245" xr3:uid="{00000000-0010-0000-0000-0000F5000000}" name="FECHA RESULTADO2" dataDxfId="490" dataCellStyle="Normal 2"/>
    <tableColumn id="246" xr3:uid="{00000000-0010-0000-0000-0000F6000000}" name="TIEMPO DE LA TOMA" dataDxfId="489" dataCellStyle="Normal 2">
      <calculatedColumnFormula>IF(GZ2&gt;0,SUM(GZ2-BK2)/7,"")</calculatedColumnFormula>
    </tableColumn>
    <tableColumn id="247" xr3:uid="{00000000-0010-0000-0000-0000F7000000}" name="CLASIFICACION TIEMPO TOMA" dataDxfId="488"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87"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86" dataCellStyle="Normal 2"/>
    <tableColumn id="368" xr3:uid="{00000000-0010-0000-0000-000070010000}" name="FECHA RESULTADO TAMIZAJE CHAGAS" dataDxfId="485" dataCellStyle="Normal 2"/>
    <tableColumn id="356" xr3:uid="{00000000-0010-0000-0000-000064010000}" name="TAMIZAJE INICIAL DE GOTA GRUESA PARA MALARIA (En zonas endémicas)" dataDxfId="484" dataCellStyle="Normal 2"/>
    <tableColumn id="352" xr3:uid="{00000000-0010-0000-0000-000060010000}" name="FECHA RESULTADO TAMIZAJE INICIAL GOTA GRUESA PARA MALARIA" dataDxfId="483" dataCellStyle="Normal 2"/>
    <tableColumn id="351" xr3:uid="{00000000-0010-0000-0000-00005F010000}" name="RESULTADO ULTIMO TAMIZAJE GOTA GRUESA (Para Zonas endémicas)" dataDxfId="482" dataCellStyle="Normal 2"/>
    <tableColumn id="346" xr3:uid="{00000000-0010-0000-0000-00005A010000}" name="NUMERO TAMIZAJES TOMADOS DE GOTA GRUESA PARA MALARIA (Debe ser mensual para zonas endémicas)" dataDxfId="481" dataCellStyle="Normal 2"/>
    <tableColumn id="249" xr3:uid="{00000000-0010-0000-0000-0000F9000000}" name="DIAGNOSTICO POSITIVO COVID19 - INFECCIÓN POR SARS CoV2" dataDxfId="480" dataCellStyle="Normal 2"/>
    <tableColumn id="252" xr3:uid="{00000000-0010-0000-0000-0000FC000000}" name="ENFERMEDADES PROPIAS O CULTURALES" dataDxfId="479"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78"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77" dataCellStyle="Normal 2">
      <calculatedColumnFormula>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calculatedColumnFormula>
    </tableColumn>
    <tableColumn id="46" xr3:uid="{00000000-0010-0000-0000-00002E000000}" name="MOTIVOS PARA LA CLASIFICACION DEL RIESGO BIOPSICOSOCIAL" dataDxfId="476"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75" dataCellStyle="Normal 2">
      <calculatedColumnFormula>IF(AND(O2="",R2=""),"",IF(AND(OR(O2&gt;0,R2&gt;0),OR(AL2="SI",BD2="SI",BA2="SI",BB2="SI",BE2="SI")),"RIESGO ALTO DE COMPLICACIONES HIPERTENSIVAS VER MANEJO GUIA SUMINISTRO ASA Y CALCIO",IF(AND(OR(O2&gt;0,R2&gt;0),#REF!&gt;1),"RIESGO MODERADO (2 O MAS CRITERIOS) VER MANEJO GUIA SUMINISTRO ASA Y CALCIO","SIN ANTECEDENTES DE RIESGO")))</calculatedColumnFormula>
    </tableColumn>
    <tableColumn id="21" xr3:uid="{00000000-0010-0000-0000-000015000000}" name="ALARMA POR SEGUIMIENTO CIFRAS PRESIÓN ARTERIAL ÚLTIMO REGISTRO." dataDxfId="474"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73" dataCellStyle="Normal 2">
      <calculatedColumnFormula>IF(#REF!="SD","",IF(AND(#REF!&lt;=33,#REF!&gt;=8),"MES DE CONTROL",IF(AND(#REF!&gt;=1,#REF!&lt;8),"SEMANA DE CONTROL",IF(#REF!=0,"DIA DE CONTROL",IF(#REF!&lt;0,"INASISTENTE",IF(#REF!="Y","SEGUIMIENTO FUERA MUNICIPIO",IF(#REF!="Z","BUSCAR PARA INGRESO A CPN",IF(#REF!="W","DEFINIR FECHA CITA",IF(#REF!="X","NO REALIZO CPN",IF(#REF!="S","DILIGENCIAR FECHA SALIDA PROGRAMA","REVISAR FORMULA"))))))))))</calculatedColumnFormula>
    </tableColumn>
    <tableColumn id="73" xr3:uid="{00000000-0010-0000-0000-000049000000}" name="GESTANTES ACTUALES22" dataDxfId="472"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71" dataCellStyle="Normal 2"/>
    <tableColumn id="102" xr3:uid="{00000000-0010-0000-0000-000066000000}" name="SUMINISTRO DE ASA SEGÚN GPC" dataDxfId="470" dataCellStyle="Normal 2"/>
    <tableColumn id="23" xr3:uid="{00000000-0010-0000-0000-000017000000}" name="FECHA INICIO SUMINISTRO CALCIO" dataDxfId="469" dataCellStyle="Normal 2"/>
    <tableColumn id="181" xr3:uid="{00000000-0010-0000-0000-0000B5000000}" name="SUMINISTRO CALCIO " dataDxfId="468" dataCellStyle="Normal 2"/>
    <tableColumn id="60" xr3:uid="{00000000-0010-0000-0000-00003C000000}" name="FECHA INICIO SUMINISTRO ACIDO FOLICO " dataDxfId="467" dataCellStyle="Normal 2"/>
    <tableColumn id="241" xr3:uid="{00000000-0010-0000-0000-0000F1000000}" name="SUMINISTRO DE ACIDO FOLICO " dataDxfId="466" dataCellStyle="Normal 2"/>
    <tableColumn id="256" xr3:uid="{00000000-0010-0000-0000-000000010000}" name="FECHA INICIO SUMINISTRO SULFATO FERROSO " dataDxfId="465" dataCellStyle="Normal 2"/>
    <tableColumn id="254" xr3:uid="{00000000-0010-0000-0000-0000FE000000}" name="SUMINISTRO DE SULFATO FERROSO " dataDxfId="464" dataCellStyle="Normal 2"/>
    <tableColumn id="257" xr3:uid="{00000000-0010-0000-0000-000001010000}" name="SUPLEMENTACION ALIMENTARIA  O DIRECCIONAMIENTO A AUTONOMIA ALIMENTARIA" dataDxfId="463" dataCellStyle="Normal 2"/>
    <tableColumn id="63" xr3:uid="{00000000-0010-0000-0000-00003F000000}" name="FECHA CONSULTA DE 1RA VEZ POR ODONTOLOGIA" dataDxfId="462" dataCellStyle="Normal 2"/>
    <tableColumn id="258" xr3:uid="{00000000-0010-0000-0000-000002010000}" name="SEMANAS DE GESTACION A LA CONSULTA ODONTOLOGICA" dataDxfId="461"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60" dataCellStyle="Normal 2"/>
    <tableColumn id="388" xr3:uid="{00000000-0010-0000-0000-000084010000}" name="Tipo Biológico Vacuna anti COVID-19 (Disentimiento)" dataDxfId="459"/>
    <tableColumn id="386" xr3:uid="{00000000-0010-0000-0000-000082010000}" name="Fecha 1ra Dosis Anti COVID-19" dataDxfId="458"/>
    <tableColumn id="336" xr3:uid="{00000000-0010-0000-0000-000050010000}" name="Tipo Biológico Vacuna anti COVID-19 (2da Dosis)" dataDxfId="457"/>
    <tableColumn id="382" xr3:uid="{00000000-0010-0000-0000-00007E010000}" name="Fecha 2da Dosis Anti COVID-19" dataDxfId="456"/>
    <tableColumn id="339" xr3:uid="{00000000-0010-0000-0000-000053010000}" name="Tipo Biológico Vacuna anti COVID-19 (Refuerzo)" dataDxfId="455"/>
    <tableColumn id="335" xr3:uid="{00000000-0010-0000-0000-00004F010000}" name="Fecha Refuerzo Anti COVID-20" dataDxfId="454"/>
    <tableColumn id="381" xr3:uid="{00000000-0010-0000-0000-00007D010000}" name="Alarma Vacunación Anti COVID-19" dataDxfId="453">
      <calculatedColumnFormula>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calculatedColumnFormula>
    </tableColumn>
    <tableColumn id="260" xr3:uid="{00000000-0010-0000-0000-000004010000}" name="FECHA VACUNA ANTI INFLUENZA" dataDxfId="452" dataCellStyle="Normal 2"/>
    <tableColumn id="268" xr3:uid="{00000000-0010-0000-0000-00000C010000}" name="FECHA VACUNA DPT ACELULAR" dataDxfId="451" dataCellStyle="Normal 2"/>
    <tableColumn id="269" xr3:uid="{00000000-0010-0000-0000-00000D010000}" name="ALARMA DPT ACELULAR" dataDxfId="450" dataCellStyle="Normal 2">
      <calculatedColumnFormula>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calculatedColumnFormula>
    </tableColumn>
    <tableColumn id="333" xr3:uid="{00000000-0010-0000-0000-00004D010000}" name="FECHA VACUNA TD" dataDxfId="449" dataCellStyle="Normal 2"/>
    <tableColumn id="271" xr3:uid="{00000000-0010-0000-0000-00000F010000}" name="FPP2" dataDxfId="448" dataCellStyle="Normal 2">
      <calculatedColumnFormula>IF(OR(BL2="SI",BL2="Corregida",BL2="NO"),(BK2+280),IF(BL2="Sin Dato","DEFINIR FPP POR ECO",""))</calculatedColumnFormula>
    </tableColumn>
    <tableColumn id="72" xr3:uid="{00000000-0010-0000-0000-000048000000}" name="DIAS PARA EL PARTO2" dataDxfId="447" dataCellStyle="Normal 2">
      <calculatedColumnFormula>IF(OR(IP2="DEFINIR FPP POR ECO",BP2="ERROR FUM O INGRESO"),"SIN DEFINIR",IF(IP2="","",IF(IP2&gt;0,SUM(IP2-TODAY()),"X")))</calculatedColumnFormula>
    </tableColumn>
    <tableColumn id="70" xr3:uid="{00000000-0010-0000-0000-000046000000}" name="ALERTA PARA PARTO3" dataDxfId="446"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45" dataCellStyle="Normal 2"/>
    <tableColumn id="273" xr3:uid="{00000000-0010-0000-0000-000011010000}" name="SALE DEL PROGRAMA POR" dataDxfId="444" dataCellStyle="Normal 2"/>
    <tableColumn id="275" xr3:uid="{00000000-0010-0000-0000-000013010000}" name=" EVENTO DE INTERES EN SALUD PÚBLICA DE LA MADRE" dataDxfId="443" dataCellStyle="Normal 2"/>
    <tableColumn id="276" xr3:uid="{00000000-0010-0000-0000-000014010000}" name=" EVENTO DE INTERES EN SALUD PÚBLICA DEL RECIÉN NACIDO2" dataDxfId="442" dataCellStyle="Normal 2"/>
    <tableColumn id="277" xr3:uid="{00000000-0010-0000-0000-000015010000}" name="FECHA DE SALIDA  DEL PROGRAMA" dataDxfId="441" dataCellStyle="Normal 2"/>
    <tableColumn id="278" xr3:uid="{00000000-0010-0000-0000-000016010000}" name="LUGAR DE ATENCION DEL PARTO" dataDxfId="440" dataCellStyle="Normal 2"/>
    <tableColumn id="281" xr3:uid="{00000000-0010-0000-0000-000019010000}" name="EDAD GESTACIONAL SALIDA PROGRAMA" dataDxfId="439" dataCellStyle="Normal 2">
      <calculatedColumnFormula>IF(AND(IW2&gt;0,IT2&lt;&gt;""),SUM(IW2-BK2)/7,"")</calculatedColumnFormula>
    </tableColumn>
    <tableColumn id="282" xr3:uid="{00000000-0010-0000-0000-00001A010000}" name="NOMBRE DE LA INSTITUCION DONDE SE ATENDIO EL PARTO O LUGAR ESPECIFICO DEL PARTO SI APLICA" dataDxfId="438" dataCellStyle="Normal 2"/>
    <tableColumn id="283" xr3:uid="{00000000-0010-0000-0000-00001B010000}" name="NIVEL DE COMPLEJIDAD DE LA ATENCION DE LA INSTITUCION DONDE SE ATENDIO EL PARTO" dataDxfId="437" dataCellStyle="Normal 2"/>
    <tableColumn id="284" xr3:uid="{00000000-0010-0000-0000-00001C010000}" name="PROFESIONAL O PERSONA QUE ATIENDE EL PARTO" dataDxfId="436" dataCellStyle="Normal 2"/>
    <tableColumn id="373" xr3:uid="{00000000-0010-0000-0000-000075010000}" name="INICIO TRABAJO DE PARTO" dataDxfId="435" dataCellStyle="Normal 2"/>
    <tableColumn id="285" xr3:uid="{00000000-0010-0000-0000-00001D010000}" name="ACOMPAÑAMIENTO POR PERSONA DE CONFIANZA DURANTE TRABAJO DE PARTO Y PARTO" dataDxfId="434" dataCellStyle="Normal 2"/>
    <tableColumn id="251" xr3:uid="{00000000-0010-0000-0000-0000FB000000}" name="DILIGENCIAMIENTO DE PARTOGRAMA (NO APLICA EN EXPULSIVO)" dataDxfId="433" dataCellStyle="Normal 2"/>
    <tableColumn id="261" xr3:uid="{00000000-0010-0000-0000-000005010000}" name="MANEJO ACTIVO DEL TERCER PERIODO DEL PARTO (USO OXITOCINA,MASAJE UTERINO Y TRACCIÓN SOSTENIDA DE CORDÓN)2" dataDxfId="432" dataCellStyle="Normal 2"/>
    <tableColumn id="262" xr3:uid="{00000000-0010-0000-0000-000006010000}" name="CONTACTO PIEL A PIEL DURANTE MÍNIMO 30 MINUTOS " dataDxfId="431" dataCellStyle="Normal 2"/>
    <tableColumn id="263" xr3:uid="{00000000-0010-0000-0000-000007010000}" name="INICIO DE LACTANCIA MATERNA DURANTE EL CONTACTO PIEL A PIEL O EN LA PRIMERA HORA DE VIDA" dataDxfId="430" dataCellStyle="Normal 2"/>
    <tableColumn id="92" xr3:uid="{00000000-0010-0000-0000-00005C000000}" name="MONITORIA CADA 15 MINUTOS DE SIGNOS VITALES DURANTES LAS PRIMERAS DOS HORAS POSTPARTO (SOPORTE EN HC - 8 VALORACIONES EN LAS PRIMERAS 2 HORAS)" dataDxfId="429" dataCellStyle="Normal 2"/>
    <tableColumn id="264" xr3:uid="{00000000-0010-0000-0000-000008010000}" name="COMPLICACIONES POSTPARTO - HASTA 42 DÍAS" dataDxfId="428" dataCellStyle="Normal 2"/>
    <tableColumn id="286" xr3:uid="{00000000-0010-0000-0000-00001E010000}" name="NUMERO NACIDOS VIVOS" dataDxfId="427" dataCellStyle="Normal 2"/>
    <tableColumn id="288" xr3:uid="{00000000-0010-0000-0000-000020010000}" name="SEXO RN" dataDxfId="426" dataCellStyle="Normal 2"/>
    <tableColumn id="289" xr3:uid="{00000000-0010-0000-0000-000021010000}" name="PESO RN  EN GRAMOS" dataDxfId="425" dataCellStyle="Normal 2"/>
    <tableColumn id="290" xr3:uid="{00000000-0010-0000-0000-000022010000}" name="PESO AL NACER POR EDAD GESTACIONAL" dataDxfId="424"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23" dataCellStyle="Normal 2"/>
    <tableColumn id="294" xr3:uid="{00000000-0010-0000-0000-000026010000}" name="RESULTADO TSH" dataDxfId="422" dataCellStyle="Normal 2"/>
    <tableColumn id="295" xr3:uid="{00000000-0010-0000-0000-000027010000}" name=" FECHA RESULTADO TSH" dataDxfId="421" dataCellStyle="Normal 2"/>
    <tableColumn id="296" xr3:uid="{00000000-0010-0000-0000-000028010000}" name="APLICACIÓN DE VIT K" dataDxfId="420" dataCellStyle="Normal 2"/>
    <tableColumn id="297" xr3:uid="{00000000-0010-0000-0000-000029010000}" name="GRUPO SANGUINEO RN" dataDxfId="419" dataCellStyle="Normal 2"/>
    <tableColumn id="298" xr3:uid="{00000000-0010-0000-0000-00002A010000}" name="FECHA APLICACIÓN VACUNA HEPATITIS B" dataDxfId="418" dataCellStyle="Normal 2"/>
    <tableColumn id="299" xr3:uid="{00000000-0010-0000-0000-00002B010000}" name="FECHA APLICACIÓN VACUNA BCG" dataDxfId="417" dataCellStyle="Normal 2"/>
    <tableColumn id="300" xr3:uid="{00000000-0010-0000-0000-00002C010000}" name="SEXO RN 2" dataDxfId="416" dataCellStyle="Normal 2"/>
    <tableColumn id="301" xr3:uid="{00000000-0010-0000-0000-00002D010000}" name="PESO RN 2 EN GRAMOS2" dataDxfId="415" dataCellStyle="Normal 2"/>
    <tableColumn id="302" xr3:uid="{00000000-0010-0000-0000-00002E010000}" name="PESO AL NACER POR EDAD GESTACIONAL RN 2" dataDxfId="414"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13" dataCellStyle="Normal 2"/>
    <tableColumn id="306" xr3:uid="{00000000-0010-0000-0000-000032010000}" name="RESULTADO TSH 2" dataDxfId="412" dataCellStyle="Normal 2"/>
    <tableColumn id="307" xr3:uid="{00000000-0010-0000-0000-000033010000}" name=" FECHA RESULTADO TSH 2" dataDxfId="411" dataCellStyle="Normal 2"/>
    <tableColumn id="308" xr3:uid="{00000000-0010-0000-0000-000034010000}" name="APLICACIÓN DE VIT K 2" dataDxfId="410" dataCellStyle="Normal 2"/>
    <tableColumn id="309" xr3:uid="{00000000-0010-0000-0000-000035010000}" name="GRUPO SANGUINEO RN 2" dataDxfId="409" dataCellStyle="Normal 2"/>
    <tableColumn id="310" xr3:uid="{00000000-0010-0000-0000-000036010000}" name="FECHA APLICACIÓN VACUNA HEPATITIS B 2" dataDxfId="408" dataCellStyle="Normal 2"/>
    <tableColumn id="311" xr3:uid="{00000000-0010-0000-0000-000037010000}" name="FECHA APLICACIÓN VACUNA BCG 2" dataDxfId="407" dataCellStyle="Normal 2"/>
    <tableColumn id="312" xr3:uid="{00000000-0010-0000-0000-000038010000}" name="CONTROL RN FECHA ASISTIO " dataDxfId="406" dataCellStyle="Normal 2"/>
    <tableColumn id="313" xr3:uid="{00000000-0010-0000-0000-000039010000}" name="ALARMA 1 CONTROL RN" dataDxfId="405"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04" dataCellStyle="Normal 2"/>
    <tableColumn id="316" xr3:uid="{00000000-0010-0000-0000-00003C010000}" name="ALARMA CONTROL PUERPERIO" dataDxfId="403"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02" dataCellStyle="Normal 2"/>
    <tableColumn id="265" xr3:uid="{00000000-0010-0000-0000-000009010000}" name="ASESORIA EN PLANIFICACIÓN FAMILIAR POST EVENTO OBSTETRICO EN AMBITO HOSPITALARIO" dataDxfId="401" dataCellStyle="Normal 2"/>
    <tableColumn id="240" xr3:uid="{00000000-0010-0000-0000-0000F0000000}" name="PUERPERA SALE CON PLANIFICACIÓN FAMILIAR POST EVENTO OBSTETRICO " dataDxfId="400" dataCellStyle="Normal 2"/>
    <tableColumn id="97" xr3:uid="{00000000-0010-0000-0000-000061000000}" name="FECHA INSCRIPCION A PLANIFICACION FAMILIAR2" dataDxfId="399" dataCellStyle="Normal 2"/>
    <tableColumn id="319" xr3:uid="{00000000-0010-0000-0000-00003F010000}" name="METODO DE ANTICONCEPCION INICIADO POSTPARTO" dataDxfId="398" dataCellStyle="Normal 2"/>
    <tableColumn id="320" xr3:uid="{00000000-0010-0000-0000-000040010000}" name="TIPO DE APOYO REALIZADO POR LA EPS" dataDxfId="397" dataCellStyle="Normal 2"/>
    <tableColumn id="321" xr3:uid="{00000000-0010-0000-0000-000041010000}" name="TIPO DE APOYO REALIZADO POR LA IPS PRIMARIA" dataDxfId="396" dataCellStyle="Normal 2"/>
    <tableColumn id="322" xr3:uid="{00000000-0010-0000-0000-000042010000}" name="FECHA SEGUIMIENTO INICIAL POR PERSONAL DE SALUD EN TERRENO" dataDxfId="395" dataCellStyle="Normal 2"/>
    <tableColumn id="304" xr3:uid="{00000000-0010-0000-0000-000030010000}" name="FECHA ÚLTIMO SEGUIMIENTO" dataDxfId="394" dataCellStyle="Normal 2"/>
    <tableColumn id="318" xr3:uid="{00000000-0010-0000-0000-00003E010000}" name="NÚMERO DE SEGUIMIENTOS CPN" dataDxfId="393" dataCellStyle="Normal 2"/>
    <tableColumn id="183" xr3:uid="{00000000-0010-0000-0000-0000B7000000}" name="HALLAZGO GESTACIÓN SEGUIMIENTO POR VISITA DOMICILIARIA" dataDxfId="392" dataCellStyle="Normal 2"/>
    <tableColumn id="332" xr3:uid="{00000000-0010-0000-0000-00004C010000}" name="FECHA SEGUIMIENTOS TELÉFONICOS" dataDxfId="391" dataCellStyle="Normal 2"/>
    <tableColumn id="266" xr3:uid="{00000000-0010-0000-0000-00000A010000}" name="NÚMERO SEGUIMIENTOS TELÉFONCOS" dataDxfId="390" dataCellStyle="Normal 2"/>
    <tableColumn id="267" xr3:uid="{00000000-0010-0000-0000-00000B010000}" name="OBSERVACIÓN SEGUIMIENTO TELÉFONCO" dataDxfId="389" dataCellStyle="Normal 2"/>
    <tableColumn id="272" xr3:uid="{00000000-0010-0000-0000-000010010000}" name="FECHA SEGUIMIENTO POR PERSONAL DE SALUD EN TERRENO  EN PUERPERIO" dataDxfId="388" dataCellStyle="Normal 2"/>
    <tableColumn id="344" xr3:uid="{00000000-0010-0000-0000-000058010000}" name="HALLAZGOS ACOMPAÑAMIENTO PERSONAL DE SALUD PUERPERA" dataDxfId="387" dataCellStyle="Normal 2"/>
    <tableColumn id="347" xr3:uid="{00000000-0010-0000-0000-00005B010000}" name="HALLAZGOS ACOMPAÑAMIENTO PERSONAL DE SALUD RECIEN NACIDO" dataDxfId="386" dataCellStyle="Normal 2"/>
    <tableColumn id="348" xr3:uid="{00000000-0010-0000-0000-00005C010000}" name="FECHA ULTIMO SEGUIMIENTO POR PERSONAL DE SALUD EN TERRENO  EN PUERPERIO" dataDxfId="385" dataCellStyle="Normal 2"/>
    <tableColumn id="349" xr3:uid="{00000000-0010-0000-0000-00005D010000}" name="NÚMERO DE SEGUIMIENTOS EN PUERPERIO" dataDxfId="384" dataCellStyle="Normal 2"/>
    <tableColumn id="350" xr3:uid="{00000000-0010-0000-0000-00005E010000}" name="FECHA PRIMER ACOMPAÑAMIENTO SABEDOR ANCESTRAL" dataDxfId="383" dataCellStyle="Normal 2"/>
    <tableColumn id="22" xr3:uid="{00000000-0010-0000-0000-000016000000}" name="TIPO DE SABEDOR" dataDxfId="382" dataCellStyle="Normal 2"/>
    <tableColumn id="191" xr3:uid="{00000000-0010-0000-0000-0000BF000000}" name="NECESIDAD O DESARMONIA DESDE LO PROPIO 1" dataDxfId="381" dataCellStyle="Normal 2"/>
    <tableColumn id="353" xr3:uid="{00000000-0010-0000-0000-000061010000}" name="ACTIVIDAD O RITUALIDAD REALIZADA1" dataDxfId="380" dataCellStyle="Normal 2"/>
    <tableColumn id="93" xr3:uid="{00000000-0010-0000-0000-00005D000000}" name="FECHA  ACOMPAÑAMIENTO SABEDOR ANCESTRAL2" dataDxfId="379" dataCellStyle="Normal 2"/>
    <tableColumn id="354" xr3:uid="{00000000-0010-0000-0000-000062010000}" name="TIPO DE SABEDOR2" dataDxfId="378" dataCellStyle="Normal 2"/>
    <tableColumn id="355" xr3:uid="{00000000-0010-0000-0000-000063010000}" name="NECESIDAD O DESARMONIA DESDE LO PROPIO 12" dataDxfId="377" dataCellStyle="Normal 2"/>
    <tableColumn id="107" xr3:uid="{00000000-0010-0000-0000-00006B000000}" name="ACTIVIDAD O RITUALIDAD REALIZADA13" dataDxfId="376" dataCellStyle="Normal 2"/>
    <tableColumn id="357" xr3:uid="{00000000-0010-0000-0000-000065010000}" name="FECHA ACOMPAÑAMIENTO SABEDOR ANCESTRAL3" dataDxfId="375" dataCellStyle="Normal 2"/>
    <tableColumn id="358" xr3:uid="{00000000-0010-0000-0000-000066010000}" name="TIPO DE SABEDOR3" dataDxfId="374" dataCellStyle="Normal 2"/>
    <tableColumn id="359" xr3:uid="{00000000-0010-0000-0000-000067010000}" name="NECESIDAD O DESARMONIA DESDE LO PROPIO 13" dataDxfId="373" dataCellStyle="Normal 2"/>
    <tableColumn id="360" xr3:uid="{00000000-0010-0000-0000-000068010000}" name="ACTIVIDAD O RITUALIDAD REALIZADA14" dataDxfId="372" dataCellStyle="Normal 2"/>
    <tableColumn id="361" xr3:uid="{00000000-0010-0000-0000-000069010000}" name="FECHA ACOMPAÑAMIENTO SABEDOR ANCESTRAL4" dataDxfId="371" dataCellStyle="Normal 2"/>
    <tableColumn id="109" xr3:uid="{00000000-0010-0000-0000-00006D000000}" name="TIPO DE SABEDOR4" dataDxfId="370" dataCellStyle="Normal 2"/>
    <tableColumn id="362" xr3:uid="{00000000-0010-0000-0000-00006A010000}" name="NECESIDAD O DESARMONIA DESDE LO PROPIO 14" dataDxfId="369" dataCellStyle="Normal 2"/>
    <tableColumn id="364" xr3:uid="{00000000-0010-0000-0000-00006C010000}" name="ACTIVIDAD O RITUALIDAD REALIZADA15" dataDxfId="368" dataCellStyle="Normal 2"/>
    <tableColumn id="365" xr3:uid="{00000000-0010-0000-0000-00006D010000}" name="FECHA ACOMPAÑAMIENTO SABEDOR ANCESTRAL5" dataDxfId="367" dataCellStyle="Normal 2"/>
    <tableColumn id="366" xr3:uid="{00000000-0010-0000-0000-00006E010000}" name="TIPO DE SABEDOR5" dataDxfId="366" dataCellStyle="Normal 2"/>
    <tableColumn id="367" xr3:uid="{00000000-0010-0000-0000-00006F010000}" name="NECESIDAD O DESARMONIA DESDE LO PROPIO 15" dataDxfId="365" dataCellStyle="Normal 2"/>
    <tableColumn id="369" xr3:uid="{00000000-0010-0000-0000-000071010000}" name="ACTIVIDAD O RITUALIDAD REALIZADA16" dataDxfId="364" dataCellStyle="Normal 2"/>
    <tableColumn id="370" xr3:uid="{00000000-0010-0000-0000-000072010000}" name="FECHA ACOMPAÑAMIENTO SABEDOR ANCESTRAL PUERPERIO Y RECIEN NACIDO" dataDxfId="363" dataCellStyle="Normal 2"/>
    <tableColumn id="371" xr3:uid="{00000000-0010-0000-0000-000073010000}" name="TIPO DE SABEDOR6" dataDxfId="362" dataCellStyle="Normal 2"/>
    <tableColumn id="372" xr3:uid="{00000000-0010-0000-0000-000074010000}" name="NECESIDAD O DESARMONIA DESDE LO PROPIO 16" dataDxfId="361" dataCellStyle="Normal 2"/>
    <tableColumn id="69" xr3:uid="{00000000-0010-0000-0000-000045000000}" name="ACTIVIDAD O RITUALIDAD REALIZADA 6" dataDxfId="360" dataCellStyle="Normal 2"/>
    <tableColumn id="374" xr3:uid="{00000000-0010-0000-0000-000076010000}" name="FECHA ACOMPAÑAMIENTO SABEDOR ANCESTRAL PUERPERIO Y RECIEN NACIDO2" dataDxfId="359" dataCellStyle="Normal 2"/>
    <tableColumn id="182" xr3:uid="{00000000-0010-0000-0000-0000B6000000}" name="TIPO DE SABEDOR7" dataDxfId="358" dataCellStyle="Normal 2"/>
    <tableColumn id="274" xr3:uid="{00000000-0010-0000-0000-000012010000}" name="NECESIDAD O DESARMONIA DESDE LO PROPIO 17" dataDxfId="357" dataCellStyle="Normal 2"/>
    <tableColumn id="292" xr3:uid="{00000000-0010-0000-0000-000024010000}" name="ACTIVIDAD O RITUALIDAD REALIZADA18" dataDxfId="356" dataCellStyle="Normal 2"/>
    <tableColumn id="323" xr3:uid="{00000000-0010-0000-0000-000043010000}" name="FECHA ACOMPAÑAMIENTO SABEDOR ANCESTRAL PUERPERIO Y RECIEN NACIDO22" dataDxfId="355" dataCellStyle="Normal 2"/>
    <tableColumn id="324" xr3:uid="{00000000-0010-0000-0000-000044010000}" name="TIPO DE SABEDOR73" dataDxfId="354" dataCellStyle="Normal 2"/>
    <tableColumn id="325" xr3:uid="{00000000-0010-0000-0000-000045010000}" name="NECESIDAD O DESARMONIA DESDE LO PROPIO 174" dataDxfId="353" dataCellStyle="Normal 2"/>
    <tableColumn id="326" xr3:uid="{00000000-0010-0000-0000-000046010000}" name="ACTIVIDAD O RITUALIDAD REALIZADA185" dataDxfId="352" dataCellStyle="Normal 2"/>
    <tableColumn id="327" xr3:uid="{00000000-0010-0000-0000-000047010000}" name="FECHA ACOMPAÑAMIENTO SABEDOR ANCESTRAL PUERPERIO Y RECIEN NACIDO222" dataDxfId="351" dataCellStyle="Normal 2"/>
    <tableColumn id="328" xr3:uid="{00000000-0010-0000-0000-000048010000}" name="TIPO DE SABEDOR733" dataDxfId="350" dataCellStyle="Normal 2"/>
    <tableColumn id="329" xr3:uid="{00000000-0010-0000-0000-000049010000}" name="NECESIDAD O DESARMONIA DESDE LO PROPIO 1744" dataDxfId="349" dataCellStyle="Normal 2"/>
    <tableColumn id="330" xr3:uid="{00000000-0010-0000-0000-00004A010000}" name="ACTIVIDAD O RITUALIDAD REALIZADA1855" dataDxfId="348" dataCellStyle="Normal 2"/>
    <tableColumn id="331" xr3:uid="{00000000-0010-0000-0000-00004B010000}" name="FECHA ACOMPAÑAMIENTO SABEDOR ANCESTRAL PUERPERIO Y RECIEN NACIDO2222" dataDxfId="347" dataCellStyle="Normal 2"/>
    <tableColumn id="375" xr3:uid="{00000000-0010-0000-0000-000077010000}" name="TIPO DE SABEDOR7333" dataDxfId="346" dataCellStyle="Normal 2"/>
    <tableColumn id="376" xr3:uid="{00000000-0010-0000-0000-000078010000}" name="NECESIDAD O DESARMONIA DESDE LO PROPIO 17444" dataDxfId="345" dataCellStyle="Normal 2"/>
    <tableColumn id="377" xr3:uid="{00000000-0010-0000-0000-000079010000}" name="ACTIVIDAD O RITUALIDAD REALIZADA18555" dataDxfId="344" dataCellStyle="Normal 2"/>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13" t="s">
        <v>444</v>
      </c>
      <c r="B1" s="213"/>
      <c r="C1" s="213"/>
      <c r="D1" s="213"/>
      <c r="E1" s="213"/>
      <c r="F1" s="213"/>
    </row>
    <row r="2" spans="1:342" ht="44.25" customHeight="1" x14ac:dyDescent="0.3">
      <c r="A2" s="214" t="s">
        <v>606</v>
      </c>
      <c r="B2" s="214"/>
      <c r="C2" s="214"/>
      <c r="D2" s="214"/>
      <c r="E2" s="214"/>
      <c r="F2" s="214"/>
    </row>
    <row r="3" spans="1:342" ht="44.25" customHeight="1" x14ac:dyDescent="0.3">
      <c r="A3" s="214" t="s">
        <v>500</v>
      </c>
      <c r="B3" s="214"/>
      <c r="C3" s="214"/>
      <c r="D3" s="214"/>
      <c r="E3" s="214"/>
      <c r="F3" s="214"/>
    </row>
    <row r="4" spans="1:342" ht="100.5" customHeight="1" thickBot="1" x14ac:dyDescent="0.3">
      <c r="A4" s="8" t="s">
        <v>607</v>
      </c>
      <c r="B4" s="8" t="s">
        <v>310</v>
      </c>
      <c r="C4" s="7" t="s">
        <v>32</v>
      </c>
      <c r="D4" s="155" t="s">
        <v>650</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364</v>
      </c>
      <c r="AE4" s="7" t="s">
        <v>151</v>
      </c>
      <c r="AF4" s="7" t="s">
        <v>10</v>
      </c>
      <c r="AG4" s="7" t="s">
        <v>26</v>
      </c>
      <c r="AH4" s="7" t="s">
        <v>150</v>
      </c>
      <c r="AI4" s="7" t="s">
        <v>30</v>
      </c>
      <c r="AJ4" s="7" t="s">
        <v>27</v>
      </c>
      <c r="AK4" s="21" t="s">
        <v>53</v>
      </c>
      <c r="AL4" s="81" t="s">
        <v>448</v>
      </c>
      <c r="AM4" s="81" t="s">
        <v>449</v>
      </c>
      <c r="AN4" s="81" t="s">
        <v>450</v>
      </c>
      <c r="AO4" s="81" t="s">
        <v>451</v>
      </c>
      <c r="AP4" s="81" t="s">
        <v>452</v>
      </c>
      <c r="AQ4" s="81" t="s">
        <v>453</v>
      </c>
      <c r="AR4" s="81" t="s">
        <v>123</v>
      </c>
      <c r="AS4" s="81" t="s">
        <v>454</v>
      </c>
      <c r="AT4" s="81" t="s">
        <v>455</v>
      </c>
      <c r="AU4" s="81" t="s">
        <v>148</v>
      </c>
      <c r="AV4" s="81" t="s">
        <v>469</v>
      </c>
      <c r="AW4" s="81" t="s">
        <v>456</v>
      </c>
      <c r="AX4" s="81" t="s">
        <v>457</v>
      </c>
      <c r="AY4" s="81" t="s">
        <v>458</v>
      </c>
      <c r="AZ4" s="81" t="s">
        <v>459</v>
      </c>
      <c r="BA4" s="7" t="s">
        <v>153</v>
      </c>
      <c r="BB4" s="7" t="s">
        <v>154</v>
      </c>
      <c r="BC4" s="7" t="s">
        <v>155</v>
      </c>
      <c r="BD4" s="7" t="s">
        <v>156</v>
      </c>
      <c r="BE4" s="8" t="s">
        <v>168</v>
      </c>
      <c r="BF4" s="7" t="s">
        <v>167</v>
      </c>
      <c r="BG4" s="7" t="s">
        <v>159</v>
      </c>
      <c r="BH4" s="7" t="s">
        <v>160</v>
      </c>
      <c r="BI4" s="8" t="s">
        <v>158</v>
      </c>
      <c r="BJ4" s="80" t="s">
        <v>345</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56" t="s">
        <v>696</v>
      </c>
      <c r="BY4" s="7" t="s">
        <v>157</v>
      </c>
      <c r="BZ4" s="7" t="s">
        <v>121</v>
      </c>
      <c r="CA4" s="8" t="s">
        <v>45</v>
      </c>
      <c r="CB4" s="7" t="s">
        <v>122</v>
      </c>
      <c r="CC4" s="21" t="s">
        <v>17</v>
      </c>
      <c r="CD4" s="21" t="s">
        <v>60</v>
      </c>
      <c r="CE4" s="19" t="s">
        <v>61</v>
      </c>
      <c r="CF4" s="19" t="s">
        <v>483</v>
      </c>
      <c r="CG4" s="21" t="s">
        <v>475</v>
      </c>
      <c r="CH4" s="21" t="s">
        <v>474</v>
      </c>
      <c r="CI4" s="21" t="s">
        <v>476</v>
      </c>
      <c r="CJ4" s="80" t="s">
        <v>62</v>
      </c>
      <c r="CK4" s="19" t="s">
        <v>484</v>
      </c>
      <c r="CL4" s="21" t="s">
        <v>477</v>
      </c>
      <c r="CM4" s="21" t="s">
        <v>478</v>
      </c>
      <c r="CN4" s="21" t="s">
        <v>479</v>
      </c>
      <c r="CO4" s="21" t="s">
        <v>480</v>
      </c>
      <c r="CP4" s="7" t="s">
        <v>134</v>
      </c>
      <c r="CQ4" s="7" t="s">
        <v>135</v>
      </c>
      <c r="CR4" s="21" t="s">
        <v>149</v>
      </c>
      <c r="CS4" s="7" t="s">
        <v>165</v>
      </c>
      <c r="CT4" s="7" t="s">
        <v>166</v>
      </c>
      <c r="CU4" s="21" t="s">
        <v>173</v>
      </c>
      <c r="CV4" s="7" t="s">
        <v>141</v>
      </c>
      <c r="CW4" s="7" t="s">
        <v>146</v>
      </c>
      <c r="CX4" s="7" t="s">
        <v>142</v>
      </c>
      <c r="CY4" s="7" t="s">
        <v>143</v>
      </c>
      <c r="CZ4" s="21" t="s">
        <v>174</v>
      </c>
      <c r="DA4" s="19" t="s">
        <v>342</v>
      </c>
      <c r="DB4" s="19" t="s">
        <v>343</v>
      </c>
      <c r="DC4" s="20" t="s">
        <v>63</v>
      </c>
      <c r="DD4" s="20" t="s">
        <v>64</v>
      </c>
      <c r="DE4" s="20" t="s">
        <v>65</v>
      </c>
      <c r="DF4" s="20" t="s">
        <v>66</v>
      </c>
      <c r="DG4" s="20" t="s">
        <v>67</v>
      </c>
      <c r="DH4" s="20" t="s">
        <v>68</v>
      </c>
      <c r="DI4" s="20" t="s">
        <v>69</v>
      </c>
      <c r="DJ4" s="20" t="s">
        <v>70</v>
      </c>
      <c r="DK4" s="20" t="s">
        <v>71</v>
      </c>
      <c r="DL4" s="20" t="s">
        <v>72</v>
      </c>
      <c r="DM4" s="20" t="s">
        <v>314</v>
      </c>
      <c r="DN4" s="20" t="s">
        <v>613</v>
      </c>
      <c r="DO4" s="157" t="s">
        <v>645</v>
      </c>
      <c r="DP4" s="157" t="s">
        <v>665</v>
      </c>
      <c r="DQ4" s="158" t="s">
        <v>646</v>
      </c>
      <c r="DR4" s="21" t="s">
        <v>48</v>
      </c>
      <c r="DS4" s="21" t="s">
        <v>22</v>
      </c>
      <c r="DT4" s="21" t="s">
        <v>315</v>
      </c>
      <c r="DU4" s="21" t="s">
        <v>288</v>
      </c>
      <c r="DV4" s="21" t="s">
        <v>289</v>
      </c>
      <c r="DW4" s="21" t="s">
        <v>43</v>
      </c>
      <c r="DX4" s="21" t="s">
        <v>33</v>
      </c>
      <c r="DY4" s="21" t="s">
        <v>51</v>
      </c>
      <c r="DZ4" s="21" t="s">
        <v>73</v>
      </c>
      <c r="EA4" s="7" t="s">
        <v>74</v>
      </c>
      <c r="EB4" s="7" t="s">
        <v>75</v>
      </c>
      <c r="EC4" s="10" t="s">
        <v>76</v>
      </c>
      <c r="ED4" s="7" t="s">
        <v>77</v>
      </c>
      <c r="EE4" s="7" t="s">
        <v>78</v>
      </c>
      <c r="EF4" s="82" t="s">
        <v>337</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356</v>
      </c>
      <c r="EW4" s="80" t="s">
        <v>152</v>
      </c>
      <c r="EX4" s="21" t="s">
        <v>171</v>
      </c>
      <c r="EY4" s="19" t="s">
        <v>110</v>
      </c>
      <c r="EZ4" s="19" t="s">
        <v>111</v>
      </c>
      <c r="FA4" s="19" t="s">
        <v>112</v>
      </c>
      <c r="FB4" s="21" t="s">
        <v>107</v>
      </c>
      <c r="FC4" s="19" t="s">
        <v>113</v>
      </c>
      <c r="FD4" s="21" t="s">
        <v>139</v>
      </c>
      <c r="FE4" s="83" t="s">
        <v>647</v>
      </c>
      <c r="FF4" s="80" t="s">
        <v>666</v>
      </c>
      <c r="FG4" s="21" t="s">
        <v>651</v>
      </c>
      <c r="FH4" s="83" t="s">
        <v>439</v>
      </c>
      <c r="FI4" s="19" t="s">
        <v>114</v>
      </c>
      <c r="FJ4" s="159" t="s">
        <v>652</v>
      </c>
      <c r="FK4" s="83" t="s">
        <v>440</v>
      </c>
      <c r="FL4" s="19" t="s">
        <v>115</v>
      </c>
      <c r="FM4" s="159" t="s">
        <v>653</v>
      </c>
      <c r="FN4" s="83" t="s">
        <v>441</v>
      </c>
      <c r="FO4" s="19" t="s">
        <v>116</v>
      </c>
      <c r="FP4" s="21" t="s">
        <v>136</v>
      </c>
      <c r="FQ4" s="19" t="s">
        <v>140</v>
      </c>
      <c r="FR4" s="19" t="s">
        <v>137</v>
      </c>
      <c r="FS4" s="21" t="s">
        <v>138</v>
      </c>
      <c r="FT4" s="83" t="s">
        <v>81</v>
      </c>
      <c r="FU4" s="19" t="s">
        <v>82</v>
      </c>
      <c r="FV4" s="21" t="s">
        <v>83</v>
      </c>
      <c r="FW4" s="19" t="s">
        <v>347</v>
      </c>
      <c r="FX4" s="19" t="s">
        <v>351</v>
      </c>
      <c r="FY4" s="83" t="s">
        <v>648</v>
      </c>
      <c r="FZ4" s="84" t="s">
        <v>667</v>
      </c>
      <c r="GA4" s="159" t="s">
        <v>655</v>
      </c>
      <c r="GB4" s="83" t="s">
        <v>329</v>
      </c>
      <c r="GC4" s="84" t="s">
        <v>330</v>
      </c>
      <c r="GD4" s="159" t="s">
        <v>656</v>
      </c>
      <c r="GE4" s="83" t="s">
        <v>352</v>
      </c>
      <c r="GF4" s="19" t="s">
        <v>517</v>
      </c>
      <c r="GG4" s="159" t="s">
        <v>657</v>
      </c>
      <c r="GH4" s="83" t="s">
        <v>438</v>
      </c>
      <c r="GI4" s="19" t="s">
        <v>366</v>
      </c>
      <c r="GJ4" s="85" t="s">
        <v>331</v>
      </c>
      <c r="GK4" s="19" t="s">
        <v>333</v>
      </c>
      <c r="GL4" s="85" t="s">
        <v>334</v>
      </c>
      <c r="GM4" s="19" t="s">
        <v>335</v>
      </c>
      <c r="GN4" s="83" t="s">
        <v>84</v>
      </c>
      <c r="GO4" s="80" t="s">
        <v>85</v>
      </c>
      <c r="GP4" s="21" t="s">
        <v>163</v>
      </c>
      <c r="GQ4" s="83" t="s">
        <v>86</v>
      </c>
      <c r="GR4" s="83" t="s">
        <v>88</v>
      </c>
      <c r="GS4" s="21" t="s">
        <v>119</v>
      </c>
      <c r="GT4" s="80" t="s">
        <v>87</v>
      </c>
      <c r="GU4" s="21" t="s">
        <v>164</v>
      </c>
      <c r="GV4" s="21" t="s">
        <v>170</v>
      </c>
      <c r="GW4" s="19" t="s">
        <v>284</v>
      </c>
      <c r="GX4" s="19" t="s">
        <v>120</v>
      </c>
      <c r="GY4" s="19" t="s">
        <v>24</v>
      </c>
      <c r="GZ4" s="19" t="s">
        <v>332</v>
      </c>
      <c r="HA4" s="21" t="s">
        <v>37</v>
      </c>
      <c r="HB4" s="21" t="s">
        <v>38</v>
      </c>
      <c r="HC4" s="21" t="s">
        <v>36</v>
      </c>
      <c r="HD4" s="160" t="s">
        <v>658</v>
      </c>
      <c r="HE4" s="155" t="s">
        <v>659</v>
      </c>
      <c r="HF4" s="160" t="s">
        <v>660</v>
      </c>
      <c r="HG4" s="155" t="s">
        <v>661</v>
      </c>
      <c r="HH4" s="160" t="s">
        <v>662</v>
      </c>
      <c r="HI4" s="155" t="s">
        <v>668</v>
      </c>
      <c r="HJ4" s="155" t="s">
        <v>636</v>
      </c>
      <c r="HK4" s="21" t="s">
        <v>311</v>
      </c>
      <c r="HL4" s="21" t="s">
        <v>367</v>
      </c>
      <c r="HM4" s="21" t="s">
        <v>365</v>
      </c>
      <c r="HN4" s="21" t="s">
        <v>354</v>
      </c>
      <c r="HO4" s="21" t="s">
        <v>312</v>
      </c>
      <c r="HP4" s="21" t="s">
        <v>353</v>
      </c>
      <c r="HQ4" s="21" t="s">
        <v>361</v>
      </c>
      <c r="HR4" s="21" t="s">
        <v>360</v>
      </c>
      <c r="HS4" s="86" t="s">
        <v>378</v>
      </c>
      <c r="HT4" s="19" t="s">
        <v>313</v>
      </c>
      <c r="HU4" s="19" t="s">
        <v>596</v>
      </c>
      <c r="HV4" s="19" t="s">
        <v>291</v>
      </c>
      <c r="HW4" s="19" t="s">
        <v>597</v>
      </c>
      <c r="HX4" s="19" t="s">
        <v>290</v>
      </c>
      <c r="HY4" s="19" t="s">
        <v>598</v>
      </c>
      <c r="HZ4" s="19" t="s">
        <v>296</v>
      </c>
      <c r="IA4" s="19" t="s">
        <v>539</v>
      </c>
      <c r="IB4" s="7" t="s">
        <v>34</v>
      </c>
      <c r="IC4" s="21" t="s">
        <v>14</v>
      </c>
      <c r="ID4" s="19" t="s">
        <v>724</v>
      </c>
      <c r="IE4" s="161" t="s">
        <v>641</v>
      </c>
      <c r="IF4" s="19" t="s">
        <v>638</v>
      </c>
      <c r="IG4" s="161" t="s">
        <v>643</v>
      </c>
      <c r="IH4" s="19" t="s">
        <v>639</v>
      </c>
      <c r="II4" s="161" t="s">
        <v>644</v>
      </c>
      <c r="IJ4" s="19" t="s">
        <v>642</v>
      </c>
      <c r="IK4" s="150" t="s">
        <v>640</v>
      </c>
      <c r="IL4" s="8" t="s">
        <v>117</v>
      </c>
      <c r="IM4" s="7" t="s">
        <v>118</v>
      </c>
      <c r="IN4" s="21" t="s">
        <v>349</v>
      </c>
      <c r="IO4" s="8" t="s">
        <v>542</v>
      </c>
      <c r="IP4" s="21" t="s">
        <v>359</v>
      </c>
      <c r="IQ4" s="60" t="s">
        <v>357</v>
      </c>
      <c r="IR4" s="21" t="s">
        <v>358</v>
      </c>
      <c r="IS4" s="89" t="s">
        <v>285</v>
      </c>
      <c r="IT4" s="89" t="s">
        <v>23</v>
      </c>
      <c r="IU4" s="203" t="s">
        <v>719</v>
      </c>
      <c r="IV4" s="203" t="s">
        <v>720</v>
      </c>
      <c r="IW4" s="89" t="s">
        <v>28</v>
      </c>
      <c r="IX4" s="89" t="s">
        <v>552</v>
      </c>
      <c r="IY4" s="9" t="s">
        <v>89</v>
      </c>
      <c r="IZ4" s="89" t="s">
        <v>554</v>
      </c>
      <c r="JA4" s="89" t="s">
        <v>437</v>
      </c>
      <c r="JB4" s="89" t="s">
        <v>16</v>
      </c>
      <c r="JC4" s="89" t="s">
        <v>664</v>
      </c>
      <c r="JD4" s="86" t="s">
        <v>338</v>
      </c>
      <c r="JE4" s="86" t="s">
        <v>340</v>
      </c>
      <c r="JF4" s="86" t="s">
        <v>339</v>
      </c>
      <c r="JG4" s="86" t="s">
        <v>374</v>
      </c>
      <c r="JH4" s="86" t="s">
        <v>375</v>
      </c>
      <c r="JI4" s="86" t="s">
        <v>341</v>
      </c>
      <c r="JJ4" s="7" t="s">
        <v>145</v>
      </c>
      <c r="JK4" s="7" t="s">
        <v>39</v>
      </c>
      <c r="JL4" s="7" t="s">
        <v>90</v>
      </c>
      <c r="JM4" s="8" t="s">
        <v>179</v>
      </c>
      <c r="JN4" s="9" t="s">
        <v>44</v>
      </c>
      <c r="JO4" s="8" t="s">
        <v>565</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436</v>
      </c>
      <c r="KK4" s="86" t="s">
        <v>376</v>
      </c>
      <c r="KL4" s="86" t="s">
        <v>377</v>
      </c>
      <c r="KM4" s="7" t="s">
        <v>144</v>
      </c>
      <c r="KN4" s="7" t="s">
        <v>133</v>
      </c>
      <c r="KO4" s="101" t="s">
        <v>603</v>
      </c>
      <c r="KP4" s="81" t="s">
        <v>604</v>
      </c>
      <c r="KQ4" s="90" t="s">
        <v>368</v>
      </c>
      <c r="KR4" s="90" t="s">
        <v>362</v>
      </c>
      <c r="KS4" s="90" t="s">
        <v>363</v>
      </c>
      <c r="KT4" s="90" t="s">
        <v>369</v>
      </c>
      <c r="KU4" s="97" t="s">
        <v>599</v>
      </c>
      <c r="KV4" s="97" t="s">
        <v>600</v>
      </c>
      <c r="KW4" s="97" t="s">
        <v>601</v>
      </c>
      <c r="KX4" s="91" t="s">
        <v>575</v>
      </c>
      <c r="KY4" s="91" t="s">
        <v>371</v>
      </c>
      <c r="KZ4" s="91" t="s">
        <v>373</v>
      </c>
      <c r="LA4" s="91" t="s">
        <v>372</v>
      </c>
      <c r="LB4" s="91" t="s">
        <v>370</v>
      </c>
      <c r="LC4" s="92" t="s">
        <v>297</v>
      </c>
      <c r="LD4" s="92" t="s">
        <v>295</v>
      </c>
      <c r="LE4" s="93" t="s">
        <v>294</v>
      </c>
      <c r="LF4" s="92" t="s">
        <v>318</v>
      </c>
      <c r="LG4" s="94" t="s">
        <v>299</v>
      </c>
      <c r="LH4" s="94" t="s">
        <v>300</v>
      </c>
      <c r="LI4" s="93" t="s">
        <v>317</v>
      </c>
      <c r="LJ4" s="94" t="s">
        <v>319</v>
      </c>
      <c r="LK4" s="92" t="s">
        <v>301</v>
      </c>
      <c r="LL4" s="92" t="s">
        <v>298</v>
      </c>
      <c r="LM4" s="93" t="s">
        <v>320</v>
      </c>
      <c r="LN4" s="92" t="s">
        <v>321</v>
      </c>
      <c r="LO4" s="94" t="s">
        <v>302</v>
      </c>
      <c r="LP4" s="94" t="s">
        <v>303</v>
      </c>
      <c r="LQ4" s="93" t="s">
        <v>322</v>
      </c>
      <c r="LR4" s="94" t="s">
        <v>323</v>
      </c>
      <c r="LS4" s="92" t="s">
        <v>304</v>
      </c>
      <c r="LT4" s="92" t="s">
        <v>305</v>
      </c>
      <c r="LU4" s="93" t="s">
        <v>324</v>
      </c>
      <c r="LV4" s="92" t="s">
        <v>325</v>
      </c>
      <c r="LW4" s="95" t="s">
        <v>316</v>
      </c>
      <c r="LX4" s="95" t="s">
        <v>306</v>
      </c>
      <c r="LY4" s="93" t="s">
        <v>326</v>
      </c>
      <c r="LZ4" s="95" t="s">
        <v>307</v>
      </c>
      <c r="MA4" s="95" t="s">
        <v>355</v>
      </c>
      <c r="MB4" s="95" t="s">
        <v>308</v>
      </c>
      <c r="MC4" s="93" t="s">
        <v>327</v>
      </c>
      <c r="MD4" s="95" t="s">
        <v>328</v>
      </c>
    </row>
    <row r="5" spans="1:342" ht="347.25" customHeight="1" x14ac:dyDescent="0.25">
      <c r="A5" s="11" t="s">
        <v>442</v>
      </c>
      <c r="B5" s="11" t="s">
        <v>443</v>
      </c>
      <c r="C5" s="11" t="s">
        <v>445</v>
      </c>
      <c r="D5" s="11" t="s">
        <v>689</v>
      </c>
      <c r="E5" s="11" t="s">
        <v>180</v>
      </c>
      <c r="F5" s="11" t="s">
        <v>181</v>
      </c>
      <c r="G5" s="11" t="s">
        <v>182</v>
      </c>
      <c r="H5" s="11" t="s">
        <v>183</v>
      </c>
      <c r="I5" s="12" t="s">
        <v>184</v>
      </c>
      <c r="J5" s="13" t="s">
        <v>185</v>
      </c>
      <c r="K5" s="14" t="s">
        <v>186</v>
      </c>
      <c r="L5" s="11" t="s">
        <v>187</v>
      </c>
      <c r="M5" s="11" t="s">
        <v>190</v>
      </c>
      <c r="N5" s="14" t="s">
        <v>188</v>
      </c>
      <c r="O5" s="11" t="s">
        <v>189</v>
      </c>
      <c r="P5" s="11" t="s">
        <v>209</v>
      </c>
      <c r="Q5" s="11" t="s">
        <v>637</v>
      </c>
      <c r="R5" s="11" t="s">
        <v>501</v>
      </c>
      <c r="S5" s="11" t="s">
        <v>191</v>
      </c>
      <c r="T5" s="11" t="s">
        <v>192</v>
      </c>
      <c r="U5" s="11" t="s">
        <v>193</v>
      </c>
      <c r="V5" s="11" t="s">
        <v>194</v>
      </c>
      <c r="W5" s="11" t="s">
        <v>195</v>
      </c>
      <c r="X5" s="11" t="s">
        <v>196</v>
      </c>
      <c r="Y5" s="11" t="s">
        <v>197</v>
      </c>
      <c r="Z5" s="11" t="s">
        <v>198</v>
      </c>
      <c r="AA5" s="11" t="s">
        <v>201</v>
      </c>
      <c r="AB5" s="11" t="s">
        <v>202</v>
      </c>
      <c r="AC5" s="11" t="s">
        <v>203</v>
      </c>
      <c r="AD5" s="11" t="s">
        <v>446</v>
      </c>
      <c r="AE5" s="11" t="s">
        <v>204</v>
      </c>
      <c r="AF5" s="11" t="s">
        <v>205</v>
      </c>
      <c r="AG5" s="11" t="s">
        <v>206</v>
      </c>
      <c r="AH5" s="11" t="s">
        <v>207</v>
      </c>
      <c r="AI5" s="11" t="s">
        <v>447</v>
      </c>
      <c r="AJ5" s="11" t="s">
        <v>208</v>
      </c>
      <c r="AK5" s="11" t="s">
        <v>210</v>
      </c>
      <c r="AL5" s="215" t="s">
        <v>211</v>
      </c>
      <c r="AM5" s="215"/>
      <c r="AN5" s="215"/>
      <c r="AO5" s="215"/>
      <c r="AP5" s="215"/>
      <c r="AQ5" s="215"/>
      <c r="AR5" s="11" t="s">
        <v>218</v>
      </c>
      <c r="AS5" s="11" t="s">
        <v>212</v>
      </c>
      <c r="AT5" s="11" t="s">
        <v>213</v>
      </c>
      <c r="AU5" s="11" t="s">
        <v>468</v>
      </c>
      <c r="AV5" s="11" t="s">
        <v>214</v>
      </c>
      <c r="AW5" s="11" t="s">
        <v>460</v>
      </c>
      <c r="AX5" s="11" t="s">
        <v>461</v>
      </c>
      <c r="AY5" s="11" t="s">
        <v>462</v>
      </c>
      <c r="AZ5" s="11" t="s">
        <v>463</v>
      </c>
      <c r="BA5" s="11" t="s">
        <v>217</v>
      </c>
      <c r="BB5" s="11" t="s">
        <v>220</v>
      </c>
      <c r="BC5" s="11" t="s">
        <v>221</v>
      </c>
      <c r="BD5" s="11" t="s">
        <v>216</v>
      </c>
      <c r="BE5" s="11" t="s">
        <v>222</v>
      </c>
      <c r="BF5" s="11" t="s">
        <v>219</v>
      </c>
      <c r="BG5" s="11" t="s">
        <v>219</v>
      </c>
      <c r="BH5" s="11" t="s">
        <v>216</v>
      </c>
      <c r="BI5" s="11" t="s">
        <v>219</v>
      </c>
      <c r="BJ5" s="11" t="s">
        <v>223</v>
      </c>
      <c r="BK5" s="11" t="s">
        <v>225</v>
      </c>
      <c r="BL5" s="11" t="s">
        <v>466</v>
      </c>
      <c r="BM5" s="11" t="s">
        <v>224</v>
      </c>
      <c r="BN5" s="162" t="s">
        <v>465</v>
      </c>
      <c r="BO5" s="11" t="s">
        <v>226</v>
      </c>
      <c r="BP5" s="11" t="s">
        <v>467</v>
      </c>
      <c r="BQ5" s="11" t="s">
        <v>227</v>
      </c>
      <c r="BR5" s="11" t="s">
        <v>228</v>
      </c>
      <c r="BS5" s="11" t="s">
        <v>229</v>
      </c>
      <c r="BT5" s="11" t="s">
        <v>230</v>
      </c>
      <c r="BU5" s="11" t="s">
        <v>231</v>
      </c>
      <c r="BV5" s="11" t="s">
        <v>470</v>
      </c>
      <c r="BW5" s="11" t="s">
        <v>471</v>
      </c>
      <c r="BX5" s="11" t="s">
        <v>669</v>
      </c>
      <c r="BY5" s="11" t="s">
        <v>472</v>
      </c>
      <c r="BZ5" s="11" t="s">
        <v>482</v>
      </c>
      <c r="CA5" s="11" t="s">
        <v>232</v>
      </c>
      <c r="CB5" s="11" t="s">
        <v>473</v>
      </c>
      <c r="CC5" s="11" t="s">
        <v>233</v>
      </c>
      <c r="CD5" s="11" t="s">
        <v>234</v>
      </c>
      <c r="CE5" s="11" t="s">
        <v>481</v>
      </c>
      <c r="CF5" s="11" t="s">
        <v>488</v>
      </c>
      <c r="CG5" s="11" t="s">
        <v>490</v>
      </c>
      <c r="CH5" s="11" t="s">
        <v>485</v>
      </c>
      <c r="CI5" s="11" t="s">
        <v>486</v>
      </c>
      <c r="CJ5" s="11" t="s">
        <v>487</v>
      </c>
      <c r="CK5" s="11" t="s">
        <v>489</v>
      </c>
      <c r="CL5" s="11" t="s">
        <v>491</v>
      </c>
      <c r="CM5" s="11" t="s">
        <v>492</v>
      </c>
      <c r="CN5" s="11" t="s">
        <v>493</v>
      </c>
      <c r="CO5" s="11" t="s">
        <v>494</v>
      </c>
      <c r="CP5" s="11" t="s">
        <v>495</v>
      </c>
      <c r="CQ5" s="11" t="s">
        <v>496</v>
      </c>
      <c r="CR5" s="11" t="s">
        <v>235</v>
      </c>
      <c r="CS5" s="11" t="s">
        <v>497</v>
      </c>
      <c r="CT5" s="11" t="s">
        <v>498</v>
      </c>
      <c r="CU5" s="11" t="s">
        <v>236</v>
      </c>
      <c r="CV5" s="11" t="s">
        <v>237</v>
      </c>
      <c r="CW5" s="11" t="s">
        <v>238</v>
      </c>
      <c r="CX5" s="11" t="s">
        <v>239</v>
      </c>
      <c r="CY5" s="11" t="s">
        <v>240</v>
      </c>
      <c r="CZ5" s="11" t="s">
        <v>236</v>
      </c>
      <c r="DA5" s="11" t="s">
        <v>499</v>
      </c>
      <c r="DB5" s="11" t="s">
        <v>499</v>
      </c>
      <c r="DC5" s="210" t="s">
        <v>502</v>
      </c>
      <c r="DD5" s="211"/>
      <c r="DE5" s="211"/>
      <c r="DF5" s="211"/>
      <c r="DG5" s="211"/>
      <c r="DH5" s="211"/>
      <c r="DI5" s="211"/>
      <c r="DJ5" s="211"/>
      <c r="DK5" s="211"/>
      <c r="DL5" s="211"/>
      <c r="DM5" s="211"/>
      <c r="DN5" s="212"/>
      <c r="DO5" s="153" t="s">
        <v>690</v>
      </c>
      <c r="DP5" s="11" t="s">
        <v>670</v>
      </c>
      <c r="DQ5" s="153" t="s">
        <v>671</v>
      </c>
      <c r="DR5" s="11" t="s">
        <v>504</v>
      </c>
      <c r="DS5" s="11" t="s">
        <v>503</v>
      </c>
      <c r="DT5" s="11" t="s">
        <v>691</v>
      </c>
      <c r="DU5" s="163" t="s">
        <v>505</v>
      </c>
      <c r="DV5" s="163" t="s">
        <v>506</v>
      </c>
      <c r="DW5" s="154" t="s">
        <v>241</v>
      </c>
      <c r="DX5" s="154" t="s">
        <v>242</v>
      </c>
      <c r="DY5" s="11" t="s">
        <v>243</v>
      </c>
      <c r="DZ5" s="154" t="s">
        <v>507</v>
      </c>
      <c r="EA5" s="216" t="s">
        <v>244</v>
      </c>
      <c r="EB5" s="217"/>
      <c r="EC5" s="217"/>
      <c r="ED5" s="217"/>
      <c r="EE5" s="218"/>
      <c r="EF5" s="154" t="s">
        <v>508</v>
      </c>
      <c r="EG5" s="154" t="s">
        <v>509</v>
      </c>
      <c r="EH5" s="154" t="s">
        <v>510</v>
      </c>
      <c r="EI5" s="154" t="s">
        <v>245</v>
      </c>
      <c r="EJ5" s="154" t="s">
        <v>246</v>
      </c>
      <c r="EK5" s="154" t="s">
        <v>247</v>
      </c>
      <c r="EL5" s="154" t="s">
        <v>248</v>
      </c>
      <c r="EM5" s="154" t="s">
        <v>249</v>
      </c>
      <c r="EN5" s="154" t="s">
        <v>250</v>
      </c>
      <c r="EO5" s="154" t="s">
        <v>246</v>
      </c>
      <c r="EP5" s="154" t="s">
        <v>247</v>
      </c>
      <c r="EQ5" s="154" t="s">
        <v>248</v>
      </c>
      <c r="ER5" s="154" t="s">
        <v>511</v>
      </c>
      <c r="ES5" s="154" t="s">
        <v>251</v>
      </c>
      <c r="ET5" s="11" t="s">
        <v>252</v>
      </c>
      <c r="EU5" s="154" t="s">
        <v>253</v>
      </c>
      <c r="EV5" s="154" t="s">
        <v>254</v>
      </c>
      <c r="EW5" s="154" t="s">
        <v>512</v>
      </c>
      <c r="EX5" s="11" t="s">
        <v>255</v>
      </c>
      <c r="EY5" s="154" t="s">
        <v>256</v>
      </c>
      <c r="EZ5" s="154" t="s">
        <v>257</v>
      </c>
      <c r="FA5" s="154" t="s">
        <v>258</v>
      </c>
      <c r="FB5" s="154" t="s">
        <v>259</v>
      </c>
      <c r="FC5" s="154" t="s">
        <v>251</v>
      </c>
      <c r="FD5" s="11" t="s">
        <v>260</v>
      </c>
      <c r="FE5" s="164" t="s">
        <v>672</v>
      </c>
      <c r="FF5" s="154" t="s">
        <v>673</v>
      </c>
      <c r="FG5" s="11" t="s">
        <v>674</v>
      </c>
      <c r="FH5" s="164" t="s">
        <v>675</v>
      </c>
      <c r="FI5" s="154" t="s">
        <v>261</v>
      </c>
      <c r="FJ5" s="11" t="s">
        <v>676</v>
      </c>
      <c r="FK5" s="164" t="s">
        <v>677</v>
      </c>
      <c r="FL5" s="154" t="s">
        <v>261</v>
      </c>
      <c r="FM5" s="11" t="s">
        <v>678</v>
      </c>
      <c r="FN5" s="164" t="s">
        <v>677</v>
      </c>
      <c r="FO5" s="154" t="s">
        <v>262</v>
      </c>
      <c r="FP5" s="11" t="s">
        <v>679</v>
      </c>
      <c r="FQ5" s="11" t="s">
        <v>267</v>
      </c>
      <c r="FR5" s="154" t="s">
        <v>263</v>
      </c>
      <c r="FS5" s="11" t="s">
        <v>264</v>
      </c>
      <c r="FT5" s="11" t="s">
        <v>266</v>
      </c>
      <c r="FU5" s="154" t="s">
        <v>268</v>
      </c>
      <c r="FV5" s="11" t="s">
        <v>265</v>
      </c>
      <c r="FW5" s="11" t="s">
        <v>514</v>
      </c>
      <c r="FX5" s="11" t="s">
        <v>513</v>
      </c>
      <c r="FY5" s="11" t="s">
        <v>515</v>
      </c>
      <c r="FZ5" s="154" t="s">
        <v>516</v>
      </c>
      <c r="GA5" s="11" t="s">
        <v>674</v>
      </c>
      <c r="GB5" s="11" t="s">
        <v>515</v>
      </c>
      <c r="GC5" s="154" t="s">
        <v>516</v>
      </c>
      <c r="GD5" s="11" t="s">
        <v>676</v>
      </c>
      <c r="GE5" s="11" t="s">
        <v>515</v>
      </c>
      <c r="GF5" s="154" t="s">
        <v>269</v>
      </c>
      <c r="GG5" s="11" t="s">
        <v>678</v>
      </c>
      <c r="GH5" s="11" t="s">
        <v>515</v>
      </c>
      <c r="GI5" s="154" t="s">
        <v>516</v>
      </c>
      <c r="GJ5" s="11" t="s">
        <v>519</v>
      </c>
      <c r="GK5" s="154" t="s">
        <v>520</v>
      </c>
      <c r="GL5" s="11" t="s">
        <v>518</v>
      </c>
      <c r="GM5" s="11" t="s">
        <v>521</v>
      </c>
      <c r="GN5" s="11" t="s">
        <v>523</v>
      </c>
      <c r="GO5" s="154" t="s">
        <v>522</v>
      </c>
      <c r="GP5" s="11" t="s">
        <v>271</v>
      </c>
      <c r="GQ5" s="11" t="s">
        <v>523</v>
      </c>
      <c r="GR5" s="11" t="s">
        <v>523</v>
      </c>
      <c r="GS5" s="11" t="s">
        <v>524</v>
      </c>
      <c r="GT5" s="154" t="s">
        <v>525</v>
      </c>
      <c r="GU5" s="11" t="s">
        <v>272</v>
      </c>
      <c r="GV5" s="11" t="s">
        <v>270</v>
      </c>
      <c r="GW5" s="11" t="s">
        <v>526</v>
      </c>
      <c r="GX5" s="11" t="s">
        <v>527</v>
      </c>
      <c r="GY5" s="11" t="s">
        <v>528</v>
      </c>
      <c r="GZ5" s="154" t="s">
        <v>273</v>
      </c>
      <c r="HA5" s="154" t="s">
        <v>529</v>
      </c>
      <c r="HB5" s="154" t="s">
        <v>530</v>
      </c>
      <c r="HC5" s="154" t="s">
        <v>531</v>
      </c>
      <c r="HD5" s="154" t="s">
        <v>680</v>
      </c>
      <c r="HE5" s="154" t="s">
        <v>681</v>
      </c>
      <c r="HF5" s="154" t="s">
        <v>682</v>
      </c>
      <c r="HG5" s="154" t="s">
        <v>683</v>
      </c>
      <c r="HH5" s="154" t="s">
        <v>682</v>
      </c>
      <c r="HI5" s="11" t="s">
        <v>684</v>
      </c>
      <c r="HJ5" s="11" t="s">
        <v>685</v>
      </c>
      <c r="HK5" s="11" t="s">
        <v>532</v>
      </c>
      <c r="HL5" s="154" t="s">
        <v>533</v>
      </c>
      <c r="HM5" s="154" t="s">
        <v>534</v>
      </c>
      <c r="HN5" s="154" t="s">
        <v>535</v>
      </c>
      <c r="HO5" s="154" t="s">
        <v>536</v>
      </c>
      <c r="HP5" s="154" t="s">
        <v>537</v>
      </c>
      <c r="HQ5" s="11" t="s">
        <v>692</v>
      </c>
      <c r="HR5" s="11" t="s">
        <v>504</v>
      </c>
      <c r="HS5" s="154" t="s">
        <v>538</v>
      </c>
      <c r="HT5" s="154" t="s">
        <v>723</v>
      </c>
      <c r="HU5" s="154" t="s">
        <v>608</v>
      </c>
      <c r="HV5" s="154" t="s">
        <v>722</v>
      </c>
      <c r="HW5" s="154" t="s">
        <v>609</v>
      </c>
      <c r="HX5" s="154" t="s">
        <v>716</v>
      </c>
      <c r="HY5" s="154" t="s">
        <v>610</v>
      </c>
      <c r="HZ5" s="154" t="s">
        <v>717</v>
      </c>
      <c r="IA5" s="154" t="s">
        <v>540</v>
      </c>
      <c r="IB5" s="154" t="s">
        <v>276</v>
      </c>
      <c r="IC5" s="154" t="s">
        <v>274</v>
      </c>
      <c r="ID5" s="11" t="s">
        <v>725</v>
      </c>
      <c r="IE5" s="11" t="s">
        <v>686</v>
      </c>
      <c r="IF5" s="154" t="s">
        <v>275</v>
      </c>
      <c r="IG5" s="11" t="s">
        <v>686</v>
      </c>
      <c r="IH5" s="154" t="s">
        <v>275</v>
      </c>
      <c r="II5" s="11" t="s">
        <v>686</v>
      </c>
      <c r="IJ5" s="154" t="s">
        <v>275</v>
      </c>
      <c r="IK5" s="11" t="s">
        <v>694</v>
      </c>
      <c r="IL5" s="154" t="s">
        <v>275</v>
      </c>
      <c r="IM5" s="154" t="s">
        <v>275</v>
      </c>
      <c r="IN5" s="154" t="s">
        <v>693</v>
      </c>
      <c r="IO5" s="154" t="s">
        <v>543</v>
      </c>
      <c r="IP5" s="154" t="s">
        <v>544</v>
      </c>
      <c r="IQ5" s="154" t="s">
        <v>545</v>
      </c>
      <c r="IR5" s="154" t="s">
        <v>546</v>
      </c>
      <c r="IS5" s="154" t="s">
        <v>547</v>
      </c>
      <c r="IT5" s="154" t="s">
        <v>277</v>
      </c>
      <c r="IU5" s="154" t="s">
        <v>548</v>
      </c>
      <c r="IV5" s="154" t="s">
        <v>551</v>
      </c>
      <c r="IW5" s="154" t="s">
        <v>549</v>
      </c>
      <c r="IX5" s="11" t="s">
        <v>553</v>
      </c>
      <c r="IY5" s="11" t="s">
        <v>278</v>
      </c>
      <c r="IZ5" s="11" t="s">
        <v>721</v>
      </c>
      <c r="JA5" s="11" t="s">
        <v>555</v>
      </c>
      <c r="JB5" s="11" t="s">
        <v>556</v>
      </c>
      <c r="JC5" s="11" t="s">
        <v>687</v>
      </c>
      <c r="JD5" s="11" t="s">
        <v>557</v>
      </c>
      <c r="JE5" s="11" t="s">
        <v>558</v>
      </c>
      <c r="JF5" s="11" t="s">
        <v>559</v>
      </c>
      <c r="JG5" s="11" t="s">
        <v>560</v>
      </c>
      <c r="JH5" s="11" t="s">
        <v>561</v>
      </c>
      <c r="JI5" s="11" t="s">
        <v>562</v>
      </c>
      <c r="JJ5" s="11" t="s">
        <v>541</v>
      </c>
      <c r="JK5" s="11" t="s">
        <v>563</v>
      </c>
      <c r="JL5" s="11" t="s">
        <v>563</v>
      </c>
      <c r="JM5" s="11" t="s">
        <v>279</v>
      </c>
      <c r="JN5" s="11" t="s">
        <v>564</v>
      </c>
      <c r="JO5" s="154" t="s">
        <v>280</v>
      </c>
      <c r="JP5" s="11" t="s">
        <v>563</v>
      </c>
      <c r="JQ5" s="154" t="s">
        <v>280</v>
      </c>
      <c r="JR5" s="11" t="s">
        <v>566</v>
      </c>
      <c r="JS5" s="11" t="s">
        <v>566</v>
      </c>
      <c r="JT5" s="154" t="s">
        <v>567</v>
      </c>
      <c r="JU5" s="154" t="s">
        <v>568</v>
      </c>
      <c r="JV5" s="210" t="s">
        <v>281</v>
      </c>
      <c r="JW5" s="211"/>
      <c r="JX5" s="211"/>
      <c r="JY5" s="211"/>
      <c r="JZ5" s="211"/>
      <c r="KA5" s="211"/>
      <c r="KB5" s="211"/>
      <c r="KC5" s="211"/>
      <c r="KD5" s="211"/>
      <c r="KE5" s="212"/>
      <c r="KF5" s="154" t="s">
        <v>280</v>
      </c>
      <c r="KG5" s="154" t="s">
        <v>282</v>
      </c>
      <c r="KH5" s="154" t="s">
        <v>280</v>
      </c>
      <c r="KI5" s="154" t="s">
        <v>283</v>
      </c>
      <c r="KJ5" s="11" t="s">
        <v>569</v>
      </c>
      <c r="KK5" s="11" t="s">
        <v>569</v>
      </c>
      <c r="KL5" s="154" t="s">
        <v>570</v>
      </c>
      <c r="KM5" s="154" t="s">
        <v>571</v>
      </c>
      <c r="KN5" s="154" t="s">
        <v>280</v>
      </c>
      <c r="KO5" s="154" t="s">
        <v>541</v>
      </c>
      <c r="KP5" s="154" t="s">
        <v>541</v>
      </c>
      <c r="KQ5" s="154" t="s">
        <v>572</v>
      </c>
      <c r="KR5" s="154" t="s">
        <v>574</v>
      </c>
      <c r="KS5" s="154" t="s">
        <v>612</v>
      </c>
      <c r="KT5" s="154" t="s">
        <v>573</v>
      </c>
      <c r="KU5" s="154" t="s">
        <v>280</v>
      </c>
      <c r="KV5" s="154" t="s">
        <v>611</v>
      </c>
      <c r="KW5" s="154" t="s">
        <v>573</v>
      </c>
      <c r="KX5" s="154" t="s">
        <v>577</v>
      </c>
      <c r="KY5" s="154" t="s">
        <v>578</v>
      </c>
      <c r="KZ5" s="154" t="s">
        <v>579</v>
      </c>
      <c r="LA5" s="154" t="s">
        <v>580</v>
      </c>
      <c r="LB5" s="154" t="s">
        <v>581</v>
      </c>
      <c r="LC5" s="154" t="s">
        <v>585</v>
      </c>
      <c r="LD5" s="154" t="s">
        <v>582</v>
      </c>
      <c r="LE5" s="154" t="s">
        <v>584</v>
      </c>
      <c r="LF5" s="154" t="s">
        <v>583</v>
      </c>
      <c r="LG5" s="154" t="s">
        <v>586</v>
      </c>
      <c r="LH5" s="154" t="s">
        <v>587</v>
      </c>
      <c r="LI5" s="154" t="s">
        <v>588</v>
      </c>
      <c r="LJ5" s="154" t="s">
        <v>583</v>
      </c>
      <c r="LK5" s="154" t="s">
        <v>589</v>
      </c>
      <c r="LL5" s="154" t="s">
        <v>587</v>
      </c>
      <c r="LM5" s="154" t="s">
        <v>588</v>
      </c>
      <c r="LN5" s="154" t="s">
        <v>583</v>
      </c>
      <c r="LO5" s="154" t="s">
        <v>590</v>
      </c>
      <c r="LP5" s="154" t="s">
        <v>587</v>
      </c>
      <c r="LQ5" s="154" t="s">
        <v>588</v>
      </c>
      <c r="LR5" s="154" t="s">
        <v>583</v>
      </c>
      <c r="LS5" s="154" t="s">
        <v>591</v>
      </c>
      <c r="LT5" s="154" t="s">
        <v>587</v>
      </c>
      <c r="LU5" s="154" t="s">
        <v>588</v>
      </c>
      <c r="LV5" s="154" t="s">
        <v>583</v>
      </c>
      <c r="LW5" s="154" t="s">
        <v>592</v>
      </c>
      <c r="LX5" s="154" t="s">
        <v>593</v>
      </c>
      <c r="LY5" s="154" t="s">
        <v>594</v>
      </c>
      <c r="LZ5" s="154" t="s">
        <v>595</v>
      </c>
      <c r="MA5" s="154" t="s">
        <v>592</v>
      </c>
      <c r="MB5" s="154" t="s">
        <v>593</v>
      </c>
      <c r="MC5" s="154" t="s">
        <v>594</v>
      </c>
      <c r="MD5" s="154" t="s">
        <v>595</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417</v>
      </c>
      <c r="L3" s="207" t="s">
        <v>799</v>
      </c>
    </row>
    <row r="4" spans="1:13" ht="18.75" x14ac:dyDescent="0.3">
      <c r="A4" s="77" t="s">
        <v>18</v>
      </c>
      <c r="B4" s="77">
        <v>2022</v>
      </c>
    </row>
    <row r="5" spans="1:13" ht="15.75" thickBot="1" x14ac:dyDescent="0.3">
      <c r="A5" t="s">
        <v>425</v>
      </c>
      <c r="B5" t="s">
        <v>379</v>
      </c>
      <c r="C5" t="s">
        <v>380</v>
      </c>
      <c r="D5" t="s">
        <v>381</v>
      </c>
      <c r="E5" t="s">
        <v>382</v>
      </c>
      <c r="F5" t="s">
        <v>383</v>
      </c>
      <c r="G5" t="s">
        <v>384</v>
      </c>
      <c r="H5" t="s">
        <v>385</v>
      </c>
      <c r="I5" t="s">
        <v>386</v>
      </c>
      <c r="J5" t="s">
        <v>387</v>
      </c>
      <c r="K5" t="s">
        <v>388</v>
      </c>
      <c r="L5" t="s">
        <v>389</v>
      </c>
      <c r="M5" t="s">
        <v>390</v>
      </c>
    </row>
    <row r="6" spans="1:13" x14ac:dyDescent="0.25">
      <c r="A6" s="74" t="s">
        <v>416</v>
      </c>
      <c r="B6" s="136">
        <v>1</v>
      </c>
      <c r="C6" s="138">
        <v>2</v>
      </c>
      <c r="D6" s="138">
        <v>3</v>
      </c>
      <c r="E6" s="138">
        <v>4</v>
      </c>
      <c r="F6" s="138">
        <v>5</v>
      </c>
      <c r="G6" s="138">
        <v>6</v>
      </c>
      <c r="H6" s="138">
        <v>7</v>
      </c>
      <c r="I6" s="138">
        <v>8</v>
      </c>
      <c r="J6" s="138">
        <v>9</v>
      </c>
      <c r="K6" s="138">
        <v>10</v>
      </c>
      <c r="L6" s="138">
        <v>11</v>
      </c>
      <c r="M6" s="139">
        <v>12</v>
      </c>
    </row>
    <row r="7" spans="1:13" x14ac:dyDescent="0.25">
      <c r="A7" s="75" t="s">
        <v>421</v>
      </c>
      <c r="B7" s="200">
        <f>COUNTIFS(Tabla1[GESTANTES ACTUALES],"ACTIVA INGRESO A CPN")</f>
        <v>0</v>
      </c>
      <c r="C7" s="200">
        <f>COUNTIFS(Tabla1[GESTANTES ACTUALES],"ACTIVA INGRESO A CPN")</f>
        <v>0</v>
      </c>
      <c r="D7" s="200">
        <f>COUNTIFS(Tabla1[GESTANTES ACTUALES],"ACTIVA INGRESO A CPN")</f>
        <v>0</v>
      </c>
      <c r="E7" s="200">
        <f>COUNTIFS(Tabla1[GESTANTES ACTUALES],"ACTIVA INGRESO A CPN")</f>
        <v>0</v>
      </c>
      <c r="F7" s="200">
        <f>COUNTIFS(Tabla1[GESTANTES ACTUALES],"ACTIVA INGRESO A CPN")</f>
        <v>0</v>
      </c>
      <c r="G7" s="200">
        <f>COUNTIFS(Tabla1[GESTANTES ACTUALES],"ACTIVA INGRESO A CPN")</f>
        <v>0</v>
      </c>
      <c r="H7" s="200">
        <f>COUNTIFS(Tabla1[GESTANTES ACTUALES],"ACTIVA INGRESO A CPN")</f>
        <v>0</v>
      </c>
      <c r="I7" s="200">
        <f>COUNTIFS(Tabla1[GESTANTES ACTUALES],"ACTIVA INGRESO A CPN")</f>
        <v>0</v>
      </c>
      <c r="J7" s="200">
        <f>COUNTIFS(Tabla1[GESTANTES ACTUALES],"ACTIVA INGRESO A CPN")</f>
        <v>0</v>
      </c>
      <c r="K7" s="200">
        <f>COUNTIFS(Tabla1[GESTANTES ACTUALES],"ACTIVA INGRESO A CPN")</f>
        <v>0</v>
      </c>
      <c r="L7" s="200">
        <f>COUNTIFS(Tabla1[GESTANTES ACTUALES],"ACTIVA INGRESO A CPN")</f>
        <v>0</v>
      </c>
      <c r="M7" s="200">
        <f>COUNTIFS(Tabla1[GESTANTES ACTUALES],"ACTIVA INGRESO A CPN")</f>
        <v>0</v>
      </c>
    </row>
    <row r="8" spans="1:13" x14ac:dyDescent="0.25">
      <c r="A8" s="75" t="s">
        <v>415</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422</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423</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424</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199"/>
      <c r="C12" s="103"/>
      <c r="D12" s="103"/>
      <c r="E12" s="103"/>
      <c r="F12" s="103"/>
      <c r="G12" s="103"/>
      <c r="H12" s="103"/>
      <c r="I12" s="103"/>
      <c r="J12" s="103"/>
      <c r="K12" s="103"/>
      <c r="L12" s="103"/>
      <c r="M12" s="103"/>
    </row>
    <row r="13" spans="1:13" ht="19.5" thickBot="1" x14ac:dyDescent="0.35">
      <c r="A13" s="202" t="s">
        <v>751</v>
      </c>
      <c r="B13" s="231" t="s">
        <v>763</v>
      </c>
      <c r="C13" s="232"/>
      <c r="D13" s="233" t="s">
        <v>783</v>
      </c>
      <c r="E13" s="234"/>
      <c r="F13" s="103"/>
      <c r="G13" s="103"/>
      <c r="H13" s="103"/>
      <c r="I13" s="103"/>
      <c r="J13" s="103"/>
      <c r="K13" s="103"/>
      <c r="L13" s="103"/>
      <c r="M13" s="103"/>
    </row>
    <row r="14" spans="1:13" ht="26.25" thickBot="1" x14ac:dyDescent="0.3">
      <c r="A14" s="198" t="s">
        <v>754</v>
      </c>
      <c r="B14" s="201">
        <f>COUNTIFS(Tabla1[GESTANTES ACTUALES],"ACTIVA INGRESO A CPN",Tabla1[RIESGO BIOPSICOSOCIAL],"ALTO RIESGO",Tabla1[FECHA ASISTENCIA PRIMERA VEZ CON GINECOLOGÍA],"&lt;&gt;",Tabla1[ASEGURADORA],$A$13)</f>
        <v>0</v>
      </c>
      <c r="C14" s="227" t="str">
        <f>IFERROR((SUM(B14/B15)),"")</f>
        <v/>
      </c>
      <c r="D14" s="201">
        <f>COUNTIFS(Tabla1[GESTANTES ACTUALES],"ACTIVA INGRESO A CPN",Tabla1[RIESGO BIOPSICOSOCIAL],"ALTO RIESGO",Tabla1[FECHA ASISTENCIA PRIMERA VEZ CON GINECOLOGÍA],"&lt;&gt;")</f>
        <v>0</v>
      </c>
      <c r="E14" s="227" t="str">
        <f>IFERROR(SUM(D14/D15),"")</f>
        <v/>
      </c>
      <c r="F14" s="103"/>
      <c r="G14" s="103"/>
      <c r="H14" s="103"/>
      <c r="I14" s="103"/>
      <c r="J14" s="103"/>
      <c r="K14" s="103"/>
      <c r="L14" s="103"/>
      <c r="M14" s="103"/>
    </row>
    <row r="15" spans="1:13" ht="23.25" customHeight="1" thickBot="1" x14ac:dyDescent="0.3">
      <c r="A15" s="198" t="s">
        <v>753</v>
      </c>
      <c r="B15" s="201">
        <f>COUNTIFS(Tabla1[GESTANTES ACTUALES],"ACTIVA INGRESO A CPN",Tabla1[RIESGO BIOPSICOSOCIAL],"ALTO RIESGO",Tabla1[ASEGURADORA],$A$13)</f>
        <v>0</v>
      </c>
      <c r="C15" s="228"/>
      <c r="D15" s="201">
        <f>COUNTIFS(Tabla1[GESTANTES ACTUALES],"ACTIVA INGRESO A CPN",Tabla1[RIESGO BIOPSICOSOCIAL],"ALTO RIESGO")</f>
        <v>0</v>
      </c>
      <c r="E15" s="228"/>
      <c r="F15" s="103"/>
      <c r="G15" s="103"/>
      <c r="H15" s="103"/>
      <c r="I15" s="103"/>
      <c r="J15" s="103"/>
      <c r="K15" s="103"/>
      <c r="L15" s="103"/>
      <c r="M15" s="103"/>
    </row>
    <row r="16" spans="1:13" ht="19.5" thickBot="1" x14ac:dyDescent="0.35">
      <c r="B16" s="231" t="s">
        <v>763</v>
      </c>
      <c r="C16" s="232"/>
      <c r="D16" s="233" t="s">
        <v>783</v>
      </c>
      <c r="E16" s="234"/>
      <c r="F16" s="103"/>
      <c r="G16" s="103"/>
      <c r="H16" s="103"/>
      <c r="I16" s="103"/>
      <c r="J16" s="103"/>
      <c r="K16" s="103"/>
      <c r="L16" s="103"/>
      <c r="M16" s="103"/>
    </row>
    <row r="17" spans="1:13" ht="26.25" thickBot="1" x14ac:dyDescent="0.3">
      <c r="A17" s="198" t="s">
        <v>762</v>
      </c>
      <c r="B17" s="201" t="e">
        <f>COUNTIFS(Tabla1[GESTANTES ACTUALES],"ACTIVA INGRESO A CPN",#REF!,"COMPLETO",Tabla1[ASEGURADORA],$A$13)</f>
        <v>#REF!</v>
      </c>
      <c r="C17" s="229" t="str">
        <f>IFERROR(SUM(B17/B18),"")</f>
        <v/>
      </c>
      <c r="D17" s="201" t="e">
        <f>COUNTIFS(Tabla1[GESTANTES ACTUALES],"ACTIVA INGRESO A CPN",#REF!,"COMPLETO")</f>
        <v>#REF!</v>
      </c>
      <c r="E17" s="229" t="str">
        <f>IFERROR(SUM(D17/D18),"")</f>
        <v/>
      </c>
      <c r="F17" s="103"/>
      <c r="G17" s="103"/>
      <c r="H17" s="103"/>
      <c r="I17" s="103"/>
      <c r="J17" s="103"/>
      <c r="K17" s="103"/>
      <c r="L17" s="103"/>
      <c r="M17" s="103"/>
    </row>
    <row r="18" spans="1:13" ht="15.75" thickBot="1" x14ac:dyDescent="0.3">
      <c r="A18" s="75" t="s">
        <v>421</v>
      </c>
      <c r="B18" s="201">
        <f>COUNTIFS(Tabla1[GESTANTES ACTUALES],"ACTIVA INGRESO A CPN",Tabla1[ASEGURADORA],$A$13)</f>
        <v>0</v>
      </c>
      <c r="C18" s="230"/>
      <c r="D18" s="201">
        <f>COUNTIFS(Tabla1[GESTANTES ACTUALES],"ACTIVA INGRESO A CPN")</f>
        <v>0</v>
      </c>
      <c r="E18" s="230"/>
      <c r="F18" s="103"/>
      <c r="G18" s="103"/>
      <c r="H18" s="103"/>
      <c r="I18" s="103"/>
      <c r="J18" s="103"/>
      <c r="K18" s="103"/>
      <c r="L18" s="103"/>
      <c r="M18" s="103"/>
    </row>
    <row r="19" spans="1:13" ht="19.5" thickBot="1" x14ac:dyDescent="0.35">
      <c r="B19" s="231" t="s">
        <v>763</v>
      </c>
      <c r="C19" s="232"/>
      <c r="D19" s="233" t="s">
        <v>783</v>
      </c>
      <c r="E19" s="234"/>
      <c r="F19" s="103"/>
      <c r="G19" s="103"/>
      <c r="H19" s="103"/>
      <c r="I19" s="103"/>
      <c r="J19" s="103"/>
      <c r="K19" s="103"/>
      <c r="L19" s="103"/>
      <c r="M19" s="103"/>
    </row>
    <row r="20" spans="1:13" ht="26.25" thickBot="1" x14ac:dyDescent="0.3">
      <c r="A20" s="198" t="s">
        <v>782</v>
      </c>
      <c r="B20" s="201" t="e">
        <f>COUNTIFS(Tabla1[GESTANTES ACTUALES],"ACTIVA INGRESO A CPN",#REF!,"COMPLETO",Tabla1[ASEGURADORA],$A$13)</f>
        <v>#REF!</v>
      </c>
      <c r="C20" s="235" t="str">
        <f>IFERROR(SUM(B20/B21),"")</f>
        <v/>
      </c>
      <c r="D20" s="201" t="e">
        <f>COUNTIFS(Tabla1[GESTANTES ACTUALES],"ACTIVA INGRESO A CPN",#REF!,"COMPLETO")</f>
        <v>#REF!</v>
      </c>
      <c r="E20" s="235" t="str">
        <f>IFERROR(SUM(D20/D21),"")</f>
        <v/>
      </c>
      <c r="F20" s="103"/>
      <c r="G20" s="103"/>
      <c r="H20" s="103"/>
      <c r="I20" s="103"/>
      <c r="J20" s="103"/>
      <c r="K20" s="103"/>
      <c r="L20" s="103"/>
      <c r="M20" s="103"/>
    </row>
    <row r="21" spans="1:13" ht="15.75" customHeight="1" thickBot="1" x14ac:dyDescent="0.3">
      <c r="A21" s="75" t="s">
        <v>421</v>
      </c>
      <c r="B21" s="201">
        <f>COUNTIFS(Tabla1[GESTANTES ACTUALES],"ACTIVA INGRESO A CPN",Tabla1[ASEGURADORA],$A$13)</f>
        <v>0</v>
      </c>
      <c r="C21" s="236"/>
      <c r="D21" s="201">
        <f>COUNTIFS(Tabla1[GESTANTES ACTUALES],"ACTIVA INGRESO A CPN")</f>
        <v>0</v>
      </c>
      <c r="E21" s="236"/>
      <c r="F21" s="103"/>
      <c r="G21" s="103"/>
      <c r="H21" s="103"/>
      <c r="I21" s="103"/>
      <c r="J21" s="103"/>
      <c r="K21" s="103"/>
      <c r="L21" s="103"/>
      <c r="M21" s="103"/>
    </row>
    <row r="22" spans="1:13" ht="19.5" thickBot="1" x14ac:dyDescent="0.35">
      <c r="B22" s="231" t="s">
        <v>763</v>
      </c>
      <c r="C22" s="232"/>
      <c r="D22" s="233" t="s">
        <v>783</v>
      </c>
      <c r="E22" s="234"/>
      <c r="F22" s="103"/>
      <c r="G22" s="103"/>
      <c r="H22" s="103"/>
      <c r="I22" s="103"/>
      <c r="J22" s="103"/>
      <c r="K22" s="103"/>
      <c r="L22" s="103"/>
      <c r="M22" s="103"/>
    </row>
    <row r="23" spans="1:13" ht="26.25" thickBot="1" x14ac:dyDescent="0.3">
      <c r="A23" s="198" t="s">
        <v>786</v>
      </c>
      <c r="B23" s="201" t="e">
        <f>COUNTIFS(Tabla1[GESTANTES ACTUALES],"ACTIVA INGRESO A CPN",#REF!,"COMPLETO",Tabla1[ASEGURADORA],$A$13)</f>
        <v>#REF!</v>
      </c>
      <c r="C23" s="235" t="str">
        <f>IFERROR(SUM(B23/B24),"")</f>
        <v/>
      </c>
      <c r="D23" s="201" t="e">
        <f>COUNTIFS(Tabla1[GESTANTES ACTUALES],"ACTIVA INGRESO A CPN",#REF!,"COMPLETO")</f>
        <v>#REF!</v>
      </c>
      <c r="E23" s="235" t="str">
        <f>IFERROR(SUM(D23/D24),"")</f>
        <v/>
      </c>
      <c r="F23" s="103"/>
      <c r="G23" s="103"/>
      <c r="H23" s="103"/>
      <c r="I23" s="103"/>
      <c r="J23" s="103"/>
      <c r="K23" s="103"/>
      <c r="L23" s="103"/>
      <c r="M23" s="103"/>
    </row>
    <row r="24" spans="1:13" ht="15.75" thickBot="1" x14ac:dyDescent="0.3">
      <c r="A24" s="75" t="s">
        <v>421</v>
      </c>
      <c r="B24" s="201">
        <f>COUNTIFS(Tabla1[GESTANTES ACTUALES],"ACTIVA INGRESO A CPN",Tabla1[ASEGURADORA],$A$13)</f>
        <v>0</v>
      </c>
      <c r="C24" s="236"/>
      <c r="D24" s="201">
        <f>COUNTIFS(Tabla1[GESTANTES ACTUALES],"ACTIVA INGRESO A CPN")</f>
        <v>0</v>
      </c>
      <c r="E24" s="236"/>
      <c r="F24" s="103"/>
      <c r="G24" s="103"/>
      <c r="H24" s="103"/>
      <c r="I24" s="103"/>
      <c r="J24" s="103"/>
      <c r="K24" s="103"/>
      <c r="L24" s="103"/>
      <c r="M24" s="103"/>
    </row>
    <row r="25" spans="1:13" ht="19.5" thickBot="1" x14ac:dyDescent="0.35">
      <c r="B25" s="231" t="s">
        <v>763</v>
      </c>
      <c r="C25" s="232"/>
      <c r="D25" s="233" t="s">
        <v>783</v>
      </c>
      <c r="E25" s="234"/>
      <c r="F25" s="103"/>
      <c r="G25" s="103"/>
      <c r="H25" s="103"/>
      <c r="I25" s="103"/>
      <c r="J25" s="103"/>
      <c r="K25" s="103"/>
      <c r="L25" s="103"/>
      <c r="M25" s="103"/>
    </row>
    <row r="26" spans="1:13" ht="26.25" thickBot="1" x14ac:dyDescent="0.3">
      <c r="A26" s="198" t="s">
        <v>785</v>
      </c>
      <c r="B26" s="201">
        <f>COUNTIFS(Tabla1[GESTANTES ACTUALES],"ACTIVA INGRESO A CPN",Tabla1[SEMANAS DE GESTACION ACTUALIZADAS],"&gt;36",Tabla1[SEMANAS DE GESTACION ACTUALIZADAS],"&lt;44",Tabla1[FECHA DE CONCERTACIÓN PLAN DE PARTO (Soporte HC)],"&lt;&gt;",Tabla1[ASEGURADORA],$A$13)</f>
        <v>0</v>
      </c>
      <c r="C26" s="235" t="str">
        <f>IFERROR(SUM(B26/B27),"")</f>
        <v/>
      </c>
      <c r="D26" s="201">
        <f>COUNTIFS(Tabla1[GESTANTES ACTUALES],"ACTIVA INGRESO A CPN",Tabla1[SEMANAS DE GESTACION ACTUALIZADAS],"&gt;36",Tabla1[SEMANAS DE GESTACION ACTUALIZADAS],"&lt;44",Tabla1[FECHA DE CONCERTACIÓN PLAN DE PARTO (Soporte HC)],"&lt;&gt;")</f>
        <v>0</v>
      </c>
      <c r="E26" s="235" t="str">
        <f>IFERROR(SUM(D26/D27),"")</f>
        <v/>
      </c>
      <c r="F26" s="103"/>
      <c r="G26" s="103"/>
      <c r="H26" s="103"/>
      <c r="I26" s="103"/>
      <c r="J26" s="103"/>
      <c r="K26" s="103"/>
      <c r="L26" s="103"/>
      <c r="M26" s="103"/>
    </row>
    <row r="27" spans="1:13" ht="15.75" thickBot="1" x14ac:dyDescent="0.3">
      <c r="A27" s="75" t="s">
        <v>784</v>
      </c>
      <c r="B27" s="201">
        <f>COUNTIFS(Tabla1[GESTANTES ACTUALES],"ACTIVA INGRESO A CPN",Tabla1[SEMANAS DE GESTACION ACTUALIZADAS],"&gt;36",Tabla1[SEMANAS DE GESTACION ACTUALIZADAS],"&lt;44",Tabla1[ASEGURADORA],$A$13)</f>
        <v>0</v>
      </c>
      <c r="C27" s="236"/>
      <c r="D27" s="201">
        <f>COUNTIFS(Tabla1[GESTANTES ACTUALES],"ACTIVA INGRESO A CPN",Tabla1[SEMANAS DE GESTACION ACTUALIZADAS],"&gt;36",Tabla1[SEMANAS DE GESTACION ACTUALIZADAS],"&lt;44")</f>
        <v>0</v>
      </c>
      <c r="E27" s="236"/>
      <c r="F27" s="103"/>
      <c r="G27" s="103"/>
      <c r="H27" s="103"/>
      <c r="I27" s="103"/>
      <c r="J27" s="103"/>
      <c r="K27" s="103"/>
      <c r="L27" s="103"/>
      <c r="M27" s="103"/>
    </row>
    <row r="28" spans="1:13" ht="19.5" thickBot="1" x14ac:dyDescent="0.35">
      <c r="B28" s="231" t="s">
        <v>763</v>
      </c>
      <c r="C28" s="232"/>
      <c r="D28" s="233" t="s">
        <v>783</v>
      </c>
      <c r="E28" s="234"/>
      <c r="F28" s="103"/>
      <c r="G28" s="103"/>
      <c r="H28" s="103"/>
      <c r="I28" s="103"/>
      <c r="J28" s="103"/>
      <c r="K28" s="103"/>
      <c r="L28" s="103"/>
      <c r="M28" s="103"/>
    </row>
    <row r="29" spans="1:13" ht="26.25" thickBot="1" x14ac:dyDescent="0.3">
      <c r="A29" s="208" t="s">
        <v>800</v>
      </c>
      <c r="B29" s="201">
        <f>COUNTIFS(Tabla1[GESTANTES ACTUALES],"ACTIVA INGRESO A CPN",Tabla1[SEMANAS DE GESTACION ACTUALIZADAS],"&gt;36",Tabla1[SEMANAS DE GESTACION ACTUALIZADAS],"&lt;44",Tabla1[FECHA VACUNA DPT ACELULAR],"&lt;&gt;",Tabla1[ASEGURADORA],$A$13)</f>
        <v>0</v>
      </c>
      <c r="C29" s="235" t="str">
        <f>IFERROR(SUM(B29/B30),"")</f>
        <v/>
      </c>
      <c r="D29" s="201">
        <f>COUNTIFS(Tabla1[GESTANTES ACTUALES],"ACTIVA INGRESO A CPN",Tabla1[SEMANAS DE GESTACION ACTUALIZADAS],"&gt;36",Tabla1[SEMANAS DE GESTACION ACTUALIZADAS],"&lt;44",Tabla1[FECHA VACUNA DPT ACELULAR],"&lt;&gt;")</f>
        <v>0</v>
      </c>
      <c r="E29" s="235" t="str">
        <f>IFERROR(SUM(D29/D30),"")</f>
        <v/>
      </c>
      <c r="F29" s="103"/>
      <c r="G29" s="103"/>
      <c r="H29" s="103"/>
      <c r="I29" s="103"/>
      <c r="J29" s="103"/>
      <c r="K29" s="103"/>
      <c r="L29" s="103"/>
      <c r="M29" s="103"/>
    </row>
    <row r="30" spans="1:13" ht="15.75" thickBot="1" x14ac:dyDescent="0.3">
      <c r="A30" s="75" t="s">
        <v>784</v>
      </c>
      <c r="B30" s="201">
        <f>COUNTIFS(Tabla1[GESTANTES ACTUALES],"ACTIVA INGRESO A CPN",Tabla1[SEMANAS DE GESTACION ACTUALIZADAS],"&gt;36",Tabla1[SEMANAS DE GESTACION ACTUALIZADAS],"&lt;44",Tabla1[ASEGURADORA],$A$13)</f>
        <v>0</v>
      </c>
      <c r="C30" s="236"/>
      <c r="D30" s="201">
        <f>COUNTIFS(Tabla1[GESTANTES ACTUALES],"ACTIVA INGRESO A CPN",Tabla1[SEMANAS DE GESTACION ACTUALIZADAS],"&gt;36",Tabla1[SEMANAS DE GESTACION ACTUALIZADAS],"&lt;44")</f>
        <v>0</v>
      </c>
      <c r="E30" s="236"/>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615</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425</v>
      </c>
      <c r="B35" s="111" t="s">
        <v>379</v>
      </c>
      <c r="C35" s="112" t="s">
        <v>380</v>
      </c>
      <c r="D35" s="112" t="s">
        <v>381</v>
      </c>
      <c r="E35" s="112" t="s">
        <v>382</v>
      </c>
      <c r="F35" s="112" t="s">
        <v>383</v>
      </c>
      <c r="G35" s="112" t="s">
        <v>384</v>
      </c>
      <c r="H35" s="112" t="s">
        <v>385</v>
      </c>
      <c r="I35" s="112" t="s">
        <v>386</v>
      </c>
      <c r="J35" s="112" t="s">
        <v>387</v>
      </c>
      <c r="K35" s="112" t="s">
        <v>388</v>
      </c>
      <c r="L35" s="112" t="s">
        <v>389</v>
      </c>
      <c r="M35" s="114" t="s">
        <v>390</v>
      </c>
      <c r="N35" s="221" t="s">
        <v>434</v>
      </c>
    </row>
    <row r="36" spans="1:14" ht="15.75" thickBot="1" x14ac:dyDescent="0.3">
      <c r="A36" s="110" t="s">
        <v>391</v>
      </c>
      <c r="B36" s="111">
        <v>1</v>
      </c>
      <c r="C36" s="112">
        <v>2</v>
      </c>
      <c r="D36" s="112">
        <v>3</v>
      </c>
      <c r="E36" s="112">
        <v>4</v>
      </c>
      <c r="F36" s="112">
        <v>5</v>
      </c>
      <c r="G36" s="112">
        <v>6</v>
      </c>
      <c r="H36" s="112">
        <v>7</v>
      </c>
      <c r="I36" s="112">
        <v>8</v>
      </c>
      <c r="J36" s="112">
        <v>9</v>
      </c>
      <c r="K36" s="112">
        <v>10</v>
      </c>
      <c r="L36" s="112">
        <v>11</v>
      </c>
      <c r="M36" s="113">
        <v>12</v>
      </c>
      <c r="N36" s="222"/>
    </row>
    <row r="37" spans="1:14" ht="25.5" x14ac:dyDescent="0.25">
      <c r="A37" s="120" t="s">
        <v>616</v>
      </c>
      <c r="B37" s="115" t="e">
        <f>COUNTIFS(#REF!,$B$4,#REF!,B6,Tabla1[NOVEDAD AL MOMENTO DE LA IDENTIFICACIÓN Y/O CAPTACIÓN ],$A$33)</f>
        <v>#REF!</v>
      </c>
      <c r="C37" s="115" t="e">
        <f>COUNTIFS(#REF!,$B$4,#REF!,C6,Tabla1[NOVEDAD AL MOMENTO DE LA IDENTIFICACIÓN Y/O CAPTACIÓN ],$A$33)</f>
        <v>#REF!</v>
      </c>
      <c r="D37" s="115" t="e">
        <f>COUNTIFS(#REF!,$B$4,#REF!,D6,Tabla1[NOVEDAD AL MOMENTO DE LA IDENTIFICACIÓN Y/O CAPTACIÓN ],$A$33)</f>
        <v>#REF!</v>
      </c>
      <c r="E37" s="115" t="e">
        <f>COUNTIFS(#REF!,$B$4,#REF!,E6,Tabla1[NOVEDAD AL MOMENTO DE LA IDENTIFICACIÓN Y/O CAPTACIÓN ],$A$33)</f>
        <v>#REF!</v>
      </c>
      <c r="F37" s="115" t="e">
        <f>COUNTIFS(#REF!,$B$4,#REF!,F6,Tabla1[NOVEDAD AL MOMENTO DE LA IDENTIFICACIÓN Y/O CAPTACIÓN ],$A$33)</f>
        <v>#REF!</v>
      </c>
      <c r="G37" s="115" t="e">
        <f>COUNTIFS(#REF!,$B$4,#REF!,G6,Tabla1[NOVEDAD AL MOMENTO DE LA IDENTIFICACIÓN Y/O CAPTACIÓN ],$A$33)</f>
        <v>#REF!</v>
      </c>
      <c r="H37" s="115" t="e">
        <f>COUNTIFS(#REF!,$B$4,#REF!,H6,Tabla1[NOVEDAD AL MOMENTO DE LA IDENTIFICACIÓN Y/O CAPTACIÓN ],$A$33)</f>
        <v>#REF!</v>
      </c>
      <c r="I37" s="115" t="e">
        <f>COUNTIFS(#REF!,$B$4,#REF!,I6,Tabla1[NOVEDAD AL MOMENTO DE LA IDENTIFICACIÓN Y/O CAPTACIÓN ],$A$33)</f>
        <v>#REF!</v>
      </c>
      <c r="J37" s="115" t="e">
        <f>COUNTIFS(#REF!,$B$4,#REF!,J6,Tabla1[NOVEDAD AL MOMENTO DE LA IDENTIFICACIÓN Y/O CAPTACIÓN ],$A$33)</f>
        <v>#REF!</v>
      </c>
      <c r="K37" s="115" t="e">
        <f>COUNTIFS(#REF!,$B$4,#REF!,K6,Tabla1[NOVEDAD AL MOMENTO DE LA IDENTIFICACIÓN Y/O CAPTACIÓN ],$A$33)</f>
        <v>#REF!</v>
      </c>
      <c r="L37" s="115" t="e">
        <f>COUNTIFS(#REF!,$B$4,#REF!,L6,Tabla1[NOVEDAD AL MOMENTO DE LA IDENTIFICACIÓN Y/O CAPTACIÓN ],$A$33)</f>
        <v>#REF!</v>
      </c>
      <c r="M37" s="115" t="e">
        <f>COUNTIFS(#REF!,$B$4,#REF!,M6,Tabla1[NOVEDAD AL MOMENTO DE LA IDENTIFICACIÓN Y/O CAPTACIÓN ],$A$33)</f>
        <v>#REF!</v>
      </c>
      <c r="N37" s="121" t="e">
        <f>SUM(B37:M37)</f>
        <v>#REF!</v>
      </c>
    </row>
    <row r="38" spans="1:14" ht="26.25" thickBot="1" x14ac:dyDescent="0.3">
      <c r="A38" s="122" t="s">
        <v>787</v>
      </c>
      <c r="B38" s="116" t="e">
        <f>COUNTIFS(#REF!,$B$4,#REF!,B6,Tabla1[TRIMESTRE DE  INGRESO AL CPN],"I TRIM",Tabla1[NOVEDAD AL MOMENTO DE LA IDENTIFICACIÓN Y/O CAPTACIÓN ],$A$33)</f>
        <v>#REF!</v>
      </c>
      <c r="C38" s="116" t="e">
        <f>COUNTIFS(#REF!,$B$4,#REF!,C6,Tabla1[TRIMESTRE DE  INGRESO AL CPN],"I TRIM",Tabla1[NOVEDAD AL MOMENTO DE LA IDENTIFICACIÓN Y/O CAPTACIÓN ],$A$33)</f>
        <v>#REF!</v>
      </c>
      <c r="D38" s="116" t="e">
        <f>COUNTIFS(#REF!,$B$4,#REF!,D6,Tabla1[TRIMESTRE DE  INGRESO AL CPN],"I TRIM",Tabla1[NOVEDAD AL MOMENTO DE LA IDENTIFICACIÓN Y/O CAPTACIÓN ],$A$33)</f>
        <v>#REF!</v>
      </c>
      <c r="E38" s="116" t="e">
        <f>COUNTIFS(#REF!,$B$4,#REF!,E6,Tabla1[TRIMESTRE DE  INGRESO AL CPN],"I TRIM",Tabla1[NOVEDAD AL MOMENTO DE LA IDENTIFICACIÓN Y/O CAPTACIÓN ],$A$33)</f>
        <v>#REF!</v>
      </c>
      <c r="F38" s="116" t="e">
        <f>COUNTIFS(#REF!,$B$4,#REF!,F6,Tabla1[TRIMESTRE DE  INGRESO AL CPN],"I TRIM",Tabla1[NOVEDAD AL MOMENTO DE LA IDENTIFICACIÓN Y/O CAPTACIÓN ],$A$33)</f>
        <v>#REF!</v>
      </c>
      <c r="G38" s="116" t="e">
        <f>COUNTIFS(#REF!,$B$4,#REF!,G6,Tabla1[TRIMESTRE DE  INGRESO AL CPN],"I TRIM",Tabla1[NOVEDAD AL MOMENTO DE LA IDENTIFICACIÓN Y/O CAPTACIÓN ],$A$33)</f>
        <v>#REF!</v>
      </c>
      <c r="H38" s="116" t="e">
        <f>COUNTIFS(#REF!,$B$4,#REF!,H6,Tabla1[TRIMESTRE DE  INGRESO AL CPN],"I TRIM",Tabla1[NOVEDAD AL MOMENTO DE LA IDENTIFICACIÓN Y/O CAPTACIÓN ],$A$33)</f>
        <v>#REF!</v>
      </c>
      <c r="I38" s="116" t="e">
        <f>COUNTIFS(#REF!,$B$4,#REF!,I6,Tabla1[TRIMESTRE DE  INGRESO AL CPN],"I TRIM",Tabla1[NOVEDAD AL MOMENTO DE LA IDENTIFICACIÓN Y/O CAPTACIÓN ],$A$33)</f>
        <v>#REF!</v>
      </c>
      <c r="J38" s="116" t="e">
        <f>COUNTIFS(#REF!,$B$4,#REF!,J6,Tabla1[TRIMESTRE DE  INGRESO AL CPN],"I TRIM",Tabla1[NOVEDAD AL MOMENTO DE LA IDENTIFICACIÓN Y/O CAPTACIÓN ],$A$33)</f>
        <v>#REF!</v>
      </c>
      <c r="K38" s="116" t="e">
        <f>COUNTIFS(#REF!,$B$4,#REF!,K6,Tabla1[TRIMESTRE DE  INGRESO AL CPN],"I TRIM",Tabla1[NOVEDAD AL MOMENTO DE LA IDENTIFICACIÓN Y/O CAPTACIÓN ],$A$33)</f>
        <v>#REF!</v>
      </c>
      <c r="L38" s="116" t="e">
        <f>COUNTIFS(#REF!,$B$4,#REF!,L6,Tabla1[TRIMESTRE DE  INGRESO AL CPN],"I TRIM",Tabla1[NOVEDAD AL MOMENTO DE LA IDENTIFICACIÓN Y/O CAPTACIÓN ],$A$33)</f>
        <v>#REF!</v>
      </c>
      <c r="M38" s="116" t="e">
        <f>COUNTIFS(#REF!,$B$4,#REF!,M6,Tabla1[TRIMESTRE DE  INGRESO AL CPN],"I TRIM",Tabla1[NOVEDAD AL MOMENTO DE LA IDENTIFICACIÓN Y/O CAPTACIÓN ],$A$33)</f>
        <v>#REF!</v>
      </c>
      <c r="N38" s="123" t="e">
        <f>SUM(B38:M38)</f>
        <v>#REF!</v>
      </c>
    </row>
    <row r="39" spans="1:14" ht="15.75" thickBot="1" x14ac:dyDescent="0.3">
      <c r="A39" s="106" t="s">
        <v>617</v>
      </c>
      <c r="B39" s="117" t="e">
        <f>IF(B37=0,"",SUM(B38/B37))</f>
        <v>#REF!</v>
      </c>
      <c r="C39" s="118" t="e">
        <f>IF(C37=0,"",SUM(C38/C37))</f>
        <v>#REF!</v>
      </c>
      <c r="D39" s="118" t="e">
        <f t="shared" ref="D39:N39" si="1">IF(D37=0,"",SUM(D38/D37))</f>
        <v>#REF!</v>
      </c>
      <c r="E39" s="118" t="e">
        <f t="shared" si="1"/>
        <v>#REF!</v>
      </c>
      <c r="F39" s="118" t="e">
        <f t="shared" si="1"/>
        <v>#REF!</v>
      </c>
      <c r="G39" s="118" t="e">
        <f t="shared" si="1"/>
        <v>#REF!</v>
      </c>
      <c r="H39" s="118" t="e">
        <f t="shared" si="1"/>
        <v>#REF!</v>
      </c>
      <c r="I39" s="118" t="e">
        <f t="shared" si="1"/>
        <v>#REF!</v>
      </c>
      <c r="J39" s="118" t="e">
        <f t="shared" si="1"/>
        <v>#REF!</v>
      </c>
      <c r="K39" s="118" t="e">
        <f t="shared" si="1"/>
        <v>#REF!</v>
      </c>
      <c r="L39" s="118" t="e">
        <f t="shared" si="1"/>
        <v>#REF!</v>
      </c>
      <c r="M39" s="118" t="e">
        <f t="shared" si="1"/>
        <v>#REF!</v>
      </c>
      <c r="N39" s="119" t="e">
        <f t="shared" si="1"/>
        <v>#REF!</v>
      </c>
    </row>
    <row r="40" spans="1:14" ht="31.5" customHeight="1" x14ac:dyDescent="0.25">
      <c r="A40" s="120" t="s">
        <v>618</v>
      </c>
      <c r="B40" s="115" t="e">
        <f>COUNTIFS(#REF!,$B$4,#REF!,$B$6)</f>
        <v>#REF!</v>
      </c>
      <c r="C40" s="115" t="e">
        <f>COUNTIFS(#REF!,B4,#REF!,C6)</f>
        <v>#REF!</v>
      </c>
      <c r="D40" s="115" t="e">
        <f>COUNTIFS(#REF!,B4,#REF!,D6)</f>
        <v>#REF!</v>
      </c>
      <c r="E40" s="115" t="e">
        <f>COUNTIFS(#REF!,B4,#REF!,E6)</f>
        <v>#REF!</v>
      </c>
      <c r="F40" s="115" t="e">
        <f>COUNTIFS(#REF!,B4,#REF!,F6)</f>
        <v>#REF!</v>
      </c>
      <c r="G40" s="115" t="e">
        <f>COUNTIFS(#REF!,B4,#REF!,G6)</f>
        <v>#REF!</v>
      </c>
      <c r="H40" s="115" t="e">
        <f>COUNTIFS(#REF!,B4,#REF!,H6)</f>
        <v>#REF!</v>
      </c>
      <c r="I40" s="115" t="e">
        <f>COUNTIFS(#REF!,B4,#REF!,I6)</f>
        <v>#REF!</v>
      </c>
      <c r="J40" s="115" t="e">
        <f>COUNTIFS(#REF!,B4,#REF!,J6)</f>
        <v>#REF!</v>
      </c>
      <c r="K40" s="115" t="e">
        <f>COUNTIFS(#REF!,B4,#REF!,K6)</f>
        <v>#REF!</v>
      </c>
      <c r="L40" s="115" t="e">
        <f>COUNTIFS(#REF!,B4,#REF!,L6)</f>
        <v>#REF!</v>
      </c>
      <c r="M40" s="115" t="e">
        <f>COUNTIFS(#REF!,B4,#REF!,M6)</f>
        <v>#REF!</v>
      </c>
      <c r="N40" s="124" t="e">
        <f>SUM(B40:M40)</f>
        <v>#REF!</v>
      </c>
    </row>
    <row r="41" spans="1:14" ht="31.5" customHeight="1" thickBot="1" x14ac:dyDescent="0.3">
      <c r="A41" s="122" t="s">
        <v>392</v>
      </c>
      <c r="B41" s="116" t="e">
        <f>COUNTIFS(#REF!,$B$4,#REF!,$B$6,Tabla1[TRIMESTRE DE  INGRESO AL CPN],"I TRIM")</f>
        <v>#REF!</v>
      </c>
      <c r="C41" s="116" t="e">
        <f>COUNTIFS(#REF!,B4,#REF!,C6,Tabla1[TRIMESTRE DE  INGRESO AL CPN],"I TRIM")</f>
        <v>#REF!</v>
      </c>
      <c r="D41" s="116" t="e">
        <f>COUNTIFS(#REF!,B4,#REF!,D6,Tabla1[TRIMESTRE DE  INGRESO AL CPN],"I TRIM")</f>
        <v>#REF!</v>
      </c>
      <c r="E41" s="116" t="e">
        <f>COUNTIFS(#REF!,B4,#REF!,E6,Tabla1[TRIMESTRE DE  INGRESO AL CPN],"I TRIM")</f>
        <v>#REF!</v>
      </c>
      <c r="F41" s="116" t="e">
        <f>COUNTIFS(#REF!,B4,#REF!,F6,Tabla1[TRIMESTRE DE  INGRESO AL CPN],"I TRIM")</f>
        <v>#REF!</v>
      </c>
      <c r="G41" s="116" t="e">
        <f>COUNTIFS(#REF!,B4,#REF!,G6,Tabla1[TRIMESTRE DE  INGRESO AL CPN],"I TRIM")</f>
        <v>#REF!</v>
      </c>
      <c r="H41" s="116" t="e">
        <f>COUNTIFS(#REF!,B4,#REF!,H6,Tabla1[TRIMESTRE DE  INGRESO AL CPN],"I TRIM")</f>
        <v>#REF!</v>
      </c>
      <c r="I41" s="116" t="e">
        <f>COUNTIFS(#REF!,B4,#REF!,I6,Tabla1[TRIMESTRE DE  INGRESO AL CPN],"I TRIM")</f>
        <v>#REF!</v>
      </c>
      <c r="J41" s="116" t="e">
        <f>COUNTIFS(#REF!,B4,#REF!,J6,Tabla1[TRIMESTRE DE  INGRESO AL CPN],"I TRIM")</f>
        <v>#REF!</v>
      </c>
      <c r="K41" s="116" t="e">
        <f>COUNTIFS(#REF!,B4,#REF!,K6,Tabla1[TRIMESTRE DE  INGRESO AL CPN],"I TRIM")</f>
        <v>#REF!</v>
      </c>
      <c r="L41" s="116" t="e">
        <f>COUNTIFS(#REF!,B4,#REF!,L6,Tabla1[TRIMESTRE DE  INGRESO AL CPN],"I TRIM")</f>
        <v>#REF!</v>
      </c>
      <c r="M41" s="116" t="e">
        <f>COUNTIFS(#REF!,B4,#REF!,M6,Tabla1[TRIMESTRE DE  INGRESO AL CPN],"I TRIM")</f>
        <v>#REF!</v>
      </c>
      <c r="N41" s="125" t="e">
        <f>SUM(B41:M41)</f>
        <v>#REF!</v>
      </c>
    </row>
    <row r="42" spans="1:14" ht="31.5" customHeight="1" thickBot="1" x14ac:dyDescent="0.3">
      <c r="A42" s="107" t="s">
        <v>633</v>
      </c>
      <c r="B42" s="117" t="e">
        <f>IF($B$40=0,"",SUM(B41/$B$40))</f>
        <v>#REF!</v>
      </c>
      <c r="C42" s="118" t="e">
        <f t="shared" ref="C42:N42" si="2">IF(C40=0,"",SUM(C41/C40))</f>
        <v>#REF!</v>
      </c>
      <c r="D42" s="118" t="e">
        <f t="shared" si="2"/>
        <v>#REF!</v>
      </c>
      <c r="E42" s="118" t="e">
        <f t="shared" si="2"/>
        <v>#REF!</v>
      </c>
      <c r="F42" s="118" t="e">
        <f t="shared" si="2"/>
        <v>#REF!</v>
      </c>
      <c r="G42" s="118" t="e">
        <f t="shared" si="2"/>
        <v>#REF!</v>
      </c>
      <c r="H42" s="118" t="e">
        <f t="shared" si="2"/>
        <v>#REF!</v>
      </c>
      <c r="I42" s="118" t="e">
        <f t="shared" si="2"/>
        <v>#REF!</v>
      </c>
      <c r="J42" s="118" t="e">
        <f t="shared" si="2"/>
        <v>#REF!</v>
      </c>
      <c r="K42" s="118" t="e">
        <f t="shared" si="2"/>
        <v>#REF!</v>
      </c>
      <c r="L42" s="118" t="e">
        <f t="shared" si="2"/>
        <v>#REF!</v>
      </c>
      <c r="M42" s="118" t="e">
        <f t="shared" si="2"/>
        <v>#REF!</v>
      </c>
      <c r="N42" s="119" t="e">
        <f t="shared" si="2"/>
        <v>#REF!</v>
      </c>
    </row>
    <row r="43" spans="1:14" ht="31.5" customHeight="1" thickBot="1" x14ac:dyDescent="0.3">
      <c r="A43" s="140" t="s">
        <v>635</v>
      </c>
      <c r="B43" s="143" t="e">
        <f>COUNTIFS(#REF!,$B$4,#REF!,$B$6,#REF!,"I TRIM")</f>
        <v>#REF!</v>
      </c>
      <c r="C43" s="143" t="e">
        <f>COUNTIFS(#REF!,B4,#REF!,C6,#REF!,"I TRIM")</f>
        <v>#REF!</v>
      </c>
      <c r="D43" s="143" t="e">
        <f>COUNTIFS(#REF!,B4,#REF!,D6,#REF!,"I TRIM")</f>
        <v>#REF!</v>
      </c>
      <c r="E43" s="143" t="e">
        <f>COUNTIFS(#REF!,B4,#REF!,E5,#REF!,"I TRIM")</f>
        <v>#REF!</v>
      </c>
      <c r="F43" s="143" t="e">
        <f>COUNTIFS(#REF!,B4,#REF!,F6,#REF!,"I TRIM")</f>
        <v>#REF!</v>
      </c>
      <c r="G43" s="143" t="e">
        <f>COUNTIFS(#REF!,B4,#REF!,G6,#REF!,"I TRIM")</f>
        <v>#REF!</v>
      </c>
      <c r="H43" s="143" t="e">
        <f>COUNTIFS(#REF!,B4,#REF!,H6,#REF!,"I TRIM")</f>
        <v>#REF!</v>
      </c>
      <c r="I43" s="143" t="e">
        <f>COUNTIFS(#REF!,B4,#REF!,I6,#REF!,"I TRIM")</f>
        <v>#REF!</v>
      </c>
      <c r="J43" s="143" t="e">
        <f>COUNTIFS(#REF!,B4,#REF!,J6,#REF!,"I TRIM")</f>
        <v>#REF!</v>
      </c>
      <c r="K43" s="143" t="e">
        <f>COUNTIFS(#REF!,B4,#REF!,K6,#REF!,"I TRIM")</f>
        <v>#REF!</v>
      </c>
      <c r="L43" s="143" t="e">
        <f>COUNTIFS(#REF!,B4,#REF!,L6,#REF!,"I TRIM")</f>
        <v>#REF!</v>
      </c>
      <c r="M43" s="143" t="e">
        <f>COUNTIFS(#REF!,B4,#REF!,M6,#REF!,"I TRIM")</f>
        <v>#REF!</v>
      </c>
      <c r="N43" s="125" t="e">
        <f>SUM(B43:M43)</f>
        <v>#REF!</v>
      </c>
    </row>
    <row r="44" spans="1:14" ht="31.5" customHeight="1" thickBot="1" x14ac:dyDescent="0.3">
      <c r="A44" s="144" t="s">
        <v>634</v>
      </c>
      <c r="B44" s="117" t="e">
        <f>IF(B40=0,"",SUM(B43/B40))</f>
        <v>#REF!</v>
      </c>
      <c r="C44" s="118" t="e">
        <f t="shared" ref="C44:M44" si="3">IF(C40=0,"",SUM(C43/C40))</f>
        <v>#REF!</v>
      </c>
      <c r="D44" s="118" t="e">
        <f t="shared" si="3"/>
        <v>#REF!</v>
      </c>
      <c r="E44" s="118" t="e">
        <f t="shared" si="3"/>
        <v>#REF!</v>
      </c>
      <c r="F44" s="118" t="e">
        <f t="shared" si="3"/>
        <v>#REF!</v>
      </c>
      <c r="G44" s="118" t="e">
        <f t="shared" si="3"/>
        <v>#REF!</v>
      </c>
      <c r="H44" s="118" t="e">
        <f t="shared" si="3"/>
        <v>#REF!</v>
      </c>
      <c r="I44" s="118" t="e">
        <f t="shared" si="3"/>
        <v>#REF!</v>
      </c>
      <c r="J44" s="118" t="e">
        <f t="shared" si="3"/>
        <v>#REF!</v>
      </c>
      <c r="K44" s="118" t="e">
        <f t="shared" si="3"/>
        <v>#REF!</v>
      </c>
      <c r="L44" s="118" t="e">
        <f t="shared" si="3"/>
        <v>#REF!</v>
      </c>
      <c r="M44" s="118" t="e">
        <f t="shared" si="3"/>
        <v>#REF!</v>
      </c>
      <c r="N44" s="119" t="e">
        <f>IF(N40=0,"",SUM(N43/N40))</f>
        <v>#REF!</v>
      </c>
    </row>
    <row r="45" spans="1:14" ht="31.5" customHeight="1" x14ac:dyDescent="0.25">
      <c r="A45" s="120" t="s">
        <v>619</v>
      </c>
      <c r="B45" s="115" t="e">
        <f>SUM(B40-B37)</f>
        <v>#REF!</v>
      </c>
      <c r="C45" s="115" t="e">
        <f t="shared" ref="C45:M45" si="4">SUM(C40-C37)</f>
        <v>#REF!</v>
      </c>
      <c r="D45" s="115" t="e">
        <f t="shared" si="4"/>
        <v>#REF!</v>
      </c>
      <c r="E45" s="115" t="e">
        <f t="shared" si="4"/>
        <v>#REF!</v>
      </c>
      <c r="F45" s="115" t="e">
        <f t="shared" si="4"/>
        <v>#REF!</v>
      </c>
      <c r="G45" s="115" t="e">
        <f t="shared" si="4"/>
        <v>#REF!</v>
      </c>
      <c r="H45" s="115" t="e">
        <f t="shared" si="4"/>
        <v>#REF!</v>
      </c>
      <c r="I45" s="115" t="e">
        <f t="shared" si="4"/>
        <v>#REF!</v>
      </c>
      <c r="J45" s="115" t="e">
        <f t="shared" si="4"/>
        <v>#REF!</v>
      </c>
      <c r="K45" s="115" t="e">
        <f t="shared" si="4"/>
        <v>#REF!</v>
      </c>
      <c r="L45" s="115" t="e">
        <f t="shared" si="4"/>
        <v>#REF!</v>
      </c>
      <c r="M45" s="115" t="e">
        <f t="shared" si="4"/>
        <v>#REF!</v>
      </c>
      <c r="N45" s="124" t="e">
        <f>SUM(B45:M45)</f>
        <v>#REF!</v>
      </c>
    </row>
    <row r="46" spans="1:14" ht="31.5" customHeight="1" thickBot="1" x14ac:dyDescent="0.3">
      <c r="A46" s="122" t="s">
        <v>392</v>
      </c>
      <c r="B46" s="116" t="e">
        <f>+B41-B38</f>
        <v>#REF!</v>
      </c>
      <c r="C46" s="116" t="e">
        <f t="shared" ref="C46:M46" si="5">+C41-C38</f>
        <v>#REF!</v>
      </c>
      <c r="D46" s="116" t="e">
        <f t="shared" si="5"/>
        <v>#REF!</v>
      </c>
      <c r="E46" s="116" t="e">
        <f t="shared" si="5"/>
        <v>#REF!</v>
      </c>
      <c r="F46" s="116" t="e">
        <f t="shared" si="5"/>
        <v>#REF!</v>
      </c>
      <c r="G46" s="116" t="e">
        <f t="shared" si="5"/>
        <v>#REF!</v>
      </c>
      <c r="H46" s="116" t="e">
        <f t="shared" si="5"/>
        <v>#REF!</v>
      </c>
      <c r="I46" s="116" t="e">
        <f t="shared" si="5"/>
        <v>#REF!</v>
      </c>
      <c r="J46" s="116" t="e">
        <f t="shared" si="5"/>
        <v>#REF!</v>
      </c>
      <c r="K46" s="116" t="e">
        <f t="shared" si="5"/>
        <v>#REF!</v>
      </c>
      <c r="L46" s="116" t="e">
        <f t="shared" si="5"/>
        <v>#REF!</v>
      </c>
      <c r="M46" s="116" t="e">
        <f t="shared" si="5"/>
        <v>#REF!</v>
      </c>
      <c r="N46" s="125" t="e">
        <f>SUM(B46:M46)</f>
        <v>#REF!</v>
      </c>
    </row>
    <row r="47" spans="1:14" ht="31.5" customHeight="1" thickBot="1" x14ac:dyDescent="0.3">
      <c r="A47" s="108" t="s">
        <v>620</v>
      </c>
      <c r="B47" s="117" t="e">
        <f>IF(B45=0,"",SUM(B46/B45))</f>
        <v>#REF!</v>
      </c>
      <c r="C47" s="118" t="e">
        <f t="shared" ref="C47:M47" si="6">IF(C45=0,"",SUM(C46/C45))</f>
        <v>#REF!</v>
      </c>
      <c r="D47" s="118" t="e">
        <f t="shared" si="6"/>
        <v>#REF!</v>
      </c>
      <c r="E47" s="118" t="e">
        <f t="shared" si="6"/>
        <v>#REF!</v>
      </c>
      <c r="F47" s="118" t="e">
        <f t="shared" si="6"/>
        <v>#REF!</v>
      </c>
      <c r="G47" s="118" t="e">
        <f t="shared" si="6"/>
        <v>#REF!</v>
      </c>
      <c r="H47" s="118" t="e">
        <f t="shared" si="6"/>
        <v>#REF!</v>
      </c>
      <c r="I47" s="118" t="e">
        <f t="shared" si="6"/>
        <v>#REF!</v>
      </c>
      <c r="J47" s="118" t="e">
        <f t="shared" si="6"/>
        <v>#REF!</v>
      </c>
      <c r="K47" s="118" t="e">
        <f t="shared" si="6"/>
        <v>#REF!</v>
      </c>
      <c r="L47" s="118" t="e">
        <f t="shared" si="6"/>
        <v>#REF!</v>
      </c>
      <c r="M47" s="118" t="e">
        <f t="shared" si="6"/>
        <v>#REF!</v>
      </c>
      <c r="N47" s="119" t="e">
        <f>IF(N45=0,"",SUM(N46/N45))</f>
        <v>#REF!</v>
      </c>
    </row>
    <row r="48" spans="1:14" ht="31.5" customHeight="1" thickBot="1" x14ac:dyDescent="0.3">
      <c r="A48" s="120" t="s">
        <v>733</v>
      </c>
      <c r="B48" s="115" t="e">
        <f>COUNTIFS(#REF!,$B$4,#REF!,B19,Tabla1[ATENCIÓN PRECONCEPCIONAL],"PROCESO COMPLETO DE ATENCIÓN")</f>
        <v>#REF!</v>
      </c>
      <c r="C48" s="115" t="e">
        <f>COUNTIFS(#REF!,$B$4,#REF!,C19,Tabla1[ATENCIÓN PRECONCEPCIONAL],"PROCESO COMPLETO DE ATENCIÓN")</f>
        <v>#REF!</v>
      </c>
      <c r="D48" s="115" t="e">
        <f>COUNTIFS(#REF!,$B$4,#REF!,D19,Tabla1[ATENCIÓN PRECONCEPCIONAL],"PROCESO COMPLETO DE ATENCIÓN")</f>
        <v>#REF!</v>
      </c>
      <c r="E48" s="115" t="e">
        <f>COUNTIFS(#REF!,$B$4,#REF!,E19,Tabla1[ATENCIÓN PRECONCEPCIONAL],"PROCESO COMPLETO DE ATENCIÓN")</f>
        <v>#REF!</v>
      </c>
      <c r="F48" s="115" t="e">
        <f>COUNTIFS(#REF!,$B$4,#REF!,F19,Tabla1[ATENCIÓN PRECONCEPCIONAL],"PROCESO COMPLETO DE ATENCIÓN")</f>
        <v>#REF!</v>
      </c>
      <c r="G48" s="115" t="e">
        <f>COUNTIFS(#REF!,$B$4,#REF!,G19,Tabla1[ATENCIÓN PRECONCEPCIONAL],"PROCESO COMPLETO DE ATENCIÓN")</f>
        <v>#REF!</v>
      </c>
      <c r="H48" s="115" t="e">
        <f>COUNTIFS(#REF!,$B$4,#REF!,H19,Tabla1[ATENCIÓN PRECONCEPCIONAL],"PROCESO COMPLETO DE ATENCIÓN")</f>
        <v>#REF!</v>
      </c>
      <c r="I48" s="115" t="e">
        <f>COUNTIFS(#REF!,$B$4,#REF!,I19,Tabla1[ATENCIÓN PRECONCEPCIONAL],"PROCESO COMPLETO DE ATENCIÓN")</f>
        <v>#REF!</v>
      </c>
      <c r="J48" s="115" t="e">
        <f>COUNTIFS(#REF!,$B$4,#REF!,J19,Tabla1[ATENCIÓN PRECONCEPCIONAL],"PROCESO COMPLETO DE ATENCIÓN")</f>
        <v>#REF!</v>
      </c>
      <c r="K48" s="115" t="e">
        <f>COUNTIFS(#REF!,$B$4,#REF!,K19,Tabla1[ATENCIÓN PRECONCEPCIONAL],"PROCESO COMPLETO DE ATENCIÓN")</f>
        <v>#REF!</v>
      </c>
      <c r="L48" s="115" t="e">
        <f>COUNTIFS(#REF!,$B$4,#REF!,L19,Tabla1[ATENCIÓN PRECONCEPCIONAL],"PROCESO COMPLETO DE ATENCIÓN")</f>
        <v>#REF!</v>
      </c>
      <c r="M48" s="115" t="e">
        <f>COUNTIFS(#REF!,$B$4,#REF!,M19,Tabla1[ATENCIÓN PRECONCEPCIONAL],"PROCESO COMPLETO DE ATENCIÓN")</f>
        <v>#REF!</v>
      </c>
      <c r="N48" s="121" t="e">
        <f>SUM(B48:M48)</f>
        <v>#REF!</v>
      </c>
    </row>
    <row r="49" spans="1:14" ht="31.5" customHeight="1" thickBot="1" x14ac:dyDescent="0.3">
      <c r="A49" s="185" t="s">
        <v>732</v>
      </c>
      <c r="B49" s="117" t="e">
        <f t="shared" ref="B49:N49" si="7">IF(B53=0,"",SUM(B48/B53))</f>
        <v>#REF!</v>
      </c>
      <c r="C49" s="118" t="e">
        <f t="shared" si="7"/>
        <v>#REF!</v>
      </c>
      <c r="D49" s="118" t="e">
        <f t="shared" si="7"/>
        <v>#REF!</v>
      </c>
      <c r="E49" s="118" t="e">
        <f t="shared" si="7"/>
        <v>#REF!</v>
      </c>
      <c r="F49" s="118" t="e">
        <f t="shared" si="7"/>
        <v>#REF!</v>
      </c>
      <c r="G49" s="118" t="e">
        <f t="shared" si="7"/>
        <v>#REF!</v>
      </c>
      <c r="H49" s="118" t="e">
        <f t="shared" si="7"/>
        <v>#REF!</v>
      </c>
      <c r="I49" s="118" t="e">
        <f t="shared" si="7"/>
        <v>#REF!</v>
      </c>
      <c r="J49" s="118" t="e">
        <f t="shared" si="7"/>
        <v>#REF!</v>
      </c>
      <c r="K49" s="118" t="e">
        <f t="shared" si="7"/>
        <v>#REF!</v>
      </c>
      <c r="L49" s="118" t="e">
        <f t="shared" si="7"/>
        <v>#REF!</v>
      </c>
      <c r="M49" s="118" t="e">
        <f t="shared" si="7"/>
        <v>#REF!</v>
      </c>
      <c r="N49" s="119" t="e">
        <f t="shared" si="7"/>
        <v>#REF!</v>
      </c>
    </row>
    <row r="50" spans="1:14" ht="42" customHeight="1" x14ac:dyDescent="0.25">
      <c r="A50" s="204" t="s">
        <v>735</v>
      </c>
      <c r="B50" s="116" t="e">
        <f>COUNTIFS(#REF!,$B$4,#REF!,B6,Tabla1[RIESGO BIOPSICOSOCIAL],"ALTO RIESGO",Tabla1[FECHA ASISTENCIA PRIMERA VEZ CON GINECOLOGÍA],"&lt;&gt;")</f>
        <v>#REF!</v>
      </c>
      <c r="C50" s="116" t="e">
        <f>COUNTIFS(#REF!,$B$4,#REF!,C6,Tabla1[RIESGO BIOPSICOSOCIAL],"ALTO RIESGO",Tabla1[FECHA ASISTENCIA PRIMERA VEZ CON GINECOLOGÍA],"&lt;&gt;")</f>
        <v>#REF!</v>
      </c>
      <c r="D50" s="116" t="e">
        <f>COUNTIFS(#REF!,$B$4,#REF!,D6,Tabla1[RIESGO BIOPSICOSOCIAL],"ALTO RIESGO",Tabla1[FECHA ASISTENCIA PRIMERA VEZ CON GINECOLOGÍA],"&lt;&gt;")</f>
        <v>#REF!</v>
      </c>
      <c r="E50" s="116" t="e">
        <f>COUNTIFS(#REF!,$B$4,#REF!,E6,Tabla1[RIESGO BIOPSICOSOCIAL],"ALTO RIESGO",Tabla1[FECHA ASISTENCIA PRIMERA VEZ CON GINECOLOGÍA],"&lt;&gt;")</f>
        <v>#REF!</v>
      </c>
      <c r="F50" s="116" t="e">
        <f>COUNTIFS(#REF!,$B$4,#REF!,F6,Tabla1[RIESGO BIOPSICOSOCIAL],"ALTO RIESGO",Tabla1[FECHA ASISTENCIA PRIMERA VEZ CON GINECOLOGÍA],"&lt;&gt;")</f>
        <v>#REF!</v>
      </c>
      <c r="G50" s="116" t="e">
        <f>COUNTIFS(#REF!,$B$4,#REF!,G6,Tabla1[RIESGO BIOPSICOSOCIAL],"ALTO RIESGO",Tabla1[FECHA ASISTENCIA PRIMERA VEZ CON GINECOLOGÍA],"&lt;&gt;")</f>
        <v>#REF!</v>
      </c>
      <c r="H50" s="116" t="e">
        <f>COUNTIFS(#REF!,$B$4,#REF!,H6,Tabla1[RIESGO BIOPSICOSOCIAL],"ALTO RIESGO",Tabla1[FECHA ASISTENCIA PRIMERA VEZ CON GINECOLOGÍA],"&lt;&gt;")</f>
        <v>#REF!</v>
      </c>
      <c r="I50" s="116" t="e">
        <f>COUNTIFS(#REF!,$B$4,#REF!,I6,Tabla1[RIESGO BIOPSICOSOCIAL],"ALTO RIESGO",Tabla1[FECHA ASISTENCIA PRIMERA VEZ CON GINECOLOGÍA],"&lt;&gt;")</f>
        <v>#REF!</v>
      </c>
      <c r="J50" s="116" t="e">
        <f>COUNTIFS(#REF!,$B$4,#REF!,J6,Tabla1[RIESGO BIOPSICOSOCIAL],"ALTO RIESGO",Tabla1[FECHA ASISTENCIA PRIMERA VEZ CON GINECOLOGÍA],"&lt;&gt;")</f>
        <v>#REF!</v>
      </c>
      <c r="K50" s="116" t="e">
        <f>COUNTIFS(#REF!,$B$4,#REF!,K6,Tabla1[RIESGO BIOPSICOSOCIAL],"ALTO RIESGO",Tabla1[FECHA ASISTENCIA PRIMERA VEZ CON GINECOLOGÍA],"&lt;&gt;")</f>
        <v>#REF!</v>
      </c>
      <c r="L50" s="116" t="e">
        <f>COUNTIFS(#REF!,$B$4,#REF!,L6,Tabla1[RIESGO BIOPSICOSOCIAL],"ALTO RIESGO",Tabla1[FECHA ASISTENCIA PRIMERA VEZ CON GINECOLOGÍA],"&lt;&gt;")</f>
        <v>#REF!</v>
      </c>
      <c r="M50" s="116" t="e">
        <f>COUNTIFS(#REF!,$B$4,#REF!,M6,Tabla1[RIESGO BIOPSICOSOCIAL],"ALTO RIESGO",Tabla1[FECHA ASISTENCIA PRIMERA VEZ CON GINECOLOGÍA],"&lt;&gt;")</f>
        <v>#REF!</v>
      </c>
      <c r="N50" s="125" t="e">
        <f>SUM(B50:M50)</f>
        <v>#REF!</v>
      </c>
    </row>
    <row r="51" spans="1:14" ht="42" customHeight="1" thickBot="1" x14ac:dyDescent="0.3">
      <c r="A51" s="122" t="s">
        <v>742</v>
      </c>
      <c r="B51" s="116" t="e">
        <f>COUNTIFS(#REF!,$B$4,#REF!,B6,Tabla1[RIESGO BIOPSICOSOCIAL],"ALTO RIESGO")</f>
        <v>#REF!</v>
      </c>
      <c r="C51" s="116" t="e">
        <f>COUNTIFS(#REF!,$B$4,#REF!,C6,Tabla1[RIESGO BIOPSICOSOCIAL],"ALTO RIESGO")</f>
        <v>#REF!</v>
      </c>
      <c r="D51" s="116" t="e">
        <f>COUNTIFS(#REF!,$B$4,#REF!,D6,Tabla1[RIESGO BIOPSICOSOCIAL],"ALTO RIESGO")</f>
        <v>#REF!</v>
      </c>
      <c r="E51" s="116" t="e">
        <f>COUNTIFS(#REF!,$B$4,#REF!,E6,Tabla1[RIESGO BIOPSICOSOCIAL],"ALTO RIESGO")</f>
        <v>#REF!</v>
      </c>
      <c r="F51" s="116" t="e">
        <f>COUNTIFS(#REF!,$B$4,#REF!,F6,Tabla1[RIESGO BIOPSICOSOCIAL],"ALTO RIESGO")</f>
        <v>#REF!</v>
      </c>
      <c r="G51" s="116" t="e">
        <f>COUNTIFS(#REF!,$B$4,#REF!,G6,Tabla1[RIESGO BIOPSICOSOCIAL],"ALTO RIESGO")</f>
        <v>#REF!</v>
      </c>
      <c r="H51" s="116" t="e">
        <f>COUNTIFS(#REF!,$B$4,#REF!,H6,Tabla1[RIESGO BIOPSICOSOCIAL],"ALTO RIESGO")</f>
        <v>#REF!</v>
      </c>
      <c r="I51" s="116" t="e">
        <f>COUNTIFS(#REF!,$B$4,#REF!,I6,Tabla1[RIESGO BIOPSICOSOCIAL],"ALTO RIESGO")</f>
        <v>#REF!</v>
      </c>
      <c r="J51" s="116" t="e">
        <f>COUNTIFS(#REF!,$B$4,#REF!,J6,Tabla1[RIESGO BIOPSICOSOCIAL],"ALTO RIESGO")</f>
        <v>#REF!</v>
      </c>
      <c r="K51" s="116" t="e">
        <f>COUNTIFS(#REF!,$B$4,#REF!,K6,Tabla1[RIESGO BIOPSICOSOCIAL],"ALTO RIESGO")</f>
        <v>#REF!</v>
      </c>
      <c r="L51" s="116" t="e">
        <f>COUNTIFS(#REF!,$B$4,#REF!,L6,Tabla1[RIESGO BIOPSICOSOCIAL],"ALTO RIESGO")</f>
        <v>#REF!</v>
      </c>
      <c r="M51" s="116" t="e">
        <f>COUNTIFS(#REF!,$B$4,#REF!,M6,Tabla1[RIESGO BIOPSICOSOCIAL],"ALTO RIESGO")</f>
        <v>#REF!</v>
      </c>
      <c r="N51" s="125" t="e">
        <f>SUM(B51:M51)</f>
        <v>#REF!</v>
      </c>
    </row>
    <row r="52" spans="1:14" ht="31.5" customHeight="1" thickBot="1" x14ac:dyDescent="0.3">
      <c r="A52" s="195" t="s">
        <v>734</v>
      </c>
      <c r="B52" s="117" t="e">
        <f>IF(B51=0,"",SUM(B50/B51))</f>
        <v>#REF!</v>
      </c>
      <c r="C52" s="118" t="e">
        <f t="shared" ref="C52:N52" si="8">IF(C51=0,"",SUM(C50/C51))</f>
        <v>#REF!</v>
      </c>
      <c r="D52" s="118" t="e">
        <f t="shared" si="8"/>
        <v>#REF!</v>
      </c>
      <c r="E52" s="118" t="e">
        <f t="shared" si="8"/>
        <v>#REF!</v>
      </c>
      <c r="F52" s="118" t="e">
        <f t="shared" si="8"/>
        <v>#REF!</v>
      </c>
      <c r="G52" s="118" t="e">
        <f t="shared" si="8"/>
        <v>#REF!</v>
      </c>
      <c r="H52" s="118" t="e">
        <f t="shared" si="8"/>
        <v>#REF!</v>
      </c>
      <c r="I52" s="118" t="e">
        <f t="shared" si="8"/>
        <v>#REF!</v>
      </c>
      <c r="J52" s="118" t="e">
        <f t="shared" si="8"/>
        <v>#REF!</v>
      </c>
      <c r="K52" s="118" t="e">
        <f t="shared" si="8"/>
        <v>#REF!</v>
      </c>
      <c r="L52" s="118" t="e">
        <f t="shared" si="8"/>
        <v>#REF!</v>
      </c>
      <c r="M52" s="118" t="e">
        <f t="shared" si="8"/>
        <v>#REF!</v>
      </c>
      <c r="N52" s="119" t="e">
        <f t="shared" si="8"/>
        <v>#REF!</v>
      </c>
    </row>
    <row r="53" spans="1:14" ht="39" customHeight="1" thickBot="1" x14ac:dyDescent="0.3">
      <c r="A53" s="122" t="s">
        <v>759</v>
      </c>
      <c r="B53" s="116" t="e">
        <f>SUM(COUNTIFS(#REF!,$B$4,#REF!,B6,Tabla1[SALE DEL PROGRAMA POR],"PARTO",Tabla1[EDAD GESTACIONAL SALIDA PROGRAMA],"&gt;36",Tabla1[EDAD GESTACIONAL SALIDA PROGRAMA],"&lt;44",Tabla1[FECHA ASISTENCIA A CONSULTA NUTRICION],"&lt;&gt;"),COUNTIFS(#REF!,$B$4,#REF!,B6,Tabla1[SALE DEL PROGRAMA POR],"CESAREA",Tabla1[EDAD GESTACIONAL SALIDA PROGRAMA],"&gt;36",Tabla1[EDAD GESTACIONAL SALIDA PROGRAMA],"&lt;44",Tabla1[FECHA ASISTENCIA A CONSULTA NUTRICION],"&lt;&gt;"))</f>
        <v>#REF!</v>
      </c>
      <c r="C53" s="116" t="e">
        <f>SUM(COUNTIFS(#REF!,$B$4,#REF!,C6,Tabla1[SALE DEL PROGRAMA POR],"PARTO",Tabla1[EDAD GESTACIONAL SALIDA PROGRAMA],"&gt;36",Tabla1[EDAD GESTACIONAL SALIDA PROGRAMA],"&lt;44",Tabla1[FECHA ASISTENCIA A CONSULTA NUTRICION],"&lt;&gt;"),COUNTIFS(#REF!,$B$4,#REF!,C6,Tabla1[SALE DEL PROGRAMA POR],"CESAREA",Tabla1[EDAD GESTACIONAL SALIDA PROGRAMA],"&gt;36",Tabla1[EDAD GESTACIONAL SALIDA PROGRAMA],"&lt;44",Tabla1[FECHA ASISTENCIA A CONSULTA NUTRICION],"&lt;&gt;"))</f>
        <v>#REF!</v>
      </c>
      <c r="D53" s="116" t="e">
        <f>SUM(COUNTIFS(#REF!,$B$4,#REF!,D6,Tabla1[SALE DEL PROGRAMA POR],"PARTO",Tabla1[EDAD GESTACIONAL SALIDA PROGRAMA],"&gt;36",Tabla1[EDAD GESTACIONAL SALIDA PROGRAMA],"&lt;44",Tabla1[FECHA ASISTENCIA A CONSULTA NUTRICION],"&lt;&gt;"),COUNTIFS(#REF!,$B$4,#REF!,D6,Tabla1[SALE DEL PROGRAMA POR],"CESAREA",Tabla1[EDAD GESTACIONAL SALIDA PROGRAMA],"&gt;36",Tabla1[EDAD GESTACIONAL SALIDA PROGRAMA],"&lt;44",Tabla1[FECHA ASISTENCIA A CONSULTA NUTRICION],"&lt;&gt;"))</f>
        <v>#REF!</v>
      </c>
      <c r="E53" s="116" t="e">
        <f>SUM(COUNTIFS(#REF!,$B$4,#REF!,E6,Tabla1[SALE DEL PROGRAMA POR],"PARTO",Tabla1[EDAD GESTACIONAL SALIDA PROGRAMA],"&gt;36",Tabla1[EDAD GESTACIONAL SALIDA PROGRAMA],"&lt;44",Tabla1[FECHA ASISTENCIA A CONSULTA NUTRICION],"&lt;&gt;"),COUNTIFS(#REF!,$B$4,#REF!,E6,Tabla1[SALE DEL PROGRAMA POR],"CESAREA",Tabla1[EDAD GESTACIONAL SALIDA PROGRAMA],"&gt;36",Tabla1[EDAD GESTACIONAL SALIDA PROGRAMA],"&lt;44",Tabla1[FECHA ASISTENCIA A CONSULTA NUTRICION],"&lt;&gt;"))</f>
        <v>#REF!</v>
      </c>
      <c r="F53" s="116" t="e">
        <f>SUM(COUNTIFS(#REF!,$B$4,#REF!,F6,Tabla1[SALE DEL PROGRAMA POR],"PARTO",Tabla1[EDAD GESTACIONAL SALIDA PROGRAMA],"&gt;36",Tabla1[EDAD GESTACIONAL SALIDA PROGRAMA],"&lt;44",Tabla1[FECHA ASISTENCIA A CONSULTA NUTRICION],"&lt;&gt;"),COUNTIFS(#REF!,$B$4,#REF!,F6,Tabla1[SALE DEL PROGRAMA POR],"CESAREA",Tabla1[EDAD GESTACIONAL SALIDA PROGRAMA],"&gt;36",Tabla1[EDAD GESTACIONAL SALIDA PROGRAMA],"&lt;44",Tabla1[FECHA ASISTENCIA A CONSULTA NUTRICION],"&lt;&gt;"))</f>
        <v>#REF!</v>
      </c>
      <c r="G53" s="116" t="e">
        <f>SUM(COUNTIFS(#REF!,$B$4,#REF!,G6,Tabla1[SALE DEL PROGRAMA POR],"PARTO",Tabla1[EDAD GESTACIONAL SALIDA PROGRAMA],"&gt;36",Tabla1[EDAD GESTACIONAL SALIDA PROGRAMA],"&lt;44",Tabla1[FECHA ASISTENCIA A CONSULTA NUTRICION],"&lt;&gt;"),COUNTIFS(#REF!,$B$4,#REF!,G6,Tabla1[SALE DEL PROGRAMA POR],"CESAREA",Tabla1[EDAD GESTACIONAL SALIDA PROGRAMA],"&gt;36",Tabla1[EDAD GESTACIONAL SALIDA PROGRAMA],"&lt;44",Tabla1[FECHA ASISTENCIA A CONSULTA NUTRICION],"&lt;&gt;"))</f>
        <v>#REF!</v>
      </c>
      <c r="H53" s="116" t="e">
        <f>SUM(COUNTIFS(#REF!,$B$4,#REF!,H6,Tabla1[SALE DEL PROGRAMA POR],"PARTO",Tabla1[EDAD GESTACIONAL SALIDA PROGRAMA],"&gt;36",Tabla1[EDAD GESTACIONAL SALIDA PROGRAMA],"&lt;44",Tabla1[FECHA ASISTENCIA A CONSULTA NUTRICION],"&lt;&gt;"),COUNTIFS(#REF!,$B$4,#REF!,H6,Tabla1[SALE DEL PROGRAMA POR],"CESAREA",Tabla1[EDAD GESTACIONAL SALIDA PROGRAMA],"&gt;36",Tabla1[EDAD GESTACIONAL SALIDA PROGRAMA],"&lt;44",Tabla1[FECHA ASISTENCIA A CONSULTA NUTRICION],"&lt;&gt;"))</f>
        <v>#REF!</v>
      </c>
      <c r="I53" s="116" t="e">
        <f>SUM(COUNTIFS(#REF!,$B$4,#REF!,I6,Tabla1[SALE DEL PROGRAMA POR],"PARTO",Tabla1[EDAD GESTACIONAL SALIDA PROGRAMA],"&gt;36",Tabla1[EDAD GESTACIONAL SALIDA PROGRAMA],"&lt;44",Tabla1[FECHA ASISTENCIA A CONSULTA NUTRICION],"&lt;&gt;"),COUNTIFS(#REF!,$B$4,#REF!,I6,Tabla1[SALE DEL PROGRAMA POR],"CESAREA",Tabla1[EDAD GESTACIONAL SALIDA PROGRAMA],"&gt;36",Tabla1[EDAD GESTACIONAL SALIDA PROGRAMA],"&lt;44",Tabla1[FECHA ASISTENCIA A CONSULTA NUTRICION],"&lt;&gt;"))</f>
        <v>#REF!</v>
      </c>
      <c r="J53" s="116" t="e">
        <f>SUM(COUNTIFS(#REF!,$B$4,#REF!,J6,Tabla1[SALE DEL PROGRAMA POR],"PARTO",Tabla1[EDAD GESTACIONAL SALIDA PROGRAMA],"&gt;36",Tabla1[EDAD GESTACIONAL SALIDA PROGRAMA],"&lt;44",Tabla1[FECHA ASISTENCIA A CONSULTA NUTRICION],"&lt;&gt;"),COUNTIFS(#REF!,$B$4,#REF!,J6,Tabla1[SALE DEL PROGRAMA POR],"CESAREA",Tabla1[EDAD GESTACIONAL SALIDA PROGRAMA],"&gt;36",Tabla1[EDAD GESTACIONAL SALIDA PROGRAMA],"&lt;44",Tabla1[FECHA ASISTENCIA A CONSULTA NUTRICION],"&lt;&gt;"))</f>
        <v>#REF!</v>
      </c>
      <c r="K53" s="116" t="e">
        <f>SUM(COUNTIFS(#REF!,$B$4,#REF!,K6,Tabla1[SALE DEL PROGRAMA POR],"PARTO",Tabla1[EDAD GESTACIONAL SALIDA PROGRAMA],"&gt;36",Tabla1[EDAD GESTACIONAL SALIDA PROGRAMA],"&lt;44",Tabla1[FECHA ASISTENCIA A CONSULTA NUTRICION],"&lt;&gt;"),COUNTIFS(#REF!,$B$4,#REF!,K6,Tabla1[SALE DEL PROGRAMA POR],"CESAREA",Tabla1[EDAD GESTACIONAL SALIDA PROGRAMA],"&gt;36",Tabla1[EDAD GESTACIONAL SALIDA PROGRAMA],"&lt;44",Tabla1[FECHA ASISTENCIA A CONSULTA NUTRICION],"&lt;&gt;"))</f>
        <v>#REF!</v>
      </c>
      <c r="L53" s="116" t="e">
        <f>SUM(COUNTIFS(#REF!,$B$4,#REF!,L6,Tabla1[SALE DEL PROGRAMA POR],"PARTO",Tabla1[EDAD GESTACIONAL SALIDA PROGRAMA],"&gt;36",Tabla1[EDAD GESTACIONAL SALIDA PROGRAMA],"&lt;44",Tabla1[FECHA ASISTENCIA A CONSULTA NUTRICION],"&lt;&gt;"),COUNTIFS(#REF!,$B$4,#REF!,L6,Tabla1[SALE DEL PROGRAMA POR],"CESAREA",Tabla1[EDAD GESTACIONAL SALIDA PROGRAMA],"&gt;36",Tabla1[EDAD GESTACIONAL SALIDA PROGRAMA],"&lt;44",Tabla1[FECHA ASISTENCIA A CONSULTA NUTRICION],"&lt;&gt;"))</f>
        <v>#REF!</v>
      </c>
      <c r="M53" s="116" t="e">
        <f>SUM(COUNTIFS(#REF!,$B$4,#REF!,M6,Tabla1[SALE DEL PROGRAMA POR],"PARTO",Tabla1[EDAD GESTACIONAL SALIDA PROGRAMA],"&gt;36",Tabla1[EDAD GESTACIONAL SALIDA PROGRAMA],"&lt;44",Tabla1[FECHA ASISTENCIA A CONSULTA NUTRICION],"&lt;&gt;"),COUNTIFS(#REF!,$B$4,#REF!,M6,Tabla1[SALE DEL PROGRAMA POR],"CESAREA",Tabla1[EDAD GESTACIONAL SALIDA PROGRAMA],"&gt;36",Tabla1[EDAD GESTACIONAL SALIDA PROGRAMA],"&lt;44",Tabla1[FECHA ASISTENCIA A CONSULTA NUTRICION],"&lt;&gt;"))</f>
        <v>#REF!</v>
      </c>
      <c r="N53" s="125" t="e">
        <f>SUM(B53:M53)</f>
        <v>#REF!</v>
      </c>
    </row>
    <row r="54" spans="1:14" ht="31.5" customHeight="1" thickBot="1" x14ac:dyDescent="0.3">
      <c r="A54" s="195" t="s">
        <v>758</v>
      </c>
      <c r="B54" s="117" t="e">
        <f t="shared" ref="B54:N54" si="9">IF(B$60=0,"",SUM(B53/B$60))</f>
        <v>#REF!</v>
      </c>
      <c r="C54" s="118" t="e">
        <f t="shared" si="9"/>
        <v>#REF!</v>
      </c>
      <c r="D54" s="118" t="e">
        <f t="shared" si="9"/>
        <v>#REF!</v>
      </c>
      <c r="E54" s="118" t="e">
        <f t="shared" si="9"/>
        <v>#REF!</v>
      </c>
      <c r="F54" s="118" t="e">
        <f t="shared" si="9"/>
        <v>#REF!</v>
      </c>
      <c r="G54" s="118" t="e">
        <f t="shared" si="9"/>
        <v>#REF!</v>
      </c>
      <c r="H54" s="118" t="e">
        <f t="shared" si="9"/>
        <v>#REF!</v>
      </c>
      <c r="I54" s="118" t="e">
        <f t="shared" si="9"/>
        <v>#REF!</v>
      </c>
      <c r="J54" s="118" t="e">
        <f t="shared" si="9"/>
        <v>#REF!</v>
      </c>
      <c r="K54" s="118" t="e">
        <f t="shared" si="9"/>
        <v>#REF!</v>
      </c>
      <c r="L54" s="118" t="e">
        <f t="shared" si="9"/>
        <v>#REF!</v>
      </c>
      <c r="M54" s="118" t="e">
        <f t="shared" si="9"/>
        <v>#REF!</v>
      </c>
      <c r="N54" s="119" t="e">
        <f t="shared" si="9"/>
        <v>#REF!</v>
      </c>
    </row>
    <row r="55" spans="1:14" ht="31.5" customHeight="1" x14ac:dyDescent="0.25">
      <c r="A55" s="122" t="s">
        <v>738</v>
      </c>
      <c r="B55" s="116" t="e">
        <f>COUNTIFS(#REF!,$B$4,#REF!,B6,Tabla1[GESTANTES ACTUALES],"SALIO PROGRAMA")</f>
        <v>#REF!</v>
      </c>
      <c r="C55" s="116" t="e">
        <f>COUNTIFS(#REF!,$B$4,#REF!,C6,Tabla1[GESTANTES ACTUALES],"SALIO PROGRAMA")</f>
        <v>#REF!</v>
      </c>
      <c r="D55" s="116" t="e">
        <f>COUNTIFS(#REF!,$B$4,#REF!,D6,Tabla1[GESTANTES ACTUALES],"SALIO PROGRAMA")</f>
        <v>#REF!</v>
      </c>
      <c r="E55" s="116" t="e">
        <f>COUNTIFS(#REF!,$B$4,#REF!,E6,Tabla1[GESTANTES ACTUALES],"SALIO PROGRAMA")</f>
        <v>#REF!</v>
      </c>
      <c r="F55" s="116" t="e">
        <f>COUNTIFS(#REF!,$B$4,#REF!,F6,Tabla1[GESTANTES ACTUALES],"SALIO PROGRAMA")</f>
        <v>#REF!</v>
      </c>
      <c r="G55" s="116" t="e">
        <f>COUNTIFS(#REF!,$B$4,#REF!,G6,Tabla1[GESTANTES ACTUALES],"SALIO PROGRAMA")</f>
        <v>#REF!</v>
      </c>
      <c r="H55" s="116" t="e">
        <f>COUNTIFS(#REF!,$B$4,#REF!,H6,Tabla1[GESTANTES ACTUALES],"SALIO PROGRAMA")</f>
        <v>#REF!</v>
      </c>
      <c r="I55" s="116" t="e">
        <f>COUNTIFS(#REF!,$B$4,#REF!,I6,Tabla1[GESTANTES ACTUALES],"SALIO PROGRAMA")</f>
        <v>#REF!</v>
      </c>
      <c r="J55" s="116" t="e">
        <f>COUNTIFS(#REF!,$B$4,#REF!,J6,Tabla1[GESTANTES ACTUALES],"SALIO PROGRAMA")</f>
        <v>#REF!</v>
      </c>
      <c r="K55" s="116" t="e">
        <f>COUNTIFS(#REF!,$B$4,#REF!,K6,Tabla1[GESTANTES ACTUALES],"SALIO PROGRAMA")</f>
        <v>#REF!</v>
      </c>
      <c r="L55" s="116" t="e">
        <f>COUNTIFS(#REF!,$B$4,#REF!,L6,Tabla1[GESTANTES ACTUALES],"SALIO PROGRAMA")</f>
        <v>#REF!</v>
      </c>
      <c r="M55" s="116" t="e">
        <f>COUNTIFS(#REF!,$B$4,#REF!,M6,Tabla1[GESTANTES ACTUALES],"SALIO PROGRAMA")</f>
        <v>#REF!</v>
      </c>
      <c r="N55" s="124" t="e">
        <f>SUM(B55:M55)</f>
        <v>#REF!</v>
      </c>
    </row>
    <row r="56" spans="1:14" ht="43.5" customHeight="1" thickBot="1" x14ac:dyDescent="0.3">
      <c r="A56" s="78" t="s">
        <v>739</v>
      </c>
      <c r="B56" s="68" t="e">
        <f>COUNTIFS(#REF!,$B$4,#REF!,B6,Tabla1[GESTANTES ACTUALES],"SALIO PROGRAMA",#REF!,"COMPLETO")</f>
        <v>#REF!</v>
      </c>
      <c r="C56" s="68" t="e">
        <f>COUNTIFS(#REF!,$B$4,#REF!,C6,Tabla1[GESTANTES ACTUALES],"SALIO PROGRAMA",#REF!,"COMPLETO")</f>
        <v>#REF!</v>
      </c>
      <c r="D56" s="68" t="e">
        <f>COUNTIFS(#REF!,$B$4,#REF!,D6,Tabla1[GESTANTES ACTUALES],"SALIO PROGRAMA",#REF!,"COMPLETO")</f>
        <v>#REF!</v>
      </c>
      <c r="E56" s="68" t="e">
        <f>COUNTIFS(#REF!,$B$4,#REF!,E6,Tabla1[GESTANTES ACTUALES],"SALIO PROGRAMA",#REF!,"COMPLETO")</f>
        <v>#REF!</v>
      </c>
      <c r="F56" s="68" t="e">
        <f>COUNTIFS(#REF!,$B$4,#REF!,F6,Tabla1[GESTANTES ACTUALES],"SALIO PROGRAMA",#REF!,"COMPLETO")</f>
        <v>#REF!</v>
      </c>
      <c r="G56" s="68" t="e">
        <f>COUNTIFS(#REF!,$B$4,#REF!,G6,Tabla1[GESTANTES ACTUALES],"SALIO PROGRAMA",#REF!,"COMPLETO")</f>
        <v>#REF!</v>
      </c>
      <c r="H56" s="68" t="e">
        <f>COUNTIFS(#REF!,$B$4,#REF!,H6,Tabla1[GESTANTES ACTUALES],"SALIO PROGRAMA",#REF!,"COMPLETO")</f>
        <v>#REF!</v>
      </c>
      <c r="I56" s="68" t="e">
        <f>COUNTIFS(#REF!,$B$4,#REF!,I6,Tabla1[GESTANTES ACTUALES],"SALIO PROGRAMA",#REF!,"COMPLETO")</f>
        <v>#REF!</v>
      </c>
      <c r="J56" s="68" t="e">
        <f>COUNTIFS(#REF!,$B$4,#REF!,J6,Tabla1[GESTANTES ACTUALES],"SALIO PROGRAMA",#REF!,"COMPLETO")</f>
        <v>#REF!</v>
      </c>
      <c r="K56" s="68" t="e">
        <f>COUNTIFS(#REF!,$B$4,#REF!,K6,Tabla1[GESTANTES ACTUALES],"SALIO PROGRAMA",#REF!,"COMPLETO")</f>
        <v>#REF!</v>
      </c>
      <c r="L56" s="68" t="e">
        <f>COUNTIFS(#REF!,$B$4,#REF!,L6,Tabla1[GESTANTES ACTUALES],"SALIO PROGRAMA",#REF!,"COMPLETO")</f>
        <v>#REF!</v>
      </c>
      <c r="M56" s="68" t="e">
        <f>COUNTIFS(#REF!,$B$4,#REF!,M6,Tabla1[GESTANTES ACTUALES],"SALIO PROGRAMA",#REF!,"COMPLETO")</f>
        <v>#REF!</v>
      </c>
      <c r="N56" s="68" t="e">
        <f t="shared" ref="N56" si="10">SUM(B56:M56)</f>
        <v>#REF!</v>
      </c>
    </row>
    <row r="57" spans="1:14" ht="37.5" customHeight="1" thickBot="1" x14ac:dyDescent="0.3">
      <c r="A57" s="185" t="s">
        <v>737</v>
      </c>
      <c r="B57" s="117" t="e">
        <f t="shared" ref="B57:N57" si="11">IF(B55=0,"",SUM(B56/B55))</f>
        <v>#REF!</v>
      </c>
      <c r="C57" s="118" t="e">
        <f t="shared" si="11"/>
        <v>#REF!</v>
      </c>
      <c r="D57" s="118" t="e">
        <f t="shared" si="11"/>
        <v>#REF!</v>
      </c>
      <c r="E57" s="118" t="e">
        <f t="shared" si="11"/>
        <v>#REF!</v>
      </c>
      <c r="F57" s="118" t="e">
        <f t="shared" si="11"/>
        <v>#REF!</v>
      </c>
      <c r="G57" s="118" t="e">
        <f t="shared" si="11"/>
        <v>#REF!</v>
      </c>
      <c r="H57" s="118" t="e">
        <f t="shared" si="11"/>
        <v>#REF!</v>
      </c>
      <c r="I57" s="118" t="e">
        <f t="shared" si="11"/>
        <v>#REF!</v>
      </c>
      <c r="J57" s="118" t="e">
        <f t="shared" si="11"/>
        <v>#REF!</v>
      </c>
      <c r="K57" s="118" t="e">
        <f t="shared" si="11"/>
        <v>#REF!</v>
      </c>
      <c r="L57" s="118" t="e">
        <f t="shared" si="11"/>
        <v>#REF!</v>
      </c>
      <c r="M57" s="118" t="e">
        <f t="shared" si="11"/>
        <v>#REF!</v>
      </c>
      <c r="N57" s="119" t="e">
        <f t="shared" si="11"/>
        <v>#REF!</v>
      </c>
    </row>
    <row r="58" spans="1:14" ht="53.25" customHeight="1" thickBot="1" x14ac:dyDescent="0.3">
      <c r="A58" s="78" t="s">
        <v>740</v>
      </c>
      <c r="B58" s="68" t="e">
        <f>COUNTIFS(#REF!,$B$4,#REF!,B6,Tabla1[GESTANTES ACTUALES],"SALIO PROGRAMA",#REF!,"COMPLETO")</f>
        <v>#REF!</v>
      </c>
      <c r="C58" s="68" t="e">
        <f>COUNTIFS(#REF!,$B$4,#REF!,C6,Tabla1[GESTANTES ACTUALES],"SALIO PROGRAMA",#REF!,"COMPLETO")</f>
        <v>#REF!</v>
      </c>
      <c r="D58" s="68" t="e">
        <f>COUNTIFS(#REF!,$B$4,#REF!,D6,Tabla1[GESTANTES ACTUALES],"SALIO PROGRAMA",#REF!,"COMPLETO")</f>
        <v>#REF!</v>
      </c>
      <c r="E58" s="68" t="e">
        <f>COUNTIFS(#REF!,$B$4,#REF!,E6,Tabla1[GESTANTES ACTUALES],"SALIO PROGRAMA",#REF!,"COMPLETO")</f>
        <v>#REF!</v>
      </c>
      <c r="F58" s="68" t="e">
        <f>COUNTIFS(#REF!,$B$4,#REF!,F6,Tabla1[GESTANTES ACTUALES],"SALIO PROGRAMA",#REF!,"COMPLETO")</f>
        <v>#REF!</v>
      </c>
      <c r="G58" s="68" t="e">
        <f>COUNTIFS(#REF!,$B$4,#REF!,G6,Tabla1[GESTANTES ACTUALES],"SALIO PROGRAMA",#REF!,"COMPLETO")</f>
        <v>#REF!</v>
      </c>
      <c r="H58" s="68" t="e">
        <f>COUNTIFS(#REF!,$B$4,#REF!,H6,Tabla1[GESTANTES ACTUALES],"SALIO PROGRAMA",#REF!,"COMPLETO")</f>
        <v>#REF!</v>
      </c>
      <c r="I58" s="68" t="e">
        <f>COUNTIFS(#REF!,$B$4,#REF!,I6,Tabla1[GESTANTES ACTUALES],"SALIO PROGRAMA",#REF!,"COMPLETO")</f>
        <v>#REF!</v>
      </c>
      <c r="J58" s="68" t="e">
        <f>COUNTIFS(#REF!,$B$4,#REF!,J6,Tabla1[GESTANTES ACTUALES],"SALIO PROGRAMA",#REF!,"COMPLETO")</f>
        <v>#REF!</v>
      </c>
      <c r="K58" s="68" t="e">
        <f>COUNTIFS(#REF!,$B$4,#REF!,K6,Tabla1[GESTANTES ACTUALES],"SALIO PROGRAMA",#REF!,"COMPLETO")</f>
        <v>#REF!</v>
      </c>
      <c r="L58" s="68" t="e">
        <f>COUNTIFS(#REF!,$B$4,#REF!,L6,Tabla1[GESTANTES ACTUALES],"SALIO PROGRAMA",#REF!,"COMPLETO")</f>
        <v>#REF!</v>
      </c>
      <c r="M58" s="68" t="e">
        <f>COUNTIFS(#REF!,$B$4,#REF!,M6,Tabla1[GESTANTES ACTUALES],"SALIO PROGRAMA",#REF!,"COMPLETO")</f>
        <v>#REF!</v>
      </c>
      <c r="N58" s="68" t="e">
        <f>SUM(B58:M58)</f>
        <v>#REF!</v>
      </c>
    </row>
    <row r="59" spans="1:14" ht="37.5" customHeight="1" thickBot="1" x14ac:dyDescent="0.3">
      <c r="A59" s="185" t="s">
        <v>741</v>
      </c>
      <c r="B59" s="117" t="e">
        <f t="shared" ref="B59:N59" si="12">IF(B55=0,"",SUM(B58/B55))</f>
        <v>#REF!</v>
      </c>
      <c r="C59" s="118" t="e">
        <f t="shared" si="12"/>
        <v>#REF!</v>
      </c>
      <c r="D59" s="118" t="e">
        <f t="shared" si="12"/>
        <v>#REF!</v>
      </c>
      <c r="E59" s="118" t="e">
        <f t="shared" si="12"/>
        <v>#REF!</v>
      </c>
      <c r="F59" s="118" t="e">
        <f t="shared" si="12"/>
        <v>#REF!</v>
      </c>
      <c r="G59" s="118" t="e">
        <f t="shared" si="12"/>
        <v>#REF!</v>
      </c>
      <c r="H59" s="118" t="e">
        <f t="shared" si="12"/>
        <v>#REF!</v>
      </c>
      <c r="I59" s="118" t="e">
        <f t="shared" si="12"/>
        <v>#REF!</v>
      </c>
      <c r="J59" s="118" t="e">
        <f t="shared" si="12"/>
        <v>#REF!</v>
      </c>
      <c r="K59" s="118" t="e">
        <f t="shared" si="12"/>
        <v>#REF!</v>
      </c>
      <c r="L59" s="118" t="e">
        <f t="shared" si="12"/>
        <v>#REF!</v>
      </c>
      <c r="M59" s="118" t="e">
        <f t="shared" si="12"/>
        <v>#REF!</v>
      </c>
      <c r="N59" s="119" t="e">
        <f t="shared" si="12"/>
        <v>#REF!</v>
      </c>
    </row>
    <row r="60" spans="1:14" ht="31.5" customHeight="1" thickBot="1" x14ac:dyDescent="0.3">
      <c r="A60" s="204" t="s">
        <v>699</v>
      </c>
      <c r="B60" s="116" t="e">
        <f>SUM(COUNTIFS(#REF!,B4,#REF!,B6,Tabla1[SALE DEL PROGRAMA POR],"PARTO",Tabla1[EDAD GESTACIONAL SALIDA PROGRAMA],"&gt;36",Tabla1[EDAD GESTACIONAL SALIDA PROGRAMA],"&lt;44"),COUNTIFS(#REF!,B4,#REF!,B6,Tabla1[SALE DEL PROGRAMA POR],"CESAREA",Tabla1[EDAD GESTACIONAL SALIDA PROGRAMA],"&gt;36",Tabla1[EDAD GESTACIONAL SALIDA PROGRAMA],"&lt;44"))</f>
        <v>#REF!</v>
      </c>
      <c r="C60" s="116" t="e">
        <f>SUM(COUNTIFS(#REF!,B4,#REF!,C6,Tabla1[SALE DEL PROGRAMA POR],"PARTO",Tabla1[EDAD GESTACIONAL SALIDA PROGRAMA],"&gt;36",Tabla1[EDAD GESTACIONAL SALIDA PROGRAMA],"&lt;44"),COUNTIFS(#REF!,B4,#REF!,C6,Tabla1[SALE DEL PROGRAMA POR],"CESAREA",Tabla1[EDAD GESTACIONAL SALIDA PROGRAMA],"&gt;36",Tabla1[EDAD GESTACIONAL SALIDA PROGRAMA],"&lt;44"))</f>
        <v>#REF!</v>
      </c>
      <c r="D60" s="116" t="e">
        <f>SUM(COUNTIFS(#REF!,B4,#REF!,D6,Tabla1[SALE DEL PROGRAMA POR],"PARTO",Tabla1[EDAD GESTACIONAL SALIDA PROGRAMA],"&gt;36",Tabla1[EDAD GESTACIONAL SALIDA PROGRAMA],"&lt;44"),COUNTIFS(#REF!,B4,#REF!,D6,Tabla1[SALE DEL PROGRAMA POR],"CESAREA",Tabla1[EDAD GESTACIONAL SALIDA PROGRAMA],"&gt;36",Tabla1[EDAD GESTACIONAL SALIDA PROGRAMA],"&lt;44"))</f>
        <v>#REF!</v>
      </c>
      <c r="E60" s="116" t="e">
        <f>SUM(COUNTIFS(#REF!,B4,#REF!,E6,Tabla1[SALE DEL PROGRAMA POR],"PARTO",Tabla1[EDAD GESTACIONAL SALIDA PROGRAMA],"&gt;36",Tabla1[EDAD GESTACIONAL SALIDA PROGRAMA],"&lt;44"),COUNTIFS(#REF!,B4,#REF!,E6,Tabla1[SALE DEL PROGRAMA POR],"CESAREA",Tabla1[EDAD GESTACIONAL SALIDA PROGRAMA],"&gt;36",Tabla1[EDAD GESTACIONAL SALIDA PROGRAMA],"&lt;44"))</f>
        <v>#REF!</v>
      </c>
      <c r="F60" s="116" t="e">
        <f>SUM(COUNTIFS(#REF!,B4,#REF!,F6,Tabla1[SALE DEL PROGRAMA POR],"PARTO",Tabla1[EDAD GESTACIONAL SALIDA PROGRAMA],"&gt;36",Tabla1[EDAD GESTACIONAL SALIDA PROGRAMA],"&lt;44"),COUNTIFS(#REF!,B4,#REF!,F6,Tabla1[SALE DEL PROGRAMA POR],"CESAREA",Tabla1[EDAD GESTACIONAL SALIDA PROGRAMA],"&gt;36",Tabla1[EDAD GESTACIONAL SALIDA PROGRAMA],"&lt;44"))</f>
        <v>#REF!</v>
      </c>
      <c r="G60" s="116" t="e">
        <f>SUM(COUNTIFS(#REF!,B4,#REF!,G6,Tabla1[SALE DEL PROGRAMA POR],"PARTO",Tabla1[EDAD GESTACIONAL SALIDA PROGRAMA],"&gt;36",Tabla1[EDAD GESTACIONAL SALIDA PROGRAMA],"&lt;44"),COUNTIFS(#REF!,B4,#REF!,G6,Tabla1[SALE DEL PROGRAMA POR],"CESAREA",Tabla1[EDAD GESTACIONAL SALIDA PROGRAMA],"&gt;36",Tabla1[EDAD GESTACIONAL SALIDA PROGRAMA],"&lt;44"))</f>
        <v>#REF!</v>
      </c>
      <c r="H60" s="116" t="e">
        <f>SUM(COUNTIFS(#REF!,B4,#REF!,H6,Tabla1[SALE DEL PROGRAMA POR],"PARTO",Tabla1[EDAD GESTACIONAL SALIDA PROGRAMA],"&gt;36",Tabla1[EDAD GESTACIONAL SALIDA PROGRAMA],"&lt;44"),COUNTIFS(#REF!,B4,#REF!,H6,Tabla1[SALE DEL PROGRAMA POR],"CESAREA",Tabla1[EDAD GESTACIONAL SALIDA PROGRAMA],"&gt;36",Tabla1[EDAD GESTACIONAL SALIDA PROGRAMA],"&lt;44"))</f>
        <v>#REF!</v>
      </c>
      <c r="I60" s="116" t="e">
        <f>SUM(COUNTIFS(#REF!,B4,#REF!,I6,Tabla1[SALE DEL PROGRAMA POR],"PARTO",Tabla1[EDAD GESTACIONAL SALIDA PROGRAMA],"&gt;36",Tabla1[EDAD GESTACIONAL SALIDA PROGRAMA],"&lt;44"),COUNTIFS(#REF!,B4,#REF!,I6,Tabla1[SALE DEL PROGRAMA POR],"CESAREA",Tabla1[EDAD GESTACIONAL SALIDA PROGRAMA],"&gt;36",Tabla1[EDAD GESTACIONAL SALIDA PROGRAMA],"&lt;44"))</f>
        <v>#REF!</v>
      </c>
      <c r="J60" s="116" t="e">
        <f>SUM(COUNTIFS(#REF!,B4,#REF!,J6,Tabla1[SALE DEL PROGRAMA POR],"PARTO",Tabla1[EDAD GESTACIONAL SALIDA PROGRAMA],"&gt;36",Tabla1[EDAD GESTACIONAL SALIDA PROGRAMA],"&lt;44"),COUNTIFS(#REF!,B4,#REF!,J6,Tabla1[SALE DEL PROGRAMA POR],"CESAREA",Tabla1[EDAD GESTACIONAL SALIDA PROGRAMA],"&gt;36",Tabla1[EDAD GESTACIONAL SALIDA PROGRAMA],"&lt;44"))</f>
        <v>#REF!</v>
      </c>
      <c r="K60" s="116" t="e">
        <f>SUM(COUNTIFS(#REF!,B4,#REF!,K6,Tabla1[SALE DEL PROGRAMA POR],"PARTO",Tabla1[EDAD GESTACIONAL SALIDA PROGRAMA],"&gt;36",Tabla1[EDAD GESTACIONAL SALIDA PROGRAMA],"&lt;44"),COUNTIFS(#REF!,B4,#REF!,K6,Tabla1[SALE DEL PROGRAMA POR],"CESAREA",Tabla1[EDAD GESTACIONAL SALIDA PROGRAMA],"&gt;36",Tabla1[EDAD GESTACIONAL SALIDA PROGRAMA],"&lt;44"))</f>
        <v>#REF!</v>
      </c>
      <c r="L60" s="116" t="e">
        <f>SUM(COUNTIFS(#REF!,B4,#REF!,L6,Tabla1[SALE DEL PROGRAMA POR],"PARTO",Tabla1[EDAD GESTACIONAL SALIDA PROGRAMA],"&gt;36",Tabla1[EDAD GESTACIONAL SALIDA PROGRAMA],"&lt;44"),COUNTIFS(#REF!,B4,#REF!,L6,Tabla1[SALE DEL PROGRAMA POR],"CESAREA",Tabla1[EDAD GESTACIONAL SALIDA PROGRAMA],"&gt;36",Tabla1[EDAD GESTACIONAL SALIDA PROGRAMA],"&lt;44"))</f>
        <v>#REF!</v>
      </c>
      <c r="M60" s="116" t="e">
        <f>SUM(COUNTIFS(#REF!,B4,#REF!,M6,Tabla1[SALE DEL PROGRAMA POR],"PARTO",Tabla1[EDAD GESTACIONAL SALIDA PROGRAMA],"&gt;36",Tabla1[EDAD GESTACIONAL SALIDA PROGRAMA],"&lt;44"),COUNTIFS(#REF!,B4,#REF!,M6,Tabla1[SALE DEL PROGRAMA POR],"CESAREA",Tabla1[EDAD GESTACIONAL SALIDA PROGRAMA],"&gt;36",Tabla1[EDAD GESTACIONAL SALIDA PROGRAMA],"&lt;44"))</f>
        <v>#REF!</v>
      </c>
      <c r="N60" s="125" t="e">
        <f>SUM(B60:M60)</f>
        <v>#REF!</v>
      </c>
    </row>
    <row r="61" spans="1:14" ht="39" customHeight="1" thickBot="1" x14ac:dyDescent="0.3">
      <c r="A61" s="192" t="s">
        <v>743</v>
      </c>
      <c r="B61" s="184" t="e">
        <f>SUM(COUNTIFS(#REF!,$B$4,#REF!,B6,Tabla1[SALE DEL PROGRAMA POR],"PARTO",Tabla1[EDAD GESTACIONAL SALIDA PROGRAMA],"&gt;36",Tabla1[EDAD GESTACIONAL SALIDA PROGRAMA],"&lt;44",Tabla1[FECHA CONSULTA DE 1RA VEZ POR ODONTOLOGIA],"&lt;&gt;"),COUNTIFS(#REF!,$B$4,#REF!,B6,Tabla1[SALE DEL PROGRAMA POR],"CESAREA",Tabla1[EDAD GESTACIONAL SALIDA PROGRAMA],"&gt;36",Tabla1[EDAD GESTACIONAL SALIDA PROGRAMA],"&lt;44",Tabla1[FECHA CONSULTA DE 1RA VEZ POR ODONTOLOGIA],"&lt;&gt;"))</f>
        <v>#REF!</v>
      </c>
      <c r="C61" s="184" t="e">
        <f>SUM(COUNTIFS(#REF!,$B$4,#REF!,C6,Tabla1[SALE DEL PROGRAMA POR],"PARTO",Tabla1[EDAD GESTACIONAL SALIDA PROGRAMA],"&gt;36",Tabla1[EDAD GESTACIONAL SALIDA PROGRAMA],"&lt;44",Tabla1[FECHA CONSULTA DE 1RA VEZ POR ODONTOLOGIA],"&lt;&gt;"),COUNTIFS(#REF!,$B$4,#REF!,C6,Tabla1[SALE DEL PROGRAMA POR],"CESAREA",Tabla1[EDAD GESTACIONAL SALIDA PROGRAMA],"&gt;36",Tabla1[EDAD GESTACIONAL SALIDA PROGRAMA],"&lt;44",Tabla1[FECHA CONSULTA DE 1RA VEZ POR ODONTOLOGIA],"&lt;&gt;"))</f>
        <v>#REF!</v>
      </c>
      <c r="D61" s="184" t="e">
        <f>SUM(COUNTIFS(#REF!,$B$4,#REF!,D6,Tabla1[SALE DEL PROGRAMA POR],"PARTO",Tabla1[EDAD GESTACIONAL SALIDA PROGRAMA],"&gt;36",Tabla1[EDAD GESTACIONAL SALIDA PROGRAMA],"&lt;44",Tabla1[FECHA CONSULTA DE 1RA VEZ POR ODONTOLOGIA],"&lt;&gt;"),COUNTIFS(#REF!,$B$4,#REF!,D6,Tabla1[SALE DEL PROGRAMA POR],"CESAREA",Tabla1[EDAD GESTACIONAL SALIDA PROGRAMA],"&gt;36",Tabla1[EDAD GESTACIONAL SALIDA PROGRAMA],"&lt;44",Tabla1[FECHA CONSULTA DE 1RA VEZ POR ODONTOLOGIA],"&lt;&gt;"))</f>
        <v>#REF!</v>
      </c>
      <c r="E61" s="184" t="e">
        <f>SUM(COUNTIFS(#REF!,$B$4,#REF!,E6,Tabla1[SALE DEL PROGRAMA POR],"PARTO",Tabla1[EDAD GESTACIONAL SALIDA PROGRAMA],"&gt;36",Tabla1[EDAD GESTACIONAL SALIDA PROGRAMA],"&lt;44",Tabla1[FECHA CONSULTA DE 1RA VEZ POR ODONTOLOGIA],"&lt;&gt;"),COUNTIFS(#REF!,$B$4,#REF!,E6,Tabla1[SALE DEL PROGRAMA POR],"CESAREA",Tabla1[EDAD GESTACIONAL SALIDA PROGRAMA],"&gt;36",Tabla1[EDAD GESTACIONAL SALIDA PROGRAMA],"&lt;44",Tabla1[FECHA CONSULTA DE 1RA VEZ POR ODONTOLOGIA],"&lt;&gt;"))</f>
        <v>#REF!</v>
      </c>
      <c r="F61" s="184" t="e">
        <f>SUM(COUNTIFS(#REF!,$B$4,#REF!,F6,Tabla1[SALE DEL PROGRAMA POR],"PARTO",Tabla1[EDAD GESTACIONAL SALIDA PROGRAMA],"&gt;36",Tabla1[EDAD GESTACIONAL SALIDA PROGRAMA],"&lt;44",Tabla1[FECHA CONSULTA DE 1RA VEZ POR ODONTOLOGIA],"&lt;&gt;"),COUNTIFS(#REF!,$B$4,#REF!,F6,Tabla1[SALE DEL PROGRAMA POR],"CESAREA",Tabla1[EDAD GESTACIONAL SALIDA PROGRAMA],"&gt;36",Tabla1[EDAD GESTACIONAL SALIDA PROGRAMA],"&lt;44",Tabla1[FECHA CONSULTA DE 1RA VEZ POR ODONTOLOGIA],"&lt;&gt;"))</f>
        <v>#REF!</v>
      </c>
      <c r="G61" s="184" t="e">
        <f>SUM(COUNTIFS(#REF!,$B$4,#REF!,G6,Tabla1[SALE DEL PROGRAMA POR],"PARTO",Tabla1[EDAD GESTACIONAL SALIDA PROGRAMA],"&gt;36",Tabla1[EDAD GESTACIONAL SALIDA PROGRAMA],"&lt;44",Tabla1[FECHA CONSULTA DE 1RA VEZ POR ODONTOLOGIA],"&lt;&gt;"),COUNTIFS(#REF!,$B$4,#REF!,G6,Tabla1[SALE DEL PROGRAMA POR],"CESAREA",Tabla1[EDAD GESTACIONAL SALIDA PROGRAMA],"&gt;36",Tabla1[EDAD GESTACIONAL SALIDA PROGRAMA],"&lt;44",Tabla1[FECHA CONSULTA DE 1RA VEZ POR ODONTOLOGIA],"&lt;&gt;"))</f>
        <v>#REF!</v>
      </c>
      <c r="H61" s="184" t="e">
        <f>SUM(COUNTIFS(#REF!,$B$4,#REF!,H6,Tabla1[SALE DEL PROGRAMA POR],"PARTO",Tabla1[EDAD GESTACIONAL SALIDA PROGRAMA],"&gt;36",Tabla1[EDAD GESTACIONAL SALIDA PROGRAMA],"&lt;44",Tabla1[FECHA CONSULTA DE 1RA VEZ POR ODONTOLOGIA],"&lt;&gt;"),COUNTIFS(#REF!,$B$4,#REF!,H6,Tabla1[SALE DEL PROGRAMA POR],"CESAREA",Tabla1[EDAD GESTACIONAL SALIDA PROGRAMA],"&gt;36",Tabla1[EDAD GESTACIONAL SALIDA PROGRAMA],"&lt;44",Tabla1[FECHA CONSULTA DE 1RA VEZ POR ODONTOLOGIA],"&lt;&gt;"))</f>
        <v>#REF!</v>
      </c>
      <c r="I61" s="184" t="e">
        <f>SUM(COUNTIFS(#REF!,$B$4,#REF!,I6,Tabla1[SALE DEL PROGRAMA POR],"PARTO",Tabla1[EDAD GESTACIONAL SALIDA PROGRAMA],"&gt;36",Tabla1[EDAD GESTACIONAL SALIDA PROGRAMA],"&lt;44",Tabla1[FECHA CONSULTA DE 1RA VEZ POR ODONTOLOGIA],"&lt;&gt;"),COUNTIFS(#REF!,$B$4,#REF!,I6,Tabla1[SALE DEL PROGRAMA POR],"CESAREA",Tabla1[EDAD GESTACIONAL SALIDA PROGRAMA],"&gt;36",Tabla1[EDAD GESTACIONAL SALIDA PROGRAMA],"&lt;44",Tabla1[FECHA CONSULTA DE 1RA VEZ POR ODONTOLOGIA],"&lt;&gt;"))</f>
        <v>#REF!</v>
      </c>
      <c r="J61" s="184" t="e">
        <f>SUM(COUNTIFS(#REF!,$B$4,#REF!,J6,Tabla1[SALE DEL PROGRAMA POR],"PARTO",Tabla1[EDAD GESTACIONAL SALIDA PROGRAMA],"&gt;36",Tabla1[EDAD GESTACIONAL SALIDA PROGRAMA],"&lt;44",Tabla1[FECHA CONSULTA DE 1RA VEZ POR ODONTOLOGIA],"&lt;&gt;"),COUNTIFS(#REF!,$B$4,#REF!,J6,Tabla1[SALE DEL PROGRAMA POR],"CESAREA",Tabla1[EDAD GESTACIONAL SALIDA PROGRAMA],"&gt;36",Tabla1[EDAD GESTACIONAL SALIDA PROGRAMA],"&lt;44",Tabla1[FECHA CONSULTA DE 1RA VEZ POR ODONTOLOGIA],"&lt;&gt;"))</f>
        <v>#REF!</v>
      </c>
      <c r="K61" s="184" t="e">
        <f>SUM(COUNTIFS(#REF!,$B$4,#REF!,K6,Tabla1[SALE DEL PROGRAMA POR],"PARTO",Tabla1[EDAD GESTACIONAL SALIDA PROGRAMA],"&gt;36",Tabla1[EDAD GESTACIONAL SALIDA PROGRAMA],"&lt;44",Tabla1[FECHA CONSULTA DE 1RA VEZ POR ODONTOLOGIA],"&lt;&gt;"),COUNTIFS(#REF!,$B$4,#REF!,K6,Tabla1[SALE DEL PROGRAMA POR],"CESAREA",Tabla1[EDAD GESTACIONAL SALIDA PROGRAMA],"&gt;36",Tabla1[EDAD GESTACIONAL SALIDA PROGRAMA],"&lt;44",Tabla1[FECHA CONSULTA DE 1RA VEZ POR ODONTOLOGIA],"&lt;&gt;"))</f>
        <v>#REF!</v>
      </c>
      <c r="L61" s="184" t="e">
        <f>SUM(COUNTIFS(#REF!,$B$4,#REF!,L6,Tabla1[SALE DEL PROGRAMA POR],"PARTO",Tabla1[EDAD GESTACIONAL SALIDA PROGRAMA],"&gt;36",Tabla1[EDAD GESTACIONAL SALIDA PROGRAMA],"&lt;44",Tabla1[FECHA CONSULTA DE 1RA VEZ POR ODONTOLOGIA],"&lt;&gt;"),COUNTIFS(#REF!,$B$4,#REF!,L6,Tabla1[SALE DEL PROGRAMA POR],"CESAREA",Tabla1[EDAD GESTACIONAL SALIDA PROGRAMA],"&gt;36",Tabla1[EDAD GESTACIONAL SALIDA PROGRAMA],"&lt;44",Tabla1[FECHA CONSULTA DE 1RA VEZ POR ODONTOLOGIA],"&lt;&gt;"))</f>
        <v>#REF!</v>
      </c>
      <c r="M61" s="184" t="e">
        <f>SUM(COUNTIFS(#REF!,$B$4,#REF!,M6,Tabla1[SALE DEL PROGRAMA POR],"PARTO",Tabla1[EDAD GESTACIONAL SALIDA PROGRAMA],"&gt;36",Tabla1[EDAD GESTACIONAL SALIDA PROGRAMA],"&lt;44",Tabla1[FECHA CONSULTA DE 1RA VEZ POR ODONTOLOGIA],"&lt;&gt;"),COUNTIFS(#REF!,$B$4,#REF!,M6,Tabla1[SALE DEL PROGRAMA POR],"CESAREA",Tabla1[EDAD GESTACIONAL SALIDA PROGRAMA],"&gt;36",Tabla1[EDAD GESTACIONAL SALIDA PROGRAMA],"&lt;44",Tabla1[FECHA CONSULTA DE 1RA VEZ POR ODONTOLOGIA],"&lt;&gt;"))</f>
        <v>#REF!</v>
      </c>
      <c r="N61" s="116" t="e">
        <f>SUM(B61:M61)</f>
        <v>#REF!</v>
      </c>
    </row>
    <row r="62" spans="1:14" ht="33.75" customHeight="1" thickBot="1" x14ac:dyDescent="0.3">
      <c r="A62" s="185" t="s">
        <v>709</v>
      </c>
      <c r="B62" s="117" t="e">
        <f t="shared" ref="B62:N62" si="13">IF(B$60=0,"",SUM(B61/B$60))</f>
        <v>#REF!</v>
      </c>
      <c r="C62" s="118" t="e">
        <f t="shared" si="13"/>
        <v>#REF!</v>
      </c>
      <c r="D62" s="118" t="e">
        <f t="shared" si="13"/>
        <v>#REF!</v>
      </c>
      <c r="E62" s="118" t="e">
        <f t="shared" si="13"/>
        <v>#REF!</v>
      </c>
      <c r="F62" s="118" t="e">
        <f t="shared" si="13"/>
        <v>#REF!</v>
      </c>
      <c r="G62" s="118" t="e">
        <f t="shared" si="13"/>
        <v>#REF!</v>
      </c>
      <c r="H62" s="118" t="e">
        <f t="shared" si="13"/>
        <v>#REF!</v>
      </c>
      <c r="I62" s="118" t="e">
        <f t="shared" si="13"/>
        <v>#REF!</v>
      </c>
      <c r="J62" s="118" t="e">
        <f t="shared" si="13"/>
        <v>#REF!</v>
      </c>
      <c r="K62" s="118" t="e">
        <f t="shared" si="13"/>
        <v>#REF!</v>
      </c>
      <c r="L62" s="118" t="e">
        <f t="shared" si="13"/>
        <v>#REF!</v>
      </c>
      <c r="M62" s="118" t="e">
        <f t="shared" si="13"/>
        <v>#REF!</v>
      </c>
      <c r="N62" s="119" t="e">
        <f t="shared" si="13"/>
        <v>#REF!</v>
      </c>
    </row>
    <row r="63" spans="1:14" ht="37.5" customHeight="1" thickBot="1" x14ac:dyDescent="0.3">
      <c r="A63" s="122" t="s">
        <v>700</v>
      </c>
      <c r="B63" s="116" t="e">
        <f>SUM(COUNTIFS(#REF!,B4,#REF!,B6,Tabla1[SALE DEL PROGRAMA POR],"PARTO",Tabla1[EDAD GESTACIONAL SALIDA PROGRAMA],"&gt;36",Tabla1[EDAD GESTACIONAL SALIDA PROGRAMA],"&lt;44",Tabla1[CURSO DE MATERNIDAD Y PATERNIDAD],"7"),COUNTIFS(#REF!,B4,#REF!,B6,Tabla1[SALE DEL PROGRAMA POR],"CESAREA",Tabla1[EDAD GESTACIONAL SALIDA PROGRAMA],"&gt;36",Tabla1[EDAD GESTACIONAL SALIDA PROGRAMA],"&lt;44",Tabla1[CURSO DE MATERNIDAD Y PATERNIDAD],"7"))</f>
        <v>#REF!</v>
      </c>
      <c r="C63" s="116" t="e">
        <f>SUM(COUNTIFS(#REF!,B4,#REF!,C6,Tabla1[SALE DEL PROGRAMA POR],"PARTO",Tabla1[EDAD GESTACIONAL SALIDA PROGRAMA],"&gt;36",Tabla1[EDAD GESTACIONAL SALIDA PROGRAMA],"&lt;44",Tabla1[CURSO DE MATERNIDAD Y PATERNIDAD],"7"),COUNTIFS(#REF!,B4,#REF!,C6,Tabla1[SALE DEL PROGRAMA POR],"CESAREA",Tabla1[EDAD GESTACIONAL SALIDA PROGRAMA],"&gt;36",Tabla1[EDAD GESTACIONAL SALIDA PROGRAMA],"&lt;44",Tabla1[CURSO DE MATERNIDAD Y PATERNIDAD],"7"))</f>
        <v>#REF!</v>
      </c>
      <c r="D63" s="116" t="e">
        <f>SUM(COUNTIFS(#REF!,B4,#REF!,D6,Tabla1[SALE DEL PROGRAMA POR],"PARTO",Tabla1[EDAD GESTACIONAL SALIDA PROGRAMA],"&gt;36",Tabla1[EDAD GESTACIONAL SALIDA PROGRAMA],"&lt;44",Tabla1[CURSO DE MATERNIDAD Y PATERNIDAD],"7"),COUNTIFS(#REF!,B4,#REF!,D6,Tabla1[SALE DEL PROGRAMA POR],"CESAREA",Tabla1[EDAD GESTACIONAL SALIDA PROGRAMA],"&gt;36",Tabla1[EDAD GESTACIONAL SALIDA PROGRAMA],"&lt;44",Tabla1[CURSO DE MATERNIDAD Y PATERNIDAD],"7"))</f>
        <v>#REF!</v>
      </c>
      <c r="E63" s="116" t="e">
        <f>SUM(COUNTIFS(#REF!,B4,#REF!,E6,Tabla1[SALE DEL PROGRAMA POR],"PARTO",Tabla1[EDAD GESTACIONAL SALIDA PROGRAMA],"&gt;36",Tabla1[EDAD GESTACIONAL SALIDA PROGRAMA],"&lt;44",Tabla1[CURSO DE MATERNIDAD Y PATERNIDAD],"7"),COUNTIFS(#REF!,B4,#REF!,E6,Tabla1[SALE DEL PROGRAMA POR],"CESAREA",Tabla1[EDAD GESTACIONAL SALIDA PROGRAMA],"&gt;36",Tabla1[EDAD GESTACIONAL SALIDA PROGRAMA],"&lt;44",Tabla1[CURSO DE MATERNIDAD Y PATERNIDAD],"7"))</f>
        <v>#REF!</v>
      </c>
      <c r="F63" s="116" t="e">
        <f>SUM(COUNTIFS(#REF!,B4,#REF!,F6,Tabla1[SALE DEL PROGRAMA POR],"PARTO",Tabla1[EDAD GESTACIONAL SALIDA PROGRAMA],"&gt;36",Tabla1[EDAD GESTACIONAL SALIDA PROGRAMA],"&lt;44",Tabla1[CURSO DE MATERNIDAD Y PATERNIDAD],"7"),COUNTIFS(#REF!,B4,#REF!,F6,Tabla1[SALE DEL PROGRAMA POR],"CESAREA",Tabla1[EDAD GESTACIONAL SALIDA PROGRAMA],"&gt;36",Tabla1[EDAD GESTACIONAL SALIDA PROGRAMA],"&lt;44",Tabla1[CURSO DE MATERNIDAD Y PATERNIDAD],"7"))</f>
        <v>#REF!</v>
      </c>
      <c r="G63" s="116" t="e">
        <f>SUM(COUNTIFS(#REF!,B4,#REF!,G6,Tabla1[SALE DEL PROGRAMA POR],"PARTO",Tabla1[EDAD GESTACIONAL SALIDA PROGRAMA],"&gt;36",Tabla1[EDAD GESTACIONAL SALIDA PROGRAMA],"&lt;44",Tabla1[CURSO DE MATERNIDAD Y PATERNIDAD],"7"),COUNTIFS(#REF!,B4,#REF!,G6,Tabla1[SALE DEL PROGRAMA POR],"CESAREA",Tabla1[EDAD GESTACIONAL SALIDA PROGRAMA],"&gt;36",Tabla1[EDAD GESTACIONAL SALIDA PROGRAMA],"&lt;44",Tabla1[CURSO DE MATERNIDAD Y PATERNIDAD],"7"))</f>
        <v>#REF!</v>
      </c>
      <c r="H63" s="116" t="e">
        <f>SUM(COUNTIFS(#REF!,B4,#REF!,H6,Tabla1[SALE DEL PROGRAMA POR],"PARTO",Tabla1[EDAD GESTACIONAL SALIDA PROGRAMA],"&gt;36",Tabla1[EDAD GESTACIONAL SALIDA PROGRAMA],"&lt;44",Tabla1[CURSO DE MATERNIDAD Y PATERNIDAD],"7"),COUNTIFS(#REF!,B4,#REF!,H6,Tabla1[SALE DEL PROGRAMA POR],"CESAREA",Tabla1[EDAD GESTACIONAL SALIDA PROGRAMA],"&gt;36",Tabla1[EDAD GESTACIONAL SALIDA PROGRAMA],"&lt;44",Tabla1[CURSO DE MATERNIDAD Y PATERNIDAD],"7"))</f>
        <v>#REF!</v>
      </c>
      <c r="I63" s="116" t="e">
        <f>SUM(COUNTIFS(#REF!,B4,#REF!,I6,Tabla1[SALE DEL PROGRAMA POR],"PARTO",Tabla1[EDAD GESTACIONAL SALIDA PROGRAMA],"&gt;36",Tabla1[EDAD GESTACIONAL SALIDA PROGRAMA],"&lt;44",Tabla1[CURSO DE MATERNIDAD Y PATERNIDAD],"7"),COUNTIFS(#REF!,B4,#REF!,I6,Tabla1[SALE DEL PROGRAMA POR],"CESAREA",Tabla1[EDAD GESTACIONAL SALIDA PROGRAMA],"&gt;36",Tabla1[EDAD GESTACIONAL SALIDA PROGRAMA],"&lt;44",Tabla1[CURSO DE MATERNIDAD Y PATERNIDAD],"7"))</f>
        <v>#REF!</v>
      </c>
      <c r="J63" s="116" t="e">
        <f>SUM(COUNTIFS(#REF!,B4,#REF!,J6,Tabla1[SALE DEL PROGRAMA POR],"PARTO",Tabla1[EDAD GESTACIONAL SALIDA PROGRAMA],"&gt;36",Tabla1[EDAD GESTACIONAL SALIDA PROGRAMA],"&lt;44",Tabla1[CURSO DE MATERNIDAD Y PATERNIDAD],"7"),COUNTIFS(#REF!,B4,#REF!,J6,Tabla1[SALE DEL PROGRAMA POR],"CESAREA",Tabla1[EDAD GESTACIONAL SALIDA PROGRAMA],"&gt;36",Tabla1[EDAD GESTACIONAL SALIDA PROGRAMA],"&lt;44",Tabla1[CURSO DE MATERNIDAD Y PATERNIDAD],"7"))</f>
        <v>#REF!</v>
      </c>
      <c r="K63" s="116" t="e">
        <f>SUM(COUNTIFS(#REF!,B4,#REF!,K6,Tabla1[SALE DEL PROGRAMA POR],"PARTO",Tabla1[EDAD GESTACIONAL SALIDA PROGRAMA],"&gt;36",Tabla1[EDAD GESTACIONAL SALIDA PROGRAMA],"&lt;44",Tabla1[CURSO DE MATERNIDAD Y PATERNIDAD],"7"),COUNTIFS(#REF!,B4,#REF!,K6,Tabla1[SALE DEL PROGRAMA POR],"CESAREA",Tabla1[EDAD GESTACIONAL SALIDA PROGRAMA],"&gt;36",Tabla1[EDAD GESTACIONAL SALIDA PROGRAMA],"&lt;44",Tabla1[CURSO DE MATERNIDAD Y PATERNIDAD],"7"))</f>
        <v>#REF!</v>
      </c>
      <c r="L63" s="116" t="e">
        <f>SUM(COUNTIFS(#REF!,B4,#REF!,L6,Tabla1[SALE DEL PROGRAMA POR],"PARTO",Tabla1[EDAD GESTACIONAL SALIDA PROGRAMA],"&gt;36",Tabla1[EDAD GESTACIONAL SALIDA PROGRAMA],"&lt;44",Tabla1[CURSO DE MATERNIDAD Y PATERNIDAD],"7"),COUNTIFS(#REF!,B4,#REF!,L6,Tabla1[SALE DEL PROGRAMA POR],"CESAREA",Tabla1[EDAD GESTACIONAL SALIDA PROGRAMA],"&gt;36",Tabla1[EDAD GESTACIONAL SALIDA PROGRAMA],"&lt;44",Tabla1[CURSO DE MATERNIDAD Y PATERNIDAD],"7"))</f>
        <v>#REF!</v>
      </c>
      <c r="M63" s="116" t="e">
        <f>SUM(COUNTIFS(#REF!,B4,#REF!,M6,Tabla1[SALE DEL PROGRAMA POR],"PARTO",Tabla1[EDAD GESTACIONAL SALIDA PROGRAMA],"&gt;36",Tabla1[EDAD GESTACIONAL SALIDA PROGRAMA],"&lt;44",Tabla1[CURSO DE MATERNIDAD Y PATERNIDAD],"7"),COUNTIFS(#REF!,B4,#REF!,M6,Tabla1[SALE DEL PROGRAMA POR],"CESAREA",Tabla1[EDAD GESTACIONAL SALIDA PROGRAMA],"&gt;36",Tabla1[EDAD GESTACIONAL SALIDA PROGRAMA],"&lt;44",Tabla1[CURSO DE MATERNIDAD Y PATERNIDAD],"7"))</f>
        <v>#REF!</v>
      </c>
      <c r="N63" s="125" t="e">
        <f>SUM(B63:M63)</f>
        <v>#REF!</v>
      </c>
    </row>
    <row r="64" spans="1:14" ht="50.25" customHeight="1" thickBot="1" x14ac:dyDescent="0.3">
      <c r="A64" s="177" t="s">
        <v>789</v>
      </c>
      <c r="B64" s="117" t="e">
        <f>IF($B$60=0,"",SUM(B63/$B$60))</f>
        <v>#REF!</v>
      </c>
      <c r="C64" s="118" t="e">
        <f t="shared" ref="C64:N64" si="14">IF(C$60=0,"",SUM(C63/C$60))</f>
        <v>#REF!</v>
      </c>
      <c r="D64" s="118" t="e">
        <f t="shared" si="14"/>
        <v>#REF!</v>
      </c>
      <c r="E64" s="118" t="e">
        <f t="shared" si="14"/>
        <v>#REF!</v>
      </c>
      <c r="F64" s="118" t="e">
        <f t="shared" si="14"/>
        <v>#REF!</v>
      </c>
      <c r="G64" s="118" t="e">
        <f t="shared" si="14"/>
        <v>#REF!</v>
      </c>
      <c r="H64" s="118" t="e">
        <f t="shared" si="14"/>
        <v>#REF!</v>
      </c>
      <c r="I64" s="118" t="e">
        <f t="shared" si="14"/>
        <v>#REF!</v>
      </c>
      <c r="J64" s="118" t="e">
        <f t="shared" si="14"/>
        <v>#REF!</v>
      </c>
      <c r="K64" s="118" t="e">
        <f t="shared" si="14"/>
        <v>#REF!</v>
      </c>
      <c r="L64" s="118" t="e">
        <f t="shared" si="14"/>
        <v>#REF!</v>
      </c>
      <c r="M64" s="118" t="e">
        <f t="shared" si="14"/>
        <v>#REF!</v>
      </c>
      <c r="N64" s="119" t="e">
        <f t="shared" si="14"/>
        <v>#REF!</v>
      </c>
    </row>
    <row r="65" spans="1:16" ht="37.5" customHeight="1" thickBot="1" x14ac:dyDescent="0.3">
      <c r="A65" s="122" t="s">
        <v>701</v>
      </c>
      <c r="B65" s="116" t="e">
        <f>SUM(COUNTIFS(#REF!,B4,#REF!,B6,Tabla1[SALE DEL PROGRAMA POR],"PARTO",Tabla1[ALERTA DE PLAN DE PARTO],"&gt;36",Tabla1[ALERTA DE PLAN DE PARTO],"&lt;44"),COUNTIFS(#REF!,B4,#REF!,B6,Tabla1[SALE DEL PROGRAMA POR],"CESAREA",Tabla1[ALERTA DE PLAN DE PARTO],"&gt;36",Tabla1[ALERTA DE PLAN DE PARTO],"&lt;44"))</f>
        <v>#REF!</v>
      </c>
      <c r="C65" s="116" t="e">
        <f>SUM(COUNTIFS(#REF!,B4,#REF!,C6,Tabla1[SALE DEL PROGRAMA POR],"PARTO",Tabla1[ALERTA DE PLAN DE PARTO],"&gt;36",Tabla1[ALERTA DE PLAN DE PARTO],"&lt;44"),COUNTIFS(#REF!,B4,#REF!,C6,Tabla1[SALE DEL PROGRAMA POR],"CESAREA",Tabla1[ALERTA DE PLAN DE PARTO],"&gt;36",Tabla1[ALERTA DE PLAN DE PARTO],"&lt;44"))</f>
        <v>#REF!</v>
      </c>
      <c r="D65" s="116" t="e">
        <f>SUM(COUNTIFS(#REF!,B4,#REF!,D6,Tabla1[SALE DEL PROGRAMA POR],"PARTO",Tabla1[ALERTA DE PLAN DE PARTO],"&gt;36",Tabla1[ALERTA DE PLAN DE PARTO],"&lt;44"),COUNTIFS(#REF!,B4,#REF!,D6,Tabla1[SALE DEL PROGRAMA POR],"CESAREA",Tabla1[ALERTA DE PLAN DE PARTO],"&gt;36",Tabla1[ALERTA DE PLAN DE PARTO],"&lt;44"))</f>
        <v>#REF!</v>
      </c>
      <c r="E65" s="116" t="e">
        <f>SUM(COUNTIFS(#REF!,B4,#REF!,E6,Tabla1[SALE DEL PROGRAMA POR],"PARTO",Tabla1[ALERTA DE PLAN DE PARTO],"&gt;36",Tabla1[ALERTA DE PLAN DE PARTO],"&lt;44"),COUNTIFS(#REF!,B4,#REF!,E6,Tabla1[SALE DEL PROGRAMA POR],"CESAREA",Tabla1[ALERTA DE PLAN DE PARTO],"&gt;36",Tabla1[ALERTA DE PLAN DE PARTO],"&lt;44"))</f>
        <v>#REF!</v>
      </c>
      <c r="F65" s="116" t="e">
        <f>SUM(COUNTIFS(#REF!,B4,#REF!,F6,Tabla1[SALE DEL PROGRAMA POR],"PARTO",Tabla1[ALERTA DE PLAN DE PARTO],"&gt;36",Tabla1[ALERTA DE PLAN DE PARTO],"&lt;44"),COUNTIFS(#REF!,B4,#REF!,F6,Tabla1[SALE DEL PROGRAMA POR],"CESAREA",Tabla1[ALERTA DE PLAN DE PARTO],"&gt;36",Tabla1[ALERTA DE PLAN DE PARTO],"&lt;44"))</f>
        <v>#REF!</v>
      </c>
      <c r="G65" s="116" t="e">
        <f>SUM(COUNTIFS(#REF!,B4,#REF!,G6,Tabla1[SALE DEL PROGRAMA POR],"PARTO",Tabla1[ALERTA DE PLAN DE PARTO],"&gt;36",Tabla1[ALERTA DE PLAN DE PARTO],"&lt;44"),COUNTIFS(#REF!,B4,#REF!,G6,Tabla1[SALE DEL PROGRAMA POR],"CESAREA",Tabla1[ALERTA DE PLAN DE PARTO],"&gt;36",Tabla1[ALERTA DE PLAN DE PARTO],"&lt;44"))</f>
        <v>#REF!</v>
      </c>
      <c r="H65" s="116" t="e">
        <f>SUM(COUNTIFS(#REF!,B4,#REF!,H6,Tabla1[SALE DEL PROGRAMA POR],"PARTO",Tabla1[ALERTA DE PLAN DE PARTO],"&gt;36",Tabla1[ALERTA DE PLAN DE PARTO],"&lt;44"),COUNTIFS(#REF!,B4,#REF!,H6,Tabla1[SALE DEL PROGRAMA POR],"CESAREA",Tabla1[ALERTA DE PLAN DE PARTO],"&gt;36",Tabla1[ALERTA DE PLAN DE PARTO],"&lt;44"))</f>
        <v>#REF!</v>
      </c>
      <c r="I65" s="116" t="e">
        <f>SUM(COUNTIFS(#REF!,B4,#REF!,I6,Tabla1[SALE DEL PROGRAMA POR],"PARTO",Tabla1[ALERTA DE PLAN DE PARTO],"&gt;36",Tabla1[ALERTA DE PLAN DE PARTO],"&lt;44"),COUNTIFS(#REF!,B4,#REF!,I6,Tabla1[SALE DEL PROGRAMA POR],"CESAREA",Tabla1[ALERTA DE PLAN DE PARTO],"&gt;36",Tabla1[ALERTA DE PLAN DE PARTO],"&lt;44"))</f>
        <v>#REF!</v>
      </c>
      <c r="J65" s="116" t="e">
        <f>SUM(COUNTIFS(#REF!,B4,#REF!,J6,Tabla1[SALE DEL PROGRAMA POR],"PARTO",Tabla1[ALERTA DE PLAN DE PARTO],"&gt;36",Tabla1[ALERTA DE PLAN DE PARTO],"&lt;44"),COUNTIFS(#REF!,B4,#REF!,J6,Tabla1[SALE DEL PROGRAMA POR],"CESAREA",Tabla1[ALERTA DE PLAN DE PARTO],"&gt;36",Tabla1[ALERTA DE PLAN DE PARTO],"&lt;44"))</f>
        <v>#REF!</v>
      </c>
      <c r="K65" s="116" t="e">
        <f>SUM(COUNTIFS(#REF!,B4,#REF!,K6,Tabla1[SALE DEL PROGRAMA POR],"PARTO",Tabla1[ALERTA DE PLAN DE PARTO],"&gt;36",Tabla1[ALERTA DE PLAN DE PARTO],"&lt;44"),COUNTIFS(#REF!,B4,#REF!,K6,Tabla1[SALE DEL PROGRAMA POR],"CESAREA",Tabla1[ALERTA DE PLAN DE PARTO],"&gt;36",Tabla1[ALERTA DE PLAN DE PARTO],"&lt;44"))</f>
        <v>#REF!</v>
      </c>
      <c r="L65" s="116" t="e">
        <f>SUM(COUNTIFS(#REF!,B4,#REF!,L6,Tabla1[SALE DEL PROGRAMA POR],"PARTO",Tabla1[ALERTA DE PLAN DE PARTO],"&gt;36",Tabla1[ALERTA DE PLAN DE PARTO],"&lt;44"),COUNTIFS(#REF!,B4,#REF!,L6,Tabla1[SALE DEL PROGRAMA POR],"CESAREA",Tabla1[ALERTA DE PLAN DE PARTO],"&gt;36",Tabla1[ALERTA DE PLAN DE PARTO],"&lt;44"))</f>
        <v>#REF!</v>
      </c>
      <c r="M65" s="116" t="e">
        <f>SUM(COUNTIFS(#REF!,B4,#REF!,M6,Tabla1[SALE DEL PROGRAMA POR],"PARTO",Tabla1[ALERTA DE PLAN DE PARTO],"&gt;36",Tabla1[ALERTA DE PLAN DE PARTO],"&lt;44"),COUNTIFS(#REF!,B4,#REF!,M6,Tabla1[SALE DEL PROGRAMA POR],"CESAREA",Tabla1[ALERTA DE PLAN DE PARTO],"&gt;36",Tabla1[ALERTA DE PLAN DE PARTO],"&lt;44"))</f>
        <v>#REF!</v>
      </c>
      <c r="N65" s="125" t="e">
        <f>SUM(B65:M65)</f>
        <v>#REF!</v>
      </c>
    </row>
    <row r="66" spans="1:16" ht="37.5" customHeight="1" thickBot="1" x14ac:dyDescent="0.3">
      <c r="A66" s="177" t="s">
        <v>788</v>
      </c>
      <c r="B66" s="117" t="e">
        <f t="shared" ref="B66:N66" si="15">IF(B$60=0,"",SUM(B65/B$60))</f>
        <v>#REF!</v>
      </c>
      <c r="C66" s="118" t="e">
        <f t="shared" si="15"/>
        <v>#REF!</v>
      </c>
      <c r="D66" s="118" t="e">
        <f t="shared" si="15"/>
        <v>#REF!</v>
      </c>
      <c r="E66" s="118" t="e">
        <f t="shared" si="15"/>
        <v>#REF!</v>
      </c>
      <c r="F66" s="118" t="e">
        <f t="shared" si="15"/>
        <v>#REF!</v>
      </c>
      <c r="G66" s="118" t="e">
        <f t="shared" si="15"/>
        <v>#REF!</v>
      </c>
      <c r="H66" s="118" t="e">
        <f t="shared" si="15"/>
        <v>#REF!</v>
      </c>
      <c r="I66" s="118" t="e">
        <f t="shared" si="15"/>
        <v>#REF!</v>
      </c>
      <c r="J66" s="118" t="e">
        <f t="shared" si="15"/>
        <v>#REF!</v>
      </c>
      <c r="K66" s="118" t="e">
        <f t="shared" si="15"/>
        <v>#REF!</v>
      </c>
      <c r="L66" s="118" t="e">
        <f t="shared" si="15"/>
        <v>#REF!</v>
      </c>
      <c r="M66" s="118" t="e">
        <f t="shared" si="15"/>
        <v>#REF!</v>
      </c>
      <c r="N66" s="119" t="e">
        <f t="shared" si="15"/>
        <v>#REF!</v>
      </c>
    </row>
    <row r="67" spans="1:16" ht="51" customHeight="1" thickBot="1" x14ac:dyDescent="0.3">
      <c r="A67" s="122" t="s">
        <v>793</v>
      </c>
      <c r="B67" s="116" t="e">
        <f>SUM(COUNTIFS(#REF!,$B$4,#REF!,B6,Tabla1[SALE DEL PROGRAMA POR],"PARTO",Tabla1[FECHA ASESORIA EN LACTANCIA MATERNA DURANTE CPN],"&lt;&gt;"),COUNTIFS(#REF!,$B$4,#REF!,B6,Tabla1[SALE DEL PROGRAMA POR],"CESAREA",Tabla1[FECHA ASESORIA EN LACTANCIA MATERNA DURANTE CPN],"&lt;&gt;"))</f>
        <v>#REF!</v>
      </c>
      <c r="C67" s="116" t="e">
        <f>SUM(COUNTIFS(#REF!,$B$4,#REF!,C6,Tabla1[SALE DEL PROGRAMA POR],"PARTO",Tabla1[FECHA ASESORIA EN LACTANCIA MATERNA DURANTE CPN],"&lt;&gt;"),COUNTIFS(#REF!,$B$4,#REF!,C6,Tabla1[SALE DEL PROGRAMA POR],"CESAREA",Tabla1[FECHA ASESORIA EN LACTANCIA MATERNA DURANTE CPN],"&lt;&gt;"))</f>
        <v>#REF!</v>
      </c>
      <c r="D67" s="116" t="e">
        <f>SUM(COUNTIFS(#REF!,$B$4,#REF!,D6,Tabla1[SALE DEL PROGRAMA POR],"PARTO",Tabla1[FECHA ASESORIA EN LACTANCIA MATERNA DURANTE CPN],"&lt;&gt;"),COUNTIFS(#REF!,$B$4,#REF!,D6,Tabla1[SALE DEL PROGRAMA POR],"CESAREA",Tabla1[FECHA ASESORIA EN LACTANCIA MATERNA DURANTE CPN],"&lt;&gt;"))</f>
        <v>#REF!</v>
      </c>
      <c r="E67" s="116" t="e">
        <f>SUM(COUNTIFS(#REF!,$B$4,#REF!,E6,Tabla1[SALE DEL PROGRAMA POR],"PARTO",Tabla1[FECHA ASESORIA EN LACTANCIA MATERNA DURANTE CPN],"&lt;&gt;"),COUNTIFS(#REF!,$B$4,#REF!,E6,Tabla1[SALE DEL PROGRAMA POR],"CESAREA",Tabla1[FECHA ASESORIA EN LACTANCIA MATERNA DURANTE CPN],"&lt;&gt;"))</f>
        <v>#REF!</v>
      </c>
      <c r="F67" s="116" t="e">
        <f>SUM(COUNTIFS(#REF!,$B$4,#REF!,F6,Tabla1[SALE DEL PROGRAMA POR],"PARTO",Tabla1[FECHA ASESORIA EN LACTANCIA MATERNA DURANTE CPN],"&lt;&gt;"),COUNTIFS(#REF!,$B$4,#REF!,F6,Tabla1[SALE DEL PROGRAMA POR],"CESAREA",Tabla1[FECHA ASESORIA EN LACTANCIA MATERNA DURANTE CPN],"&lt;&gt;"))</f>
        <v>#REF!</v>
      </c>
      <c r="G67" s="116" t="e">
        <f>SUM(COUNTIFS(#REF!,$B$4,#REF!,G6,Tabla1[SALE DEL PROGRAMA POR],"PARTO",Tabla1[FECHA ASESORIA EN LACTANCIA MATERNA DURANTE CPN],"&lt;&gt;"),COUNTIFS(#REF!,$B$4,#REF!,G6,Tabla1[SALE DEL PROGRAMA POR],"CESAREA",Tabla1[FECHA ASESORIA EN LACTANCIA MATERNA DURANTE CPN],"&lt;&gt;"))</f>
        <v>#REF!</v>
      </c>
      <c r="H67" s="116" t="e">
        <f>SUM(COUNTIFS(#REF!,$B$4,#REF!,H6,Tabla1[SALE DEL PROGRAMA POR],"PARTO",Tabla1[FECHA ASESORIA EN LACTANCIA MATERNA DURANTE CPN],"&lt;&gt;"),COUNTIFS(#REF!,$B$4,#REF!,H6,Tabla1[SALE DEL PROGRAMA POR],"CESAREA",Tabla1[FECHA ASESORIA EN LACTANCIA MATERNA DURANTE CPN],"&lt;&gt;"))</f>
        <v>#REF!</v>
      </c>
      <c r="I67" s="116" t="e">
        <f>SUM(COUNTIFS(#REF!,$B$4,#REF!,I6,Tabla1[SALE DEL PROGRAMA POR],"PARTO",Tabla1[FECHA ASESORIA EN LACTANCIA MATERNA DURANTE CPN],"&lt;&gt;"),COUNTIFS(#REF!,$B$4,#REF!,I6,Tabla1[SALE DEL PROGRAMA POR],"CESAREA",Tabla1[FECHA ASESORIA EN LACTANCIA MATERNA DURANTE CPN],"&lt;&gt;"))</f>
        <v>#REF!</v>
      </c>
      <c r="J67" s="116" t="e">
        <f>SUM(COUNTIFS(#REF!,$B$4,#REF!,J6,Tabla1[SALE DEL PROGRAMA POR],"PARTO",Tabla1[FECHA ASESORIA EN LACTANCIA MATERNA DURANTE CPN],"&lt;&gt;"),COUNTIFS(#REF!,$B$4,#REF!,J6,Tabla1[SALE DEL PROGRAMA POR],"CESAREA",Tabla1[FECHA ASESORIA EN LACTANCIA MATERNA DURANTE CPN],"&lt;&gt;"))</f>
        <v>#REF!</v>
      </c>
      <c r="K67" s="116" t="e">
        <f>SUM(COUNTIFS(#REF!,$B$4,#REF!,K6,Tabla1[SALE DEL PROGRAMA POR],"PARTO",Tabla1[FECHA ASESORIA EN LACTANCIA MATERNA DURANTE CPN],"&lt;&gt;"),COUNTIFS(#REF!,$B$4,#REF!,K6,Tabla1[SALE DEL PROGRAMA POR],"CESAREA",Tabla1[FECHA ASESORIA EN LACTANCIA MATERNA DURANTE CPN],"&lt;&gt;"))</f>
        <v>#REF!</v>
      </c>
      <c r="L67" s="116" t="e">
        <f>SUM(COUNTIFS(#REF!,$B$4,#REF!,L6,Tabla1[SALE DEL PROGRAMA POR],"PARTO",Tabla1[FECHA ASESORIA EN LACTANCIA MATERNA DURANTE CPN],"&lt;&gt;"),COUNTIFS(#REF!,$B$4,#REF!,L6,Tabla1[SALE DEL PROGRAMA POR],"CESAREA",Tabla1[FECHA ASESORIA EN LACTANCIA MATERNA DURANTE CPN],"&lt;&gt;"))</f>
        <v>#REF!</v>
      </c>
      <c r="M67" s="116" t="e">
        <f>SUM(COUNTIFS(#REF!,$B$4,#REF!,M6,Tabla1[SALE DEL PROGRAMA POR],"PARTO",Tabla1[FECHA ASESORIA EN LACTANCIA MATERNA DURANTE CPN],"&lt;&gt;"),COUNTIFS(#REF!,$B$4,#REF!,M6,Tabla1[SALE DEL PROGRAMA POR],"CESAREA",Tabla1[FECHA ASESORIA EN LACTANCIA MATERNA DURANTE CPN],"&lt;&gt;"))</f>
        <v>#REF!</v>
      </c>
      <c r="N67" s="125" t="e">
        <f>SUM(B67:M67)</f>
        <v>#REF!</v>
      </c>
    </row>
    <row r="68" spans="1:16" ht="37.5" customHeight="1" thickBot="1" x14ac:dyDescent="0.3">
      <c r="A68" s="177" t="s">
        <v>794</v>
      </c>
      <c r="B68" s="117" t="e">
        <f t="shared" ref="B68:N68" si="16">IF(B$91=0,"",SUM(B67/B$91))</f>
        <v>#REF!</v>
      </c>
      <c r="C68" s="118" t="e">
        <f t="shared" si="16"/>
        <v>#REF!</v>
      </c>
      <c r="D68" s="118" t="e">
        <f t="shared" si="16"/>
        <v>#REF!</v>
      </c>
      <c r="E68" s="118" t="e">
        <f t="shared" si="16"/>
        <v>#REF!</v>
      </c>
      <c r="F68" s="118" t="e">
        <f t="shared" si="16"/>
        <v>#REF!</v>
      </c>
      <c r="G68" s="118" t="e">
        <f t="shared" si="16"/>
        <v>#REF!</v>
      </c>
      <c r="H68" s="118" t="e">
        <f t="shared" si="16"/>
        <v>#REF!</v>
      </c>
      <c r="I68" s="118" t="e">
        <f t="shared" si="16"/>
        <v>#REF!</v>
      </c>
      <c r="J68" s="118" t="e">
        <f t="shared" si="16"/>
        <v>#REF!</v>
      </c>
      <c r="K68" s="118" t="e">
        <f t="shared" si="16"/>
        <v>#REF!</v>
      </c>
      <c r="L68" s="118" t="e">
        <f t="shared" si="16"/>
        <v>#REF!</v>
      </c>
      <c r="M68" s="118" t="e">
        <f t="shared" si="16"/>
        <v>#REF!</v>
      </c>
      <c r="N68" s="118" t="e">
        <f t="shared" si="16"/>
        <v>#REF!</v>
      </c>
    </row>
    <row r="69" spans="1:16" ht="37.5" customHeight="1" thickBot="1" x14ac:dyDescent="0.3">
      <c r="A69" s="122" t="s">
        <v>792</v>
      </c>
      <c r="B69" s="116" t="e">
        <f>SUM(COUNTIFS(#REF!,$B$4,#REF!,B6,Tabla1[SALE DEL PROGRAMA POR],"PARTO",Tabla1[FECHA ASESORIA EN ANTICONCEPCION DURANTE CPN],"&lt;&gt;"),COUNTIFS(#REF!,$B$4,#REF!,B6,Tabla1[SALE DEL PROGRAMA POR],"CESAREA",Tabla1[FECHA ASESORIA EN ANTICONCEPCION DURANTE CPN],"&lt;&gt;"))</f>
        <v>#REF!</v>
      </c>
      <c r="C69" s="116" t="e">
        <f>SUM(COUNTIFS(#REF!,$B$4,#REF!,C6,Tabla1[SALE DEL PROGRAMA POR],"PARTO",Tabla1[FECHA ASESORIA EN ANTICONCEPCION DURANTE CPN],"&lt;&gt;"),COUNTIFS(#REF!,$B$4,#REF!,C6,Tabla1[SALE DEL PROGRAMA POR],"CESAREA",Tabla1[FECHA ASESORIA EN ANTICONCEPCION DURANTE CPN],"&lt;&gt;"))</f>
        <v>#REF!</v>
      </c>
      <c r="D69" s="116" t="e">
        <f>SUM(COUNTIFS(#REF!,$B$4,#REF!,D6,Tabla1[SALE DEL PROGRAMA POR],"PARTO",Tabla1[FECHA ASESORIA EN ANTICONCEPCION DURANTE CPN],"&lt;&gt;"),COUNTIFS(#REF!,$B$4,#REF!,D6,Tabla1[SALE DEL PROGRAMA POR],"CESAREA",Tabla1[FECHA ASESORIA EN ANTICONCEPCION DURANTE CPN],"&lt;&gt;"))</f>
        <v>#REF!</v>
      </c>
      <c r="E69" s="116" t="e">
        <f>SUM(COUNTIFS(#REF!,$B$4,#REF!,E6,Tabla1[SALE DEL PROGRAMA POR],"PARTO",Tabla1[FECHA ASESORIA EN ANTICONCEPCION DURANTE CPN],"&lt;&gt;"),COUNTIFS(#REF!,$B$4,#REF!,E6,Tabla1[SALE DEL PROGRAMA POR],"CESAREA",Tabla1[FECHA ASESORIA EN ANTICONCEPCION DURANTE CPN],"&lt;&gt;"))</f>
        <v>#REF!</v>
      </c>
      <c r="F69" s="116" t="e">
        <f>SUM(COUNTIFS(#REF!,$B$4,#REF!,F6,Tabla1[SALE DEL PROGRAMA POR],"PARTO",Tabla1[FECHA ASESORIA EN ANTICONCEPCION DURANTE CPN],"&lt;&gt;"),COUNTIFS(#REF!,$B$4,#REF!,F6,Tabla1[SALE DEL PROGRAMA POR],"CESAREA",Tabla1[FECHA ASESORIA EN ANTICONCEPCION DURANTE CPN],"&lt;&gt;"))</f>
        <v>#REF!</v>
      </c>
      <c r="G69" s="116" t="e">
        <f>SUM(COUNTIFS(#REF!,$B$4,#REF!,G6,Tabla1[SALE DEL PROGRAMA POR],"PARTO",Tabla1[FECHA ASESORIA EN ANTICONCEPCION DURANTE CPN],"&lt;&gt;"),COUNTIFS(#REF!,$B$4,#REF!,G6,Tabla1[SALE DEL PROGRAMA POR],"CESAREA",Tabla1[FECHA ASESORIA EN ANTICONCEPCION DURANTE CPN],"&lt;&gt;"))</f>
        <v>#REF!</v>
      </c>
      <c r="H69" s="116" t="e">
        <f>SUM(COUNTIFS(#REF!,$B$4,#REF!,H6,Tabla1[SALE DEL PROGRAMA POR],"PARTO",Tabla1[FECHA ASESORIA EN ANTICONCEPCION DURANTE CPN],"&lt;&gt;"),COUNTIFS(#REF!,$B$4,#REF!,H6,Tabla1[SALE DEL PROGRAMA POR],"CESAREA",Tabla1[FECHA ASESORIA EN ANTICONCEPCION DURANTE CPN],"&lt;&gt;"))</f>
        <v>#REF!</v>
      </c>
      <c r="I69" s="116" t="e">
        <f>SUM(COUNTIFS(#REF!,$B$4,#REF!,I6,Tabla1[SALE DEL PROGRAMA POR],"PARTO",Tabla1[FECHA ASESORIA EN ANTICONCEPCION DURANTE CPN],"&lt;&gt;"),COUNTIFS(#REF!,$B$4,#REF!,I6,Tabla1[SALE DEL PROGRAMA POR],"CESAREA",Tabla1[FECHA ASESORIA EN ANTICONCEPCION DURANTE CPN],"&lt;&gt;"))</f>
        <v>#REF!</v>
      </c>
      <c r="J69" s="116" t="e">
        <f>SUM(COUNTIFS(#REF!,$B$4,#REF!,J6,Tabla1[SALE DEL PROGRAMA POR],"PARTO",Tabla1[FECHA ASESORIA EN ANTICONCEPCION DURANTE CPN],"&lt;&gt;"),COUNTIFS(#REF!,$B$4,#REF!,J6,Tabla1[SALE DEL PROGRAMA POR],"CESAREA",Tabla1[FECHA ASESORIA EN ANTICONCEPCION DURANTE CPN],"&lt;&gt;"))</f>
        <v>#REF!</v>
      </c>
      <c r="K69" s="116" t="e">
        <f>SUM(COUNTIFS(#REF!,$B$4,#REF!,K6,Tabla1[SALE DEL PROGRAMA POR],"PARTO",Tabla1[FECHA ASESORIA EN ANTICONCEPCION DURANTE CPN],"&lt;&gt;"),COUNTIFS(#REF!,$B$4,#REF!,K6,Tabla1[SALE DEL PROGRAMA POR],"CESAREA",Tabla1[FECHA ASESORIA EN ANTICONCEPCION DURANTE CPN],"&lt;&gt;"))</f>
        <v>#REF!</v>
      </c>
      <c r="L69" s="116" t="e">
        <f>SUM(COUNTIFS(#REF!,$B$4,#REF!,L6,Tabla1[SALE DEL PROGRAMA POR],"PARTO",Tabla1[FECHA ASESORIA EN ANTICONCEPCION DURANTE CPN],"&lt;&gt;"),COUNTIFS(#REF!,$B$4,#REF!,L6,Tabla1[SALE DEL PROGRAMA POR],"CESAREA",Tabla1[FECHA ASESORIA EN ANTICONCEPCION DURANTE CPN],"&lt;&gt;"))</f>
        <v>#REF!</v>
      </c>
      <c r="M69" s="116" t="e">
        <f>SUM(COUNTIFS(#REF!,$B$4,#REF!,M6,Tabla1[SALE DEL PROGRAMA POR],"PARTO",Tabla1[FECHA ASESORIA EN ANTICONCEPCION DURANTE CPN],"&lt;&gt;"),COUNTIFS(#REF!,$B$4,#REF!,M6,Tabla1[SALE DEL PROGRAMA POR],"CESAREA",Tabla1[FECHA ASESORIA EN ANTICONCEPCION DURANTE CPN],"&lt;&gt;"))</f>
        <v>#REF!</v>
      </c>
      <c r="N69" s="116" t="e">
        <f>SUM(B69:M69)</f>
        <v>#REF!</v>
      </c>
    </row>
    <row r="70" spans="1:16" ht="37.5" customHeight="1" thickBot="1" x14ac:dyDescent="0.3">
      <c r="A70" s="177" t="s">
        <v>757</v>
      </c>
      <c r="B70" s="117" t="e">
        <f t="shared" ref="B70:N70" si="17">IF(B$91=0,"",SUM(B69/B$91))</f>
        <v>#REF!</v>
      </c>
      <c r="C70" s="118" t="e">
        <f t="shared" si="17"/>
        <v>#REF!</v>
      </c>
      <c r="D70" s="118" t="e">
        <f t="shared" si="17"/>
        <v>#REF!</v>
      </c>
      <c r="E70" s="118" t="e">
        <f t="shared" si="17"/>
        <v>#REF!</v>
      </c>
      <c r="F70" s="118" t="e">
        <f t="shared" si="17"/>
        <v>#REF!</v>
      </c>
      <c r="G70" s="118" t="e">
        <f t="shared" si="17"/>
        <v>#REF!</v>
      </c>
      <c r="H70" s="118" t="e">
        <f t="shared" si="17"/>
        <v>#REF!</v>
      </c>
      <c r="I70" s="118" t="e">
        <f t="shared" si="17"/>
        <v>#REF!</v>
      </c>
      <c r="J70" s="118" t="e">
        <f t="shared" si="17"/>
        <v>#REF!</v>
      </c>
      <c r="K70" s="118" t="e">
        <f t="shared" si="17"/>
        <v>#REF!</v>
      </c>
      <c r="L70" s="118" t="e">
        <f t="shared" si="17"/>
        <v>#REF!</v>
      </c>
      <c r="M70" s="118" t="e">
        <f t="shared" si="17"/>
        <v>#REF!</v>
      </c>
      <c r="N70" s="118" t="e">
        <f t="shared" si="17"/>
        <v>#REF!</v>
      </c>
    </row>
    <row r="71" spans="1:16" ht="40.5" customHeight="1" thickBot="1" x14ac:dyDescent="0.3">
      <c r="A71" s="192" t="s">
        <v>761</v>
      </c>
      <c r="B71" s="184" t="e">
        <f>SUM(COUNTIFS(#REF!,$B$4,#REF!,B6,Tabla1[SALE DEL PROGRAMA POR],"PARTO",#REF!,"COMPLETO"),COUNTIFS(#REF!,$B$4,#REF!,B6,Tabla1[SALE DEL PROGRAMA POR],"CESAREA",#REF!,"COMPLETO"))</f>
        <v>#REF!</v>
      </c>
      <c r="C71" s="184" t="e">
        <f>SUM(COUNTIFS(#REF!,$B$4,#REF!,C6,Tabla1[SALE DEL PROGRAMA POR],"PARTO",#REF!,"COMPLETO"),COUNTIFS(#REF!,$B$4,#REF!,C6,Tabla1[SALE DEL PROGRAMA POR],"CESAREA",#REF!,"COMPLETO"))</f>
        <v>#REF!</v>
      </c>
      <c r="D71" s="184" t="e">
        <f>SUM(COUNTIFS(#REF!,$B$4,#REF!,D6,Tabla1[SALE DEL PROGRAMA POR],"PARTO",#REF!,"COMPLETO"),COUNTIFS(#REF!,$B$4,#REF!,D6,Tabla1[SALE DEL PROGRAMA POR],"CESAREA",#REF!,"COMPLETO"))</f>
        <v>#REF!</v>
      </c>
      <c r="E71" s="184" t="e">
        <f>SUM(COUNTIFS(#REF!,$B$4,#REF!,E6,Tabla1[SALE DEL PROGRAMA POR],"PARTO",#REF!,"COMPLETO"),COUNTIFS(#REF!,$B$4,#REF!,E6,Tabla1[SALE DEL PROGRAMA POR],"CESAREA",#REF!,"COMPLETO"))</f>
        <v>#REF!</v>
      </c>
      <c r="F71" s="184" t="e">
        <f>SUM(COUNTIFS(#REF!,$B$4,#REF!,F6,Tabla1[SALE DEL PROGRAMA POR],"PARTO",#REF!,"COMPLETO"),COUNTIFS(#REF!,$B$4,#REF!,F6,Tabla1[SALE DEL PROGRAMA POR],"CESAREA",#REF!,"COMPLETO"))</f>
        <v>#REF!</v>
      </c>
      <c r="G71" s="184" t="e">
        <f>SUM(COUNTIFS(#REF!,$B$4,#REF!,G6,Tabla1[SALE DEL PROGRAMA POR],"PARTO",#REF!,"COMPLETO"),COUNTIFS(#REF!,$B$4,#REF!,G6,Tabla1[SALE DEL PROGRAMA POR],"CESAREA",#REF!,"COMPLETO"))</f>
        <v>#REF!</v>
      </c>
      <c r="H71" s="184" t="e">
        <f>SUM(COUNTIFS(#REF!,$B$4,#REF!,H6,Tabla1[SALE DEL PROGRAMA POR],"PARTO",#REF!,"COMPLETO"),COUNTIFS(#REF!,$B$4,#REF!,H6,Tabla1[SALE DEL PROGRAMA POR],"CESAREA",#REF!,"COMPLETO"))</f>
        <v>#REF!</v>
      </c>
      <c r="I71" s="184" t="e">
        <f>SUM(COUNTIFS(#REF!,$B$4,#REF!,I6,Tabla1[SALE DEL PROGRAMA POR],"PARTO",#REF!,"COMPLETO"),COUNTIFS(#REF!,$B$4,#REF!,I6,Tabla1[SALE DEL PROGRAMA POR],"CESAREA",#REF!,"COMPLETO"))</f>
        <v>#REF!</v>
      </c>
      <c r="J71" s="184" t="e">
        <f>SUM(COUNTIFS(#REF!,$B$4,#REF!,J6,Tabla1[SALE DEL PROGRAMA POR],"PARTO",#REF!,"COMPLETO"),COUNTIFS(#REF!,$B$4,#REF!,J6,Tabla1[SALE DEL PROGRAMA POR],"CESAREA",#REF!,"COMPLETO"))</f>
        <v>#REF!</v>
      </c>
      <c r="K71" s="184" t="e">
        <f>SUM(COUNTIFS(#REF!,$B$4,#REF!,K6,Tabla1[SALE DEL PROGRAMA POR],"PARTO",#REF!,"COMPLETO"),COUNTIFS(#REF!,$B$4,#REF!,K6,Tabla1[SALE DEL PROGRAMA POR],"CESAREA",#REF!,"COMPLETO"))</f>
        <v>#REF!</v>
      </c>
      <c r="L71" s="184" t="e">
        <f>SUM(COUNTIFS(#REF!,$B$4,#REF!,L6,Tabla1[SALE DEL PROGRAMA POR],"PARTO",#REF!,"COMPLETO"),COUNTIFS(#REF!,$B$4,#REF!,L6,Tabla1[SALE DEL PROGRAMA POR],"CESAREA",#REF!,"COMPLETO"))</f>
        <v>#REF!</v>
      </c>
      <c r="M71" s="184" t="e">
        <f>SUM(COUNTIFS(#REF!,$B$4,#REF!,M6,Tabla1[SALE DEL PROGRAMA POR],"PARTO",#REF!,"COMPLETO"),COUNTIFS(#REF!,$B$4,#REF!,M6,Tabla1[SALE DEL PROGRAMA POR],"CESAREA",#REF!,"COMPLETO"))</f>
        <v>#REF!</v>
      </c>
      <c r="N71" s="116" t="e">
        <f>SUM(B71:M71)</f>
        <v>#REF!</v>
      </c>
    </row>
    <row r="72" spans="1:16" ht="39.75" customHeight="1" thickBot="1" x14ac:dyDescent="0.3">
      <c r="A72" s="185" t="s">
        <v>760</v>
      </c>
      <c r="B72" s="117" t="e">
        <f t="shared" ref="B72:N72" si="18">IF(B$91=0,"",SUM(B71/B$91))</f>
        <v>#REF!</v>
      </c>
      <c r="C72" s="118" t="e">
        <f t="shared" si="18"/>
        <v>#REF!</v>
      </c>
      <c r="D72" s="118" t="e">
        <f t="shared" si="18"/>
        <v>#REF!</v>
      </c>
      <c r="E72" s="118" t="e">
        <f t="shared" si="18"/>
        <v>#REF!</v>
      </c>
      <c r="F72" s="118" t="e">
        <f t="shared" si="18"/>
        <v>#REF!</v>
      </c>
      <c r="G72" s="118" t="e">
        <f t="shared" si="18"/>
        <v>#REF!</v>
      </c>
      <c r="H72" s="118" t="e">
        <f t="shared" si="18"/>
        <v>#REF!</v>
      </c>
      <c r="I72" s="118" t="e">
        <f t="shared" si="18"/>
        <v>#REF!</v>
      </c>
      <c r="J72" s="118" t="e">
        <f t="shared" si="18"/>
        <v>#REF!</v>
      </c>
      <c r="K72" s="118" t="e">
        <f t="shared" si="18"/>
        <v>#REF!</v>
      </c>
      <c r="L72" s="118" t="e">
        <f t="shared" si="18"/>
        <v>#REF!</v>
      </c>
      <c r="M72" s="118" t="e">
        <f t="shared" si="18"/>
        <v>#REF!</v>
      </c>
      <c r="N72" s="119" t="e">
        <f t="shared" si="18"/>
        <v>#REF!</v>
      </c>
    </row>
    <row r="73" spans="1:16" ht="39" customHeight="1" thickBot="1" x14ac:dyDescent="0.3">
      <c r="A73" s="78" t="s">
        <v>765</v>
      </c>
      <c r="B73" s="184" t="e">
        <f>SUM(COUNTIFS(#REF!,$B$4,#REF!,B6,Tabla1[SALE DEL PROGRAMA POR],"PARTO",Tabla1[ALARMA CONTROL PUERPERIO],"&gt;2",Tabla1[ALARMA CONTROL PUERPERIO],"&lt;6"),COUNTIFS(#REF!,$B$4,#REF!,B6,Tabla1[SALE DEL PROGRAMA POR],"CESAREA",Tabla1[ALARMA CONTROL PUERPERIO],"&gt;2",Tabla1[ALARMA CONTROL PUERPERIO],"&lt;6"))</f>
        <v>#REF!</v>
      </c>
      <c r="C73" s="184" t="e">
        <f>SUM(COUNTIFS(#REF!,$B$4,#REF!,C6,Tabla1[SALE DEL PROGRAMA POR],"PARTO",Tabla1[ALARMA CONTROL PUERPERIO],"&gt;2",Tabla1[ALARMA CONTROL PUERPERIO],"&lt;6"),COUNTIFS(#REF!,$B$4,#REF!,C6,Tabla1[SALE DEL PROGRAMA POR],"CESAREA",Tabla1[ALARMA CONTROL PUERPERIO],"&gt;2",Tabla1[ALARMA CONTROL PUERPERIO],"&lt;6"))</f>
        <v>#REF!</v>
      </c>
      <c r="D73" s="184" t="e">
        <f>SUM(COUNTIFS(#REF!,$B$4,#REF!,D6,Tabla1[SALE DEL PROGRAMA POR],"PARTO",Tabla1[ALARMA CONTROL PUERPERIO],"&gt;2",Tabla1[ALARMA CONTROL PUERPERIO],"&lt;6"),COUNTIFS(#REF!,$B$4,#REF!,D6,Tabla1[SALE DEL PROGRAMA POR],"CESAREA",Tabla1[ALARMA CONTROL PUERPERIO],"&gt;2",Tabla1[ALARMA CONTROL PUERPERIO],"&lt;6"))</f>
        <v>#REF!</v>
      </c>
      <c r="E73" s="184" t="e">
        <f>SUM(COUNTIFS(#REF!,$B$4,#REF!,E6,Tabla1[SALE DEL PROGRAMA POR],"PARTO",Tabla1[ALARMA CONTROL PUERPERIO],"&gt;2",Tabla1[ALARMA CONTROL PUERPERIO],"&lt;6"),COUNTIFS(#REF!,$B$4,#REF!,E6,Tabla1[SALE DEL PROGRAMA POR],"CESAREA",Tabla1[ALARMA CONTROL PUERPERIO],"&gt;2",Tabla1[ALARMA CONTROL PUERPERIO],"&lt;6"))</f>
        <v>#REF!</v>
      </c>
      <c r="F73" s="184" t="e">
        <f>SUM(COUNTIFS(#REF!,$B$4,#REF!,F6,Tabla1[SALE DEL PROGRAMA POR],"PARTO",Tabla1[ALARMA CONTROL PUERPERIO],"&gt;2",Tabla1[ALARMA CONTROL PUERPERIO],"&lt;6"),COUNTIFS(#REF!,$B$4,#REF!,F6,Tabla1[SALE DEL PROGRAMA POR],"CESAREA",Tabla1[ALARMA CONTROL PUERPERIO],"&gt;2",Tabla1[ALARMA CONTROL PUERPERIO],"&lt;6"))</f>
        <v>#REF!</v>
      </c>
      <c r="G73" s="184" t="e">
        <f>SUM(COUNTIFS(#REF!,$B$4,#REF!,G6,Tabla1[SALE DEL PROGRAMA POR],"PARTO",Tabla1[ALARMA CONTROL PUERPERIO],"&gt;2",Tabla1[ALARMA CONTROL PUERPERIO],"&lt;6"),COUNTIFS(#REF!,$B$4,#REF!,G6,Tabla1[SALE DEL PROGRAMA POR],"CESAREA",Tabla1[ALARMA CONTROL PUERPERIO],"&gt;2",Tabla1[ALARMA CONTROL PUERPERIO],"&lt;6"))</f>
        <v>#REF!</v>
      </c>
      <c r="H73" s="184" t="e">
        <f>SUM(COUNTIFS(#REF!,$B$4,#REF!,H6,Tabla1[SALE DEL PROGRAMA POR],"PARTO",Tabla1[ALARMA CONTROL PUERPERIO],"&gt;2",Tabla1[ALARMA CONTROL PUERPERIO],"&lt;6"),COUNTIFS(#REF!,$B$4,#REF!,H6,Tabla1[SALE DEL PROGRAMA POR],"CESAREA",Tabla1[ALARMA CONTROL PUERPERIO],"&gt;2",Tabla1[ALARMA CONTROL PUERPERIO],"&lt;6"))</f>
        <v>#REF!</v>
      </c>
      <c r="I73" s="184" t="e">
        <f>SUM(COUNTIFS(#REF!,$B$4,#REF!,I6,Tabla1[SALE DEL PROGRAMA POR],"PARTO",Tabla1[ALARMA CONTROL PUERPERIO],"&gt;2",Tabla1[ALARMA CONTROL PUERPERIO],"&lt;6"),COUNTIFS(#REF!,$B$4,#REF!,I6,Tabla1[SALE DEL PROGRAMA POR],"CESAREA",Tabla1[ALARMA CONTROL PUERPERIO],"&gt;2",Tabla1[ALARMA CONTROL PUERPERIO],"&lt;6"))</f>
        <v>#REF!</v>
      </c>
      <c r="J73" s="184" t="e">
        <f>SUM(COUNTIFS(#REF!,$B$4,#REF!,J6,Tabla1[SALE DEL PROGRAMA POR],"PARTO",Tabla1[ALARMA CONTROL PUERPERIO],"&gt;2",Tabla1[ALARMA CONTROL PUERPERIO],"&lt;6"),COUNTIFS(#REF!,$B$4,#REF!,J6,Tabla1[SALE DEL PROGRAMA POR],"CESAREA",Tabla1[ALARMA CONTROL PUERPERIO],"&gt;2",Tabla1[ALARMA CONTROL PUERPERIO],"&lt;6"))</f>
        <v>#REF!</v>
      </c>
      <c r="K73" s="184" t="e">
        <f>SUM(COUNTIFS(#REF!,$B$4,#REF!,K6,Tabla1[SALE DEL PROGRAMA POR],"PARTO",Tabla1[ALARMA CONTROL PUERPERIO],"&gt;2",Tabla1[ALARMA CONTROL PUERPERIO],"&lt;6"),COUNTIFS(#REF!,$B$4,#REF!,K6,Tabla1[SALE DEL PROGRAMA POR],"CESAREA",Tabla1[ALARMA CONTROL PUERPERIO],"&gt;2",Tabla1[ALARMA CONTROL PUERPERIO],"&lt;6"))</f>
        <v>#REF!</v>
      </c>
      <c r="L73" s="184" t="e">
        <f>SUM(COUNTIFS(#REF!,$B$4,#REF!,L6,Tabla1[SALE DEL PROGRAMA POR],"PARTO",Tabla1[ALARMA CONTROL PUERPERIO],"&gt;2",Tabla1[ALARMA CONTROL PUERPERIO],"&lt;6"),COUNTIFS(#REF!,$B$4,#REF!,L6,Tabla1[SALE DEL PROGRAMA POR],"CESAREA",Tabla1[ALARMA CONTROL PUERPERIO],"&gt;2",Tabla1[ALARMA CONTROL PUERPERIO],"&lt;6"))</f>
        <v>#REF!</v>
      </c>
      <c r="M73" s="184" t="e">
        <f>SUM(COUNTIFS(#REF!,$B$4,#REF!,M6,Tabla1[SALE DEL PROGRAMA POR],"PARTO",Tabla1[ALARMA CONTROL PUERPERIO],"&gt;2",Tabla1[ALARMA CONTROL PUERPERIO],"&lt;6"),COUNTIFS(#REF!,$B$4,#REF!,M6,Tabla1[SALE DEL PROGRAMA POR],"CESAREA",Tabla1[ALARMA CONTROL PUERPERIO],"&gt;2",Tabla1[ALARMA CONTROL PUERPERIO],"&lt;6"))</f>
        <v>#REF!</v>
      </c>
      <c r="N73" s="116" t="e">
        <f>SUM(B73:M73)</f>
        <v>#REF!</v>
      </c>
    </row>
    <row r="74" spans="1:16" ht="39" customHeight="1" thickBot="1" x14ac:dyDescent="0.3">
      <c r="A74" s="188" t="s">
        <v>764</v>
      </c>
      <c r="B74" s="117" t="e">
        <f t="shared" ref="B74:N74" si="19">IF(B$91=0,"",SUM(B73/B$91))</f>
        <v>#REF!</v>
      </c>
      <c r="C74" s="118" t="e">
        <f t="shared" si="19"/>
        <v>#REF!</v>
      </c>
      <c r="D74" s="118" t="e">
        <f t="shared" si="19"/>
        <v>#REF!</v>
      </c>
      <c r="E74" s="118" t="e">
        <f t="shared" si="19"/>
        <v>#REF!</v>
      </c>
      <c r="F74" s="118" t="e">
        <f t="shared" si="19"/>
        <v>#REF!</v>
      </c>
      <c r="G74" s="118" t="e">
        <f t="shared" si="19"/>
        <v>#REF!</v>
      </c>
      <c r="H74" s="118" t="e">
        <f t="shared" si="19"/>
        <v>#REF!</v>
      </c>
      <c r="I74" s="118" t="e">
        <f t="shared" si="19"/>
        <v>#REF!</v>
      </c>
      <c r="J74" s="118" t="e">
        <f t="shared" si="19"/>
        <v>#REF!</v>
      </c>
      <c r="K74" s="118" t="e">
        <f t="shared" si="19"/>
        <v>#REF!</v>
      </c>
      <c r="L74" s="118" t="e">
        <f t="shared" si="19"/>
        <v>#REF!</v>
      </c>
      <c r="M74" s="118" t="e">
        <f t="shared" si="19"/>
        <v>#REF!</v>
      </c>
      <c r="N74" s="189" t="e">
        <f t="shared" si="19"/>
        <v>#REF!</v>
      </c>
    </row>
    <row r="75" spans="1:16" ht="39" customHeight="1" thickBot="1" x14ac:dyDescent="0.3">
      <c r="A75" s="78" t="s">
        <v>767</v>
      </c>
      <c r="B75" s="184" t="e">
        <f>SUM(COUNTIFS(#REF!,$B$4,#REF!,B6,Tabla1[SALE DEL PROGRAMA POR],"PARTO",Tabla1[ALARMA 1 CONTROL RN],"&gt;2",Tabla1[ALARMA 1 CONTROL RN],"&lt;6"),COUNTIFS(#REF!,$B$4,#REF!,B6,Tabla1[SALE DEL PROGRAMA POR],"CESAREA",Tabla1[ALARMA 1 CONTROL RN],"&gt;2",Tabla1[ALARMA 1 CONTROL RN],"&lt;6"))</f>
        <v>#REF!</v>
      </c>
      <c r="C75" s="184" t="e">
        <f>SUM(COUNTIFS(#REF!,$B$4,#REF!,C6,Tabla1[SALE DEL PROGRAMA POR],"PARTO",Tabla1[ALARMA 1 CONTROL RN],"&gt;2",Tabla1[ALARMA 1 CONTROL RN],"&lt;6"),COUNTIFS(#REF!,$B$4,#REF!,C6,Tabla1[SALE DEL PROGRAMA POR],"CESAREA",Tabla1[ALARMA 1 CONTROL RN],"&gt;2",Tabla1[ALARMA 1 CONTROL RN],"&lt;6"))</f>
        <v>#REF!</v>
      </c>
      <c r="D75" s="184" t="e">
        <f>SUM(COUNTIFS(#REF!,$B$4,#REF!,D6,Tabla1[SALE DEL PROGRAMA POR],"PARTO",Tabla1[ALARMA 1 CONTROL RN],"&gt;2",Tabla1[ALARMA 1 CONTROL RN],"&lt;6"),COUNTIFS(#REF!,$B$4,#REF!,D6,Tabla1[SALE DEL PROGRAMA POR],"CESAREA",Tabla1[ALARMA 1 CONTROL RN],"&gt;2",Tabla1[ALARMA 1 CONTROL RN],"&lt;6"))</f>
        <v>#REF!</v>
      </c>
      <c r="E75" s="184" t="e">
        <f>SUM(COUNTIFS(#REF!,$B$4,#REF!,E6,Tabla1[SALE DEL PROGRAMA POR],"PARTO",Tabla1[ALARMA 1 CONTROL RN],"&gt;2",Tabla1[ALARMA 1 CONTROL RN],"&lt;6"),COUNTIFS(#REF!,$B$4,#REF!,E6,Tabla1[SALE DEL PROGRAMA POR],"CESAREA",Tabla1[ALARMA 1 CONTROL RN],"&gt;2",Tabla1[ALARMA 1 CONTROL RN],"&lt;6"))</f>
        <v>#REF!</v>
      </c>
      <c r="F75" s="184" t="e">
        <f>SUM(COUNTIFS(#REF!,$B$4,#REF!,F6,Tabla1[SALE DEL PROGRAMA POR],"PARTO",Tabla1[ALARMA 1 CONTROL RN],"&gt;2",Tabla1[ALARMA 1 CONTROL RN],"&lt;6"),COUNTIFS(#REF!,$B$4,#REF!,F6,Tabla1[SALE DEL PROGRAMA POR],"CESAREA",Tabla1[ALARMA 1 CONTROL RN],"&gt;2",Tabla1[ALARMA 1 CONTROL RN],"&lt;6"))</f>
        <v>#REF!</v>
      </c>
      <c r="G75" s="184" t="e">
        <f>SUM(COUNTIFS(#REF!,$B$4,#REF!,G6,Tabla1[SALE DEL PROGRAMA POR],"PARTO",Tabla1[ALARMA 1 CONTROL RN],"&gt;2",Tabla1[ALARMA 1 CONTROL RN],"&lt;6"),COUNTIFS(#REF!,$B$4,#REF!,G6,Tabla1[SALE DEL PROGRAMA POR],"CESAREA",Tabla1[ALARMA 1 CONTROL RN],"&gt;2",Tabla1[ALARMA 1 CONTROL RN],"&lt;6"))</f>
        <v>#REF!</v>
      </c>
      <c r="H75" s="184" t="e">
        <f>SUM(COUNTIFS(#REF!,$B$4,#REF!,H6,Tabla1[SALE DEL PROGRAMA POR],"PARTO",Tabla1[ALARMA 1 CONTROL RN],"&gt;2",Tabla1[ALARMA 1 CONTROL RN],"&lt;6"),COUNTIFS(#REF!,$B$4,#REF!,H6,Tabla1[SALE DEL PROGRAMA POR],"CESAREA",Tabla1[ALARMA 1 CONTROL RN],"&gt;2",Tabla1[ALARMA 1 CONTROL RN],"&lt;6"))</f>
        <v>#REF!</v>
      </c>
      <c r="I75" s="184" t="e">
        <f>SUM(COUNTIFS(#REF!,$B$4,#REF!,I6,Tabla1[SALE DEL PROGRAMA POR],"PARTO",Tabla1[ALARMA 1 CONTROL RN],"&gt;2",Tabla1[ALARMA 1 CONTROL RN],"&lt;6"),COUNTIFS(#REF!,$B$4,#REF!,I6,Tabla1[SALE DEL PROGRAMA POR],"CESAREA",Tabla1[ALARMA 1 CONTROL RN],"&gt;2",Tabla1[ALARMA 1 CONTROL RN],"&lt;6"))</f>
        <v>#REF!</v>
      </c>
      <c r="J75" s="184" t="e">
        <f>SUM(COUNTIFS(#REF!,$B$4,#REF!,J6,Tabla1[SALE DEL PROGRAMA POR],"PARTO",Tabla1[ALARMA 1 CONTROL RN],"&gt;2",Tabla1[ALARMA 1 CONTROL RN],"&lt;6"),COUNTIFS(#REF!,$B$4,#REF!,J6,Tabla1[SALE DEL PROGRAMA POR],"CESAREA",Tabla1[ALARMA 1 CONTROL RN],"&gt;2",Tabla1[ALARMA 1 CONTROL RN],"&lt;6"))</f>
        <v>#REF!</v>
      </c>
      <c r="K75" s="184" t="e">
        <f>SUM(COUNTIFS(#REF!,$B$4,#REF!,K6,Tabla1[SALE DEL PROGRAMA POR],"PARTO",Tabla1[ALARMA 1 CONTROL RN],"&gt;2",Tabla1[ALARMA 1 CONTROL RN],"&lt;6"),COUNTIFS(#REF!,$B$4,#REF!,K6,Tabla1[SALE DEL PROGRAMA POR],"CESAREA",Tabla1[ALARMA 1 CONTROL RN],"&gt;2",Tabla1[ALARMA 1 CONTROL RN],"&lt;6"))</f>
        <v>#REF!</v>
      </c>
      <c r="L75" s="184" t="e">
        <f>SUM(COUNTIFS(#REF!,$B$4,#REF!,L6,Tabla1[SALE DEL PROGRAMA POR],"PARTO",Tabla1[ALARMA 1 CONTROL RN],"&gt;2",Tabla1[ALARMA 1 CONTROL RN],"&lt;6"),COUNTIFS(#REF!,$B$4,#REF!,L6,Tabla1[SALE DEL PROGRAMA POR],"CESAREA",Tabla1[ALARMA 1 CONTROL RN],"&gt;2",Tabla1[ALARMA 1 CONTROL RN],"&lt;6"))</f>
        <v>#REF!</v>
      </c>
      <c r="M75" s="184" t="e">
        <f>SUM(COUNTIFS(#REF!,$B$4,#REF!,M6,Tabla1[SALE DEL PROGRAMA POR],"PARTO",Tabla1[ALARMA 1 CONTROL RN],"&gt;2",Tabla1[ALARMA 1 CONTROL RN],"&lt;6"),COUNTIFS(#REF!,$B$4,#REF!,M6,Tabla1[SALE DEL PROGRAMA POR],"CESAREA",Tabla1[ALARMA 1 CONTROL RN],"&gt;2",Tabla1[ALARMA 1 CONTROL RN],"&lt;6"))</f>
        <v>#REF!</v>
      </c>
      <c r="N75" s="116" t="e">
        <f>SUM(B75:M75)</f>
        <v>#REF!</v>
      </c>
    </row>
    <row r="76" spans="1:16" ht="39" customHeight="1" thickBot="1" x14ac:dyDescent="0.3">
      <c r="A76" s="188" t="s">
        <v>766</v>
      </c>
      <c r="B76" s="117" t="e">
        <f t="shared" ref="B76:N76" si="20">IF(B$91=0,"",SUM(B75/B$91))</f>
        <v>#REF!</v>
      </c>
      <c r="C76" s="118" t="e">
        <f t="shared" si="20"/>
        <v>#REF!</v>
      </c>
      <c r="D76" s="118" t="e">
        <f t="shared" si="20"/>
        <v>#REF!</v>
      </c>
      <c r="E76" s="118" t="e">
        <f t="shared" si="20"/>
        <v>#REF!</v>
      </c>
      <c r="F76" s="118" t="e">
        <f t="shared" si="20"/>
        <v>#REF!</v>
      </c>
      <c r="G76" s="118" t="e">
        <f t="shared" si="20"/>
        <v>#REF!</v>
      </c>
      <c r="H76" s="118" t="e">
        <f t="shared" si="20"/>
        <v>#REF!</v>
      </c>
      <c r="I76" s="118" t="e">
        <f t="shared" si="20"/>
        <v>#REF!</v>
      </c>
      <c r="J76" s="118" t="e">
        <f t="shared" si="20"/>
        <v>#REF!</v>
      </c>
      <c r="K76" s="118" t="e">
        <f t="shared" si="20"/>
        <v>#REF!</v>
      </c>
      <c r="L76" s="118" t="e">
        <f t="shared" si="20"/>
        <v>#REF!</v>
      </c>
      <c r="M76" s="118" t="e">
        <f t="shared" si="20"/>
        <v>#REF!</v>
      </c>
      <c r="N76" s="189" t="e">
        <f t="shared" si="20"/>
        <v>#REF!</v>
      </c>
    </row>
    <row r="77" spans="1:16" ht="39" customHeight="1" thickBot="1" x14ac:dyDescent="0.3">
      <c r="A77" s="78" t="s">
        <v>769</v>
      </c>
      <c r="B77" s="184" t="e">
        <f>SUM(COUNTIFS(#REF!,$B$4,#REF!,B6,Tabla1[SALE DEL PROGRAMA POR],"PARTO",#REF!,"VACUNADA"),COUNTIFS(#REF!,$B$4,#REF!,B6,Tabla1[SALE DEL PROGRAMA POR],"CESAREA",#REF!,"VACUNADA"))</f>
        <v>#REF!</v>
      </c>
      <c r="C77" s="184" t="e">
        <f>SUM(COUNTIFS(#REF!,$B$4,#REF!,C6,Tabla1[SALE DEL PROGRAMA POR],"PARTO",#REF!,"VACUNADA"),COUNTIFS(#REF!,$B$4,#REF!,C6,Tabla1[SALE DEL PROGRAMA POR],"CESAREA",#REF!,"VACUNADA"))</f>
        <v>#REF!</v>
      </c>
      <c r="D77" s="184" t="e">
        <f>SUM(COUNTIFS(#REF!,$B$4,#REF!,D6,Tabla1[SALE DEL PROGRAMA POR],"PARTO",#REF!,"VACUNADA"),COUNTIFS(#REF!,$B$4,#REF!,D6,Tabla1[SALE DEL PROGRAMA POR],"CESAREA",#REF!,"VACUNADA"))</f>
        <v>#REF!</v>
      </c>
      <c r="E77" s="184" t="e">
        <f>SUM(COUNTIFS(#REF!,$B$4,#REF!,E6,Tabla1[SALE DEL PROGRAMA POR],"PARTO",#REF!,"VACUNADA"),COUNTIFS(#REF!,$B$4,#REF!,E6,Tabla1[SALE DEL PROGRAMA POR],"CESAREA",#REF!,"VACUNADA"))</f>
        <v>#REF!</v>
      </c>
      <c r="F77" s="184" t="e">
        <f>SUM(COUNTIFS(#REF!,$B$4,#REF!,F6,Tabla1[SALE DEL PROGRAMA POR],"PARTO",#REF!,"VACUNADA"),COUNTIFS(#REF!,$B$4,#REF!,F6,Tabla1[SALE DEL PROGRAMA POR],"CESAREA",#REF!,"VACUNADA"))</f>
        <v>#REF!</v>
      </c>
      <c r="G77" s="184" t="e">
        <f>SUM(COUNTIFS(#REF!,$B$4,#REF!,G6,Tabla1[SALE DEL PROGRAMA POR],"PARTO",#REF!,"VACUNADA"),COUNTIFS(#REF!,$B$4,#REF!,G6,Tabla1[SALE DEL PROGRAMA POR],"CESAREA",#REF!,"VACUNADA"))</f>
        <v>#REF!</v>
      </c>
      <c r="H77" s="184" t="e">
        <f>SUM(COUNTIFS(#REF!,$B$4,#REF!,H6,Tabla1[SALE DEL PROGRAMA POR],"PARTO",#REF!,"VACUNADA"),COUNTIFS(#REF!,$B$4,#REF!,H6,Tabla1[SALE DEL PROGRAMA POR],"CESAREA",#REF!,"VACUNADA"))</f>
        <v>#REF!</v>
      </c>
      <c r="I77" s="184" t="e">
        <f>SUM(COUNTIFS(#REF!,$B$4,#REF!,I6,Tabla1[SALE DEL PROGRAMA POR],"PARTO",#REF!,"VACUNADA"),COUNTIFS(#REF!,$B$4,#REF!,I6,Tabla1[SALE DEL PROGRAMA POR],"CESAREA",#REF!,"VACUNADA"))</f>
        <v>#REF!</v>
      </c>
      <c r="J77" s="184" t="e">
        <f>SUM(COUNTIFS(#REF!,$B$4,#REF!,J6,Tabla1[SALE DEL PROGRAMA POR],"PARTO",#REF!,"VACUNADA"),COUNTIFS(#REF!,$B$4,#REF!,J6,Tabla1[SALE DEL PROGRAMA POR],"CESAREA",#REF!,"VACUNADA"))</f>
        <v>#REF!</v>
      </c>
      <c r="K77" s="184" t="e">
        <f>SUM(COUNTIFS(#REF!,$B$4,#REF!,K6,Tabla1[SALE DEL PROGRAMA POR],"PARTO",#REF!,"VACUNADA"),COUNTIFS(#REF!,$B$4,#REF!,K6,Tabla1[SALE DEL PROGRAMA POR],"CESAREA",#REF!,"VACUNADA"))</f>
        <v>#REF!</v>
      </c>
      <c r="L77" s="184" t="e">
        <f>SUM(COUNTIFS(#REF!,$B$4,#REF!,L6,Tabla1[SALE DEL PROGRAMA POR],"PARTO",#REF!,"VACUNADA"),COUNTIFS(#REF!,$B$4,#REF!,L6,Tabla1[SALE DEL PROGRAMA POR],"CESAREA",#REF!,"VACUNADA"))</f>
        <v>#REF!</v>
      </c>
      <c r="M77" s="184" t="e">
        <f>SUM(COUNTIFS(#REF!,$B$4,#REF!,M6,Tabla1[SALE DEL PROGRAMA POR],"PARTO",#REF!,"VACUNADA"),COUNTIFS(#REF!,$B$4,#REF!,M6,Tabla1[SALE DEL PROGRAMA POR],"CESAREA",#REF!,"VACUNADA"))</f>
        <v>#REF!</v>
      </c>
      <c r="N77" s="116" t="e">
        <f>SUM(B77:M77)</f>
        <v>#REF!</v>
      </c>
      <c r="P77" t="s">
        <v>770</v>
      </c>
    </row>
    <row r="78" spans="1:16" ht="39" customHeight="1" thickBot="1" x14ac:dyDescent="0.3">
      <c r="A78" s="188" t="s">
        <v>768</v>
      </c>
      <c r="B78" s="117" t="e">
        <f t="shared" ref="B78:N78" si="21">IF(B$91=0,"",SUM(B77/B$91))</f>
        <v>#REF!</v>
      </c>
      <c r="C78" s="118" t="e">
        <f t="shared" si="21"/>
        <v>#REF!</v>
      </c>
      <c r="D78" s="118" t="e">
        <f t="shared" si="21"/>
        <v>#REF!</v>
      </c>
      <c r="E78" s="118" t="e">
        <f t="shared" si="21"/>
        <v>#REF!</v>
      </c>
      <c r="F78" s="118" t="e">
        <f t="shared" si="21"/>
        <v>#REF!</v>
      </c>
      <c r="G78" s="118" t="e">
        <f t="shared" si="21"/>
        <v>#REF!</v>
      </c>
      <c r="H78" s="118" t="e">
        <f t="shared" si="21"/>
        <v>#REF!</v>
      </c>
      <c r="I78" s="118" t="e">
        <f t="shared" si="21"/>
        <v>#REF!</v>
      </c>
      <c r="J78" s="118" t="e">
        <f t="shared" si="21"/>
        <v>#REF!</v>
      </c>
      <c r="K78" s="118" t="e">
        <f t="shared" si="21"/>
        <v>#REF!</v>
      </c>
      <c r="L78" s="118" t="e">
        <f t="shared" si="21"/>
        <v>#REF!</v>
      </c>
      <c r="M78" s="118" t="e">
        <f t="shared" si="21"/>
        <v>#REF!</v>
      </c>
      <c r="N78" s="189" t="e">
        <f t="shared" si="21"/>
        <v>#REF!</v>
      </c>
      <c r="P78" t="s">
        <v>771</v>
      </c>
    </row>
    <row r="79" spans="1:16" ht="39" customHeight="1" thickBot="1" x14ac:dyDescent="0.3">
      <c r="A79" s="78" t="s">
        <v>772</v>
      </c>
      <c r="B79" s="184" t="e">
        <f>SUM(COUNTIFS(#REF!,$B$4,#REF!,B6,Tabla1[SALE DEL PROGRAMA POR],"PARTO",Tabla1[FECHA VACUNA ANTI INFLUENZA],"&lt;&gt;"),COUNTIFS(#REF!,$B$4,#REF!,B6,Tabla1[SALE DEL PROGRAMA POR],"CESAREA",Tabla1[FECHA VACUNA ANTI INFLUENZA],"&lt;&gt;"))</f>
        <v>#REF!</v>
      </c>
      <c r="C79" s="184" t="e">
        <f>SUM(COUNTIFS(#REF!,$B$4,#REF!,C6,Tabla1[SALE DEL PROGRAMA POR],"PARTO",Tabla1[FECHA VACUNA ANTI INFLUENZA],"&lt;&gt;"),COUNTIFS(#REF!,$B$4,#REF!,C6,Tabla1[SALE DEL PROGRAMA POR],"CESAREA",Tabla1[FECHA VACUNA ANTI INFLUENZA],"&lt;&gt;"))</f>
        <v>#REF!</v>
      </c>
      <c r="D79" s="184" t="e">
        <f>SUM(COUNTIFS(#REF!,$B$4,#REF!,D6,Tabla1[SALE DEL PROGRAMA POR],"PARTO",Tabla1[FECHA VACUNA ANTI INFLUENZA],"&lt;&gt;"),COUNTIFS(#REF!,$B$4,#REF!,D6,Tabla1[SALE DEL PROGRAMA POR],"CESAREA",Tabla1[FECHA VACUNA ANTI INFLUENZA],"&lt;&gt;"))</f>
        <v>#REF!</v>
      </c>
      <c r="E79" s="184" t="e">
        <f>SUM(COUNTIFS(#REF!,$B$4,#REF!,E6,Tabla1[SALE DEL PROGRAMA POR],"PARTO",Tabla1[FECHA VACUNA ANTI INFLUENZA],"&lt;&gt;"),COUNTIFS(#REF!,$B$4,#REF!,E6,Tabla1[SALE DEL PROGRAMA POR],"CESAREA",Tabla1[FECHA VACUNA ANTI INFLUENZA],"&lt;&gt;"))</f>
        <v>#REF!</v>
      </c>
      <c r="F79" s="184" t="e">
        <f>SUM(COUNTIFS(#REF!,$B$4,#REF!,F6,Tabla1[SALE DEL PROGRAMA POR],"PARTO",Tabla1[FECHA VACUNA ANTI INFLUENZA],"&lt;&gt;"),COUNTIFS(#REF!,$B$4,#REF!,F6,Tabla1[SALE DEL PROGRAMA POR],"CESAREA",Tabla1[FECHA VACUNA ANTI INFLUENZA],"&lt;&gt;"))</f>
        <v>#REF!</v>
      </c>
      <c r="G79" s="184" t="e">
        <f>SUM(COUNTIFS(#REF!,$B$4,#REF!,G6,Tabla1[SALE DEL PROGRAMA POR],"PARTO",Tabla1[FECHA VACUNA ANTI INFLUENZA],"&lt;&gt;"),COUNTIFS(#REF!,$B$4,#REF!,G6,Tabla1[SALE DEL PROGRAMA POR],"CESAREA",Tabla1[FECHA VACUNA ANTI INFLUENZA],"&lt;&gt;"))</f>
        <v>#REF!</v>
      </c>
      <c r="H79" s="184" t="e">
        <f>SUM(COUNTIFS(#REF!,$B$4,#REF!,H6,Tabla1[SALE DEL PROGRAMA POR],"PARTO",Tabla1[FECHA VACUNA ANTI INFLUENZA],"&lt;&gt;"),COUNTIFS(#REF!,$B$4,#REF!,H6,Tabla1[SALE DEL PROGRAMA POR],"CESAREA",Tabla1[FECHA VACUNA ANTI INFLUENZA],"&lt;&gt;"))</f>
        <v>#REF!</v>
      </c>
      <c r="I79" s="184" t="e">
        <f>SUM(COUNTIFS(#REF!,$B$4,#REF!,I6,Tabla1[SALE DEL PROGRAMA POR],"PARTO",Tabla1[FECHA VACUNA ANTI INFLUENZA],"&lt;&gt;"),COUNTIFS(#REF!,$B$4,#REF!,I6,Tabla1[SALE DEL PROGRAMA POR],"CESAREA",Tabla1[FECHA VACUNA ANTI INFLUENZA],"&lt;&gt;"))</f>
        <v>#REF!</v>
      </c>
      <c r="J79" s="184" t="e">
        <f>SUM(COUNTIFS(#REF!,$B$4,#REF!,J6,Tabla1[SALE DEL PROGRAMA POR],"PARTO",Tabla1[FECHA VACUNA ANTI INFLUENZA],"&lt;&gt;"),COUNTIFS(#REF!,$B$4,#REF!,J6,Tabla1[SALE DEL PROGRAMA POR],"CESAREA",Tabla1[FECHA VACUNA ANTI INFLUENZA],"&lt;&gt;"))</f>
        <v>#REF!</v>
      </c>
      <c r="K79" s="184" t="e">
        <f>SUM(COUNTIFS(#REF!,$B$4,#REF!,K6,Tabla1[SALE DEL PROGRAMA POR],"PARTO",Tabla1[FECHA VACUNA ANTI INFLUENZA],"&lt;&gt;"),COUNTIFS(#REF!,$B$4,#REF!,K6,Tabla1[SALE DEL PROGRAMA POR],"CESAREA",Tabla1[FECHA VACUNA ANTI INFLUENZA],"&lt;&gt;"))</f>
        <v>#REF!</v>
      </c>
      <c r="L79" s="184" t="e">
        <f>SUM(COUNTIFS(#REF!,$B$4,#REF!,L6,Tabla1[SALE DEL PROGRAMA POR],"PARTO",Tabla1[FECHA VACUNA ANTI INFLUENZA],"&lt;&gt;"),COUNTIFS(#REF!,$B$4,#REF!,L6,Tabla1[SALE DEL PROGRAMA POR],"CESAREA",Tabla1[FECHA VACUNA ANTI INFLUENZA],"&lt;&gt;"))</f>
        <v>#REF!</v>
      </c>
      <c r="M79" s="184" t="e">
        <f>SUM(COUNTIFS(#REF!,$B$4,#REF!,M6,Tabla1[SALE DEL PROGRAMA POR],"PARTO",Tabla1[FECHA VACUNA ANTI INFLUENZA],"&lt;&gt;"),COUNTIFS(#REF!,$B$4,#REF!,M6,Tabla1[SALE DEL PROGRAMA POR],"CESAREA",Tabla1[FECHA VACUNA ANTI INFLUENZA],"&lt;&gt;"))</f>
        <v>#REF!</v>
      </c>
      <c r="N79" s="116" t="e">
        <f>SUM(B79:M79)</f>
        <v>#REF!</v>
      </c>
    </row>
    <row r="80" spans="1:16" ht="39" customHeight="1" thickBot="1" x14ac:dyDescent="0.3">
      <c r="A80" s="188" t="s">
        <v>773</v>
      </c>
      <c r="B80" s="117" t="e">
        <f t="shared" ref="B80:N80" si="22">IF(B$91=0,"",SUM(B79/B$91))</f>
        <v>#REF!</v>
      </c>
      <c r="C80" s="118" t="e">
        <f t="shared" si="22"/>
        <v>#REF!</v>
      </c>
      <c r="D80" s="118" t="e">
        <f t="shared" si="22"/>
        <v>#REF!</v>
      </c>
      <c r="E80" s="118" t="e">
        <f t="shared" si="22"/>
        <v>#REF!</v>
      </c>
      <c r="F80" s="118" t="e">
        <f t="shared" si="22"/>
        <v>#REF!</v>
      </c>
      <c r="G80" s="118" t="e">
        <f t="shared" si="22"/>
        <v>#REF!</v>
      </c>
      <c r="H80" s="118" t="e">
        <f t="shared" si="22"/>
        <v>#REF!</v>
      </c>
      <c r="I80" s="118" t="e">
        <f t="shared" si="22"/>
        <v>#REF!</v>
      </c>
      <c r="J80" s="118" t="e">
        <f t="shared" si="22"/>
        <v>#REF!</v>
      </c>
      <c r="K80" s="118" t="e">
        <f t="shared" si="22"/>
        <v>#REF!</v>
      </c>
      <c r="L80" s="118" t="e">
        <f t="shared" si="22"/>
        <v>#REF!</v>
      </c>
      <c r="M80" s="118" t="e">
        <f t="shared" si="22"/>
        <v>#REF!</v>
      </c>
      <c r="N80" s="189" t="e">
        <f t="shared" si="22"/>
        <v>#REF!</v>
      </c>
    </row>
    <row r="81" spans="1:14" ht="39" customHeight="1" thickBot="1" x14ac:dyDescent="0.3">
      <c r="A81" s="78" t="s">
        <v>774</v>
      </c>
      <c r="B81" s="184" t="e">
        <f>SUM(COUNTIFS(#REF!,$B$4,#REF!,B6,Tabla1[SALE DEL PROGRAMA POR],"PARTO",Tabla1[Alarma Vacunación Anti COVID-19],"PENDIENTE REFUERZO"),COUNTIFS(#REF!,$B$4,#REF!,B6,Tabla1[SALE DEL PROGRAMA POR],"CESAREA",Tabla1[Alarma Vacunación Anti COVID-19],"PENDIENTE REFUERZO"))</f>
        <v>#REF!</v>
      </c>
      <c r="C81" s="184" t="e">
        <f>SUM(COUNTIFS(#REF!,$B$4,#REF!,C6,Tabla1[SALE DEL PROGRAMA POR],"PARTO",Tabla1[Alarma Vacunación Anti COVID-19],"PENDIENTE REFUERZO"),COUNTIFS(#REF!,$B$4,#REF!,C6,Tabla1[SALE DEL PROGRAMA POR],"CESAREA",Tabla1[Alarma Vacunación Anti COVID-19],"PENDIENTE REFUERZO"))</f>
        <v>#REF!</v>
      </c>
      <c r="D81" s="184" t="e">
        <f>SUM(COUNTIFS(#REF!,$B$4,#REF!,D6,Tabla1[SALE DEL PROGRAMA POR],"PARTO",Tabla1[Alarma Vacunación Anti COVID-19],"PENDIENTE REFUERZO"),COUNTIFS(#REF!,$B$4,#REF!,D6,Tabla1[SALE DEL PROGRAMA POR],"CESAREA",Tabla1[Alarma Vacunación Anti COVID-19],"PENDIENTE REFUERZO"))</f>
        <v>#REF!</v>
      </c>
      <c r="E81" s="184" t="e">
        <f>SUM(COUNTIFS(#REF!,$B$4,#REF!,E6,Tabla1[SALE DEL PROGRAMA POR],"PARTO",Tabla1[Alarma Vacunación Anti COVID-19],"PENDIENTE REFUERZO"),COUNTIFS(#REF!,$B$4,#REF!,E6,Tabla1[SALE DEL PROGRAMA POR],"CESAREA",Tabla1[Alarma Vacunación Anti COVID-19],"PENDIENTE REFUERZO"))</f>
        <v>#REF!</v>
      </c>
      <c r="F81" s="184" t="e">
        <f>SUM(COUNTIFS(#REF!,$B$4,#REF!,F6,Tabla1[SALE DEL PROGRAMA POR],"PARTO",Tabla1[Alarma Vacunación Anti COVID-19],"PENDIENTE REFUERZO"),COUNTIFS(#REF!,$B$4,#REF!,F6,Tabla1[SALE DEL PROGRAMA POR],"CESAREA",Tabla1[Alarma Vacunación Anti COVID-19],"PENDIENTE REFUERZO"))</f>
        <v>#REF!</v>
      </c>
      <c r="G81" s="184" t="e">
        <f>SUM(COUNTIFS(#REF!,$B$4,#REF!,G6,Tabla1[SALE DEL PROGRAMA POR],"PARTO",Tabla1[Alarma Vacunación Anti COVID-19],"PENDIENTE REFUERZO"),COUNTIFS(#REF!,$B$4,#REF!,G6,Tabla1[SALE DEL PROGRAMA POR],"CESAREA",Tabla1[Alarma Vacunación Anti COVID-19],"PENDIENTE REFUERZO"))</f>
        <v>#REF!</v>
      </c>
      <c r="H81" s="184" t="e">
        <f>SUM(COUNTIFS(#REF!,$B$4,#REF!,H6,Tabla1[SALE DEL PROGRAMA POR],"PARTO",Tabla1[Alarma Vacunación Anti COVID-19],"PENDIENTE REFUERZO"),COUNTIFS(#REF!,$B$4,#REF!,H6,Tabla1[SALE DEL PROGRAMA POR],"CESAREA",Tabla1[Alarma Vacunación Anti COVID-19],"PENDIENTE REFUERZO"))</f>
        <v>#REF!</v>
      </c>
      <c r="I81" s="184" t="e">
        <f>SUM(COUNTIFS(#REF!,$B$4,#REF!,I6,Tabla1[SALE DEL PROGRAMA POR],"PARTO",Tabla1[Alarma Vacunación Anti COVID-19],"PENDIENTE REFUERZO"),COUNTIFS(#REF!,$B$4,#REF!,I6,Tabla1[SALE DEL PROGRAMA POR],"CESAREA",Tabla1[Alarma Vacunación Anti COVID-19],"PENDIENTE REFUERZO"))</f>
        <v>#REF!</v>
      </c>
      <c r="J81" s="184" t="e">
        <f>SUM(COUNTIFS(#REF!,$B$4,#REF!,J6,Tabla1[SALE DEL PROGRAMA POR],"PARTO",Tabla1[Alarma Vacunación Anti COVID-19],"PENDIENTE REFUERZO"),COUNTIFS(#REF!,$B$4,#REF!,J6,Tabla1[SALE DEL PROGRAMA POR],"CESAREA",Tabla1[Alarma Vacunación Anti COVID-19],"PENDIENTE REFUERZO"))</f>
        <v>#REF!</v>
      </c>
      <c r="K81" s="184" t="e">
        <f>SUM(COUNTIFS(#REF!,$B$4,#REF!,K6,Tabla1[SALE DEL PROGRAMA POR],"PARTO",Tabla1[Alarma Vacunación Anti COVID-19],"PENDIENTE REFUERZO"),COUNTIFS(#REF!,$B$4,#REF!,K6,Tabla1[SALE DEL PROGRAMA POR],"CESAREA",Tabla1[Alarma Vacunación Anti COVID-19],"PENDIENTE REFUERZO"))</f>
        <v>#REF!</v>
      </c>
      <c r="L81" s="184" t="e">
        <f>SUM(COUNTIFS(#REF!,$B$4,#REF!,L6,Tabla1[SALE DEL PROGRAMA POR],"PARTO",Tabla1[Alarma Vacunación Anti COVID-19],"PENDIENTE REFUERZO"),COUNTIFS(#REF!,$B$4,#REF!,L6,Tabla1[SALE DEL PROGRAMA POR],"CESAREA",Tabla1[Alarma Vacunación Anti COVID-19],"PENDIENTE REFUERZO"))</f>
        <v>#REF!</v>
      </c>
      <c r="M81" s="184" t="e">
        <f>SUM(COUNTIFS(#REF!,$B$4,#REF!,M6,Tabla1[SALE DEL PROGRAMA POR],"PARTO",Tabla1[Alarma Vacunación Anti COVID-19],"PENDIENTE REFUERZO"),COUNTIFS(#REF!,$B$4,#REF!,M6,Tabla1[SALE DEL PROGRAMA POR],"CESAREA",Tabla1[Alarma Vacunación Anti COVID-19],"PENDIENTE REFUERZO"))</f>
        <v>#REF!</v>
      </c>
      <c r="N81" s="116" t="e">
        <f>SUM(B81:M81)</f>
        <v>#REF!</v>
      </c>
    </row>
    <row r="82" spans="1:14" ht="39" customHeight="1" thickBot="1" x14ac:dyDescent="0.3">
      <c r="A82" s="188" t="s">
        <v>775</v>
      </c>
      <c r="B82" s="117" t="e">
        <f t="shared" ref="B82:N82" si="23">IF(B$91=0,"",SUM(B81/B$91))</f>
        <v>#REF!</v>
      </c>
      <c r="C82" s="118" t="e">
        <f t="shared" si="23"/>
        <v>#REF!</v>
      </c>
      <c r="D82" s="118" t="e">
        <f t="shared" si="23"/>
        <v>#REF!</v>
      </c>
      <c r="E82" s="118" t="e">
        <f t="shared" si="23"/>
        <v>#REF!</v>
      </c>
      <c r="F82" s="118" t="e">
        <f t="shared" si="23"/>
        <v>#REF!</v>
      </c>
      <c r="G82" s="118" t="e">
        <f t="shared" si="23"/>
        <v>#REF!</v>
      </c>
      <c r="H82" s="118" t="e">
        <f t="shared" si="23"/>
        <v>#REF!</v>
      </c>
      <c r="I82" s="118" t="e">
        <f t="shared" si="23"/>
        <v>#REF!</v>
      </c>
      <c r="J82" s="118" t="e">
        <f t="shared" si="23"/>
        <v>#REF!</v>
      </c>
      <c r="K82" s="118" t="e">
        <f t="shared" si="23"/>
        <v>#REF!</v>
      </c>
      <c r="L82" s="118" t="e">
        <f t="shared" si="23"/>
        <v>#REF!</v>
      </c>
      <c r="M82" s="118" t="e">
        <f t="shared" si="23"/>
        <v>#REF!</v>
      </c>
      <c r="N82" s="189" t="e">
        <f t="shared" si="23"/>
        <v>#REF!</v>
      </c>
    </row>
    <row r="83" spans="1:14" ht="39" customHeight="1" thickBot="1" x14ac:dyDescent="0.3">
      <c r="A83" s="78" t="s">
        <v>776</v>
      </c>
      <c r="B83" s="184" t="e">
        <f>SUM(COUNTIFS(#REF!,$B$4,#REF!,B6,Tabla1[SALE DEL PROGRAMA POR],"PARTO",Tabla1[FECHA VACUNA TD],"&lt;&gt;"),COUNTIFS(#REF!,$B$4,#REF!,B6,Tabla1[SALE DEL PROGRAMA POR],"CESAREA",Tabla1[FECHA VACUNA TD],"&lt;&gt;"))</f>
        <v>#REF!</v>
      </c>
      <c r="C83" s="184" t="e">
        <f>SUM(COUNTIFS(#REF!,$B$4,#REF!,C6,Tabla1[SALE DEL PROGRAMA POR],"PARTO",Tabla1[FECHA VACUNA TD],"&lt;&gt;"),COUNTIFS(#REF!,$B$4,#REF!,C6,Tabla1[SALE DEL PROGRAMA POR],"CESAREA",Tabla1[FECHA VACUNA TD],"&lt;&gt;"))</f>
        <v>#REF!</v>
      </c>
      <c r="D83" s="184" t="e">
        <f>SUM(COUNTIFS(#REF!,$B$4,#REF!,D6,Tabla1[SALE DEL PROGRAMA POR],"PARTO",Tabla1[FECHA VACUNA TD],"&lt;&gt;"),COUNTIFS(#REF!,$B$4,#REF!,D6,Tabla1[SALE DEL PROGRAMA POR],"CESAREA",Tabla1[FECHA VACUNA TD],"&lt;&gt;"))</f>
        <v>#REF!</v>
      </c>
      <c r="E83" s="184" t="e">
        <f>SUM(COUNTIFS(#REF!,$B$4,#REF!,E6,Tabla1[SALE DEL PROGRAMA POR],"PARTO",Tabla1[FECHA VACUNA TD],"&lt;&gt;"),COUNTIFS(#REF!,$B$4,#REF!,E6,Tabla1[SALE DEL PROGRAMA POR],"CESAREA",Tabla1[FECHA VACUNA TD],"&lt;&gt;"))</f>
        <v>#REF!</v>
      </c>
      <c r="F83" s="184" t="e">
        <f>SUM(COUNTIFS(#REF!,$B$4,#REF!,F6,Tabla1[SALE DEL PROGRAMA POR],"PARTO",Tabla1[FECHA VACUNA TD],"&lt;&gt;"),COUNTIFS(#REF!,$B$4,#REF!,F6,Tabla1[SALE DEL PROGRAMA POR],"CESAREA",Tabla1[FECHA VACUNA TD],"&lt;&gt;"))</f>
        <v>#REF!</v>
      </c>
      <c r="G83" s="184" t="e">
        <f>SUM(COUNTIFS(#REF!,$B$4,#REF!,G6,Tabla1[SALE DEL PROGRAMA POR],"PARTO",Tabla1[FECHA VACUNA TD],"&lt;&gt;"),COUNTIFS(#REF!,$B$4,#REF!,G6,Tabla1[SALE DEL PROGRAMA POR],"CESAREA",Tabla1[FECHA VACUNA TD],"&lt;&gt;"))</f>
        <v>#REF!</v>
      </c>
      <c r="H83" s="184" t="e">
        <f>SUM(COUNTIFS(#REF!,$B$4,#REF!,H6,Tabla1[SALE DEL PROGRAMA POR],"PARTO",Tabla1[FECHA VACUNA TD],"&lt;&gt;"),COUNTIFS(#REF!,$B$4,#REF!,H6,Tabla1[SALE DEL PROGRAMA POR],"CESAREA",Tabla1[FECHA VACUNA TD],"&lt;&gt;"))</f>
        <v>#REF!</v>
      </c>
      <c r="I83" s="184" t="e">
        <f>SUM(COUNTIFS(#REF!,$B$4,#REF!,I6,Tabla1[SALE DEL PROGRAMA POR],"PARTO",Tabla1[FECHA VACUNA TD],"&lt;&gt;"),COUNTIFS(#REF!,$B$4,#REF!,I6,Tabla1[SALE DEL PROGRAMA POR],"CESAREA",Tabla1[FECHA VACUNA TD],"&lt;&gt;"))</f>
        <v>#REF!</v>
      </c>
      <c r="J83" s="184" t="e">
        <f>SUM(COUNTIFS(#REF!,$B$4,#REF!,J6,Tabla1[SALE DEL PROGRAMA POR],"PARTO",Tabla1[FECHA VACUNA TD],"&lt;&gt;"),COUNTIFS(#REF!,$B$4,#REF!,J6,Tabla1[SALE DEL PROGRAMA POR],"CESAREA",Tabla1[FECHA VACUNA TD],"&lt;&gt;"))</f>
        <v>#REF!</v>
      </c>
      <c r="K83" s="184" t="e">
        <f>SUM(COUNTIFS(#REF!,$B$4,#REF!,K6,Tabla1[SALE DEL PROGRAMA POR],"PARTO",Tabla1[FECHA VACUNA TD],"&lt;&gt;"),COUNTIFS(#REF!,$B$4,#REF!,K6,Tabla1[SALE DEL PROGRAMA POR],"CESAREA",Tabla1[FECHA VACUNA TD],"&lt;&gt;"))</f>
        <v>#REF!</v>
      </c>
      <c r="L83" s="184" t="e">
        <f>SUM(COUNTIFS(#REF!,$B$4,#REF!,L6,Tabla1[SALE DEL PROGRAMA POR],"PARTO",Tabla1[FECHA VACUNA TD],"&lt;&gt;"),COUNTIFS(#REF!,$B$4,#REF!,L6,Tabla1[SALE DEL PROGRAMA POR],"CESAREA",Tabla1[FECHA VACUNA TD],"&lt;&gt;"))</f>
        <v>#REF!</v>
      </c>
      <c r="M83" s="184" t="e">
        <f>SUM(COUNTIFS(#REF!,$B$4,#REF!,M6,Tabla1[SALE DEL PROGRAMA POR],"PARTO",Tabla1[FECHA VACUNA TD],"&lt;&gt;"),COUNTIFS(#REF!,$B$4,#REF!,M6,Tabla1[SALE DEL PROGRAMA POR],"CESAREA",Tabla1[FECHA VACUNA TD],"&lt;&gt;"))</f>
        <v>#REF!</v>
      </c>
      <c r="N83" s="116" t="e">
        <f>SUM(B83:M83)</f>
        <v>#REF!</v>
      </c>
    </row>
    <row r="84" spans="1:14" ht="39" customHeight="1" thickBot="1" x14ac:dyDescent="0.3">
      <c r="A84" s="188" t="s">
        <v>777</v>
      </c>
      <c r="B84" s="117" t="e">
        <f t="shared" ref="B84:N84" si="24">IF(B$91=0,"",SUM(B83/B$91))</f>
        <v>#REF!</v>
      </c>
      <c r="C84" s="118" t="e">
        <f t="shared" si="24"/>
        <v>#REF!</v>
      </c>
      <c r="D84" s="118" t="e">
        <f t="shared" si="24"/>
        <v>#REF!</v>
      </c>
      <c r="E84" s="118" t="e">
        <f t="shared" si="24"/>
        <v>#REF!</v>
      </c>
      <c r="F84" s="118" t="e">
        <f t="shared" si="24"/>
        <v>#REF!</v>
      </c>
      <c r="G84" s="118" t="e">
        <f t="shared" si="24"/>
        <v>#REF!</v>
      </c>
      <c r="H84" s="118" t="e">
        <f t="shared" si="24"/>
        <v>#REF!</v>
      </c>
      <c r="I84" s="118" t="e">
        <f t="shared" si="24"/>
        <v>#REF!</v>
      </c>
      <c r="J84" s="118" t="e">
        <f t="shared" si="24"/>
        <v>#REF!</v>
      </c>
      <c r="K84" s="118" t="e">
        <f t="shared" si="24"/>
        <v>#REF!</v>
      </c>
      <c r="L84" s="118" t="e">
        <f t="shared" si="24"/>
        <v>#REF!</v>
      </c>
      <c r="M84" s="118" t="e">
        <f t="shared" si="24"/>
        <v>#REF!</v>
      </c>
      <c r="N84" s="189" t="e">
        <f t="shared" si="24"/>
        <v>#REF!</v>
      </c>
    </row>
    <row r="85" spans="1:14" ht="31.5" customHeight="1" thickBot="1" x14ac:dyDescent="0.3">
      <c r="A85" s="67" t="s">
        <v>393</v>
      </c>
      <c r="B85" s="102" t="e">
        <f>COUNTIFS(#REF!,B4,#REF!,B6,#REF!,"&gt;0",#REF!,"&lt;19")</f>
        <v>#REF!</v>
      </c>
      <c r="C85" s="102" t="e">
        <f>COUNTIFS(#REF!,B4,#REF!,C6,#REF!,"&gt;0",#REF!,"&lt;19")</f>
        <v>#REF!</v>
      </c>
      <c r="D85" s="102" t="e">
        <f>COUNTIFS(#REF!,B4,#REF!,D6,#REF!,"&gt;0",#REF!,"&lt;19")</f>
        <v>#REF!</v>
      </c>
      <c r="E85" s="102" t="e">
        <f>COUNTIFS(#REF!,B4,#REF!,E6,#REF!,"&gt;0",#REF!,"&lt;19")</f>
        <v>#REF!</v>
      </c>
      <c r="F85" s="102" t="e">
        <f>COUNTIFS(#REF!,B4,#REF!,F6,#REF!,"&gt;0",#REF!,"&lt;19")</f>
        <v>#REF!</v>
      </c>
      <c r="G85" s="102" t="e">
        <f>COUNTIFS(#REF!,B4,#REF!,G6,#REF!,"&gt;0",#REF!,"&lt;19")</f>
        <v>#REF!</v>
      </c>
      <c r="H85" s="102" t="e">
        <f>COUNTIFS(#REF!,B4,#REF!,H6,#REF!,"&gt;0",#REF!,"&lt;19")</f>
        <v>#REF!</v>
      </c>
      <c r="I85" s="102" t="e">
        <f>COUNTIFS(#REF!,B4,#REF!,I6,#REF!,"&gt;0",#REF!,"&lt;19")</f>
        <v>#REF!</v>
      </c>
      <c r="J85" s="102" t="e">
        <f>COUNTIFS(#REF!,B4,#REF!,J6,#REF!,"&gt;0",#REF!,"&lt;19")</f>
        <v>#REF!</v>
      </c>
      <c r="K85" s="102" t="e">
        <f>COUNTIFS(#REF!,B4,#REF!,K6,#REF!,"&gt;0",#REF!,"&lt;19")</f>
        <v>#REF!</v>
      </c>
      <c r="L85" s="102" t="e">
        <f>COUNTIFS(#REF!,B4,#REF!,L6,#REF!,"&gt;0",#REF!,"&lt;19")</f>
        <v>#REF!</v>
      </c>
      <c r="M85" s="102" t="e">
        <f>COUNTIFS(#REF!,B4,#REF!,M6,#REF!,"&gt;0",#REF!,"&lt;19")</f>
        <v>#REF!</v>
      </c>
      <c r="N85" s="126" t="e">
        <f>SUM(B85:M85)</f>
        <v>#REF!</v>
      </c>
    </row>
    <row r="86" spans="1:14" ht="31.5" customHeight="1" thickBot="1" x14ac:dyDescent="0.3">
      <c r="A86" s="66" t="s">
        <v>394</v>
      </c>
      <c r="B86" s="117" t="e">
        <f>IF($B$40=0,"",SUM(B85/$B$40))</f>
        <v>#REF!</v>
      </c>
      <c r="C86" s="118" t="e">
        <f t="shared" ref="C86:N86" si="25">IF(C40=0,"",SUM(C85/C40))</f>
        <v>#REF!</v>
      </c>
      <c r="D86" s="118" t="e">
        <f t="shared" si="25"/>
        <v>#REF!</v>
      </c>
      <c r="E86" s="118" t="e">
        <f t="shared" si="25"/>
        <v>#REF!</v>
      </c>
      <c r="F86" s="118" t="e">
        <f t="shared" si="25"/>
        <v>#REF!</v>
      </c>
      <c r="G86" s="118" t="e">
        <f t="shared" si="25"/>
        <v>#REF!</v>
      </c>
      <c r="H86" s="118" t="e">
        <f t="shared" si="25"/>
        <v>#REF!</v>
      </c>
      <c r="I86" s="118" t="e">
        <f t="shared" si="25"/>
        <v>#REF!</v>
      </c>
      <c r="J86" s="118" t="e">
        <f t="shared" si="25"/>
        <v>#REF!</v>
      </c>
      <c r="K86" s="118" t="e">
        <f t="shared" si="25"/>
        <v>#REF!</v>
      </c>
      <c r="L86" s="118" t="e">
        <f t="shared" si="25"/>
        <v>#REF!</v>
      </c>
      <c r="M86" s="118" t="e">
        <f t="shared" si="25"/>
        <v>#REF!</v>
      </c>
      <c r="N86" s="119" t="e">
        <f t="shared" si="25"/>
        <v>#REF!</v>
      </c>
    </row>
    <row r="87" spans="1:14" ht="31.5" customHeight="1" thickBot="1" x14ac:dyDescent="0.3">
      <c r="A87" s="67" t="s">
        <v>395</v>
      </c>
      <c r="B87" s="102" t="e">
        <f>COUNTIFS(#REF!,B4,#REF!,B6,#REF!,"&gt;0",#REF!,"&lt;14")</f>
        <v>#REF!</v>
      </c>
      <c r="C87" s="102" t="e">
        <f>COUNTIFS(#REF!,B4,#REF!,C6,#REF!,"&gt;0",#REF!,"&lt;14")</f>
        <v>#REF!</v>
      </c>
      <c r="D87" s="102" t="e">
        <f>COUNTIFS(#REF!,B4,#REF!,D6,#REF!,"&gt;0",#REF!,"&lt;14")</f>
        <v>#REF!</v>
      </c>
      <c r="E87" s="102" t="e">
        <f>COUNTIFS(#REF!,B4,#REF!,E6,#REF!,"&gt;0",#REF!,"&lt;14")</f>
        <v>#REF!</v>
      </c>
      <c r="F87" s="102" t="e">
        <f>COUNTIFS(#REF!,B4,#REF!,F6,#REF!,"&gt;0",#REF!,"&lt;14")</f>
        <v>#REF!</v>
      </c>
      <c r="G87" s="102" t="e">
        <f>COUNTIFS(#REF!,B4,#REF!,G6,#REF!,"&gt;0",#REF!,"&lt;14")</f>
        <v>#REF!</v>
      </c>
      <c r="H87" s="102" t="e">
        <f>COUNTIFS(#REF!,B4,#REF!,H6,#REF!,"&gt;0",#REF!,"&lt;14")</f>
        <v>#REF!</v>
      </c>
      <c r="I87" s="102" t="e">
        <f>COUNTIFS(#REF!,B4,#REF!,I6,#REF!,"&gt;0",#REF!,"&lt;14")</f>
        <v>#REF!</v>
      </c>
      <c r="J87" s="102" t="e">
        <f>COUNTIFS(#REF!,B4,#REF!,J6,#REF!,"&gt;0",#REF!,"&lt;14")</f>
        <v>#REF!</v>
      </c>
      <c r="K87" s="102" t="e">
        <f>COUNTIFS(#REF!,B4,#REF!,K6,#REF!,"&gt;0",#REF!,"&lt;14")</f>
        <v>#REF!</v>
      </c>
      <c r="L87" s="102" t="e">
        <f>COUNTIFS(#REF!,B4,#REF!,L6,#REF!,"&gt;0",#REF!,"&lt;14")</f>
        <v>#REF!</v>
      </c>
      <c r="M87" s="102" t="e">
        <f>COUNTIFS(#REF!,B4,#REF!,M6,#REF!,"&gt;0",#REF!,"&lt;14")</f>
        <v>#REF!</v>
      </c>
      <c r="N87" s="126" t="e">
        <f>SUM(B87:M87)</f>
        <v>#REF!</v>
      </c>
    </row>
    <row r="88" spans="1:14" ht="31.5" customHeight="1" thickBot="1" x14ac:dyDescent="0.3">
      <c r="A88" s="66" t="s">
        <v>396</v>
      </c>
      <c r="B88" s="117" t="e">
        <f>IF(B$40=0,"",SUM(B87/B$40))</f>
        <v>#REF!</v>
      </c>
      <c r="C88" s="118" t="e">
        <f>IF(C$40=0,"",SUM(C87/C$40))</f>
        <v>#REF!</v>
      </c>
      <c r="D88" s="118" t="e">
        <f t="shared" ref="D88:N88" si="26">IF(D$40=0,"",SUM(D87/D$40))</f>
        <v>#REF!</v>
      </c>
      <c r="E88" s="118" t="e">
        <f t="shared" si="26"/>
        <v>#REF!</v>
      </c>
      <c r="F88" s="118" t="e">
        <f t="shared" si="26"/>
        <v>#REF!</v>
      </c>
      <c r="G88" s="118" t="e">
        <f t="shared" si="26"/>
        <v>#REF!</v>
      </c>
      <c r="H88" s="118" t="e">
        <f t="shared" si="26"/>
        <v>#REF!</v>
      </c>
      <c r="I88" s="118" t="e">
        <f t="shared" si="26"/>
        <v>#REF!</v>
      </c>
      <c r="J88" s="118" t="e">
        <f>IF(J$40=0,"",SUM(J87/J$40))</f>
        <v>#REF!</v>
      </c>
      <c r="K88" s="118" t="e">
        <f t="shared" si="26"/>
        <v>#REF!</v>
      </c>
      <c r="L88" s="118" t="e">
        <f t="shared" si="26"/>
        <v>#REF!</v>
      </c>
      <c r="M88" s="118" t="e">
        <f t="shared" si="26"/>
        <v>#REF!</v>
      </c>
      <c r="N88" s="119" t="e">
        <f t="shared" si="26"/>
        <v>#REF!</v>
      </c>
    </row>
    <row r="89" spans="1:14" ht="31.5" customHeight="1" x14ac:dyDescent="0.25">
      <c r="A89" s="127" t="s">
        <v>790</v>
      </c>
      <c r="B89" s="115" t="e">
        <f>COUNTIFS(#REF!,B4,#REF!,B6,Tabla1[SALE DEL PROGRAMA POR],"PARTO")</f>
        <v>#REF!</v>
      </c>
      <c r="C89" s="115" t="e">
        <f>COUNTIFS(#REF!,B4,#REF!,C6,Tabla1[SALE DEL PROGRAMA POR],"PARTO")</f>
        <v>#REF!</v>
      </c>
      <c r="D89" s="115" t="e">
        <f>COUNTIFS(#REF!,B4,#REF!,D6,Tabla1[SALE DEL PROGRAMA POR],"PARTO")</f>
        <v>#REF!</v>
      </c>
      <c r="E89" s="115" t="e">
        <f>COUNTIFS(#REF!,B4,#REF!,E6,Tabla1[SALE DEL PROGRAMA POR],"PARTO")</f>
        <v>#REF!</v>
      </c>
      <c r="F89" s="115" t="e">
        <f>COUNTIFS(#REF!,B4,#REF!,F6,Tabla1[SALE DEL PROGRAMA POR],"PARTO")</f>
        <v>#REF!</v>
      </c>
      <c r="G89" s="115" t="e">
        <f>COUNTIFS(#REF!,B4,#REF!,G6,Tabla1[SALE DEL PROGRAMA POR],"PARTO")</f>
        <v>#REF!</v>
      </c>
      <c r="H89" s="115" t="e">
        <f>COUNTIFS(#REF!,B4,#REF!,H6,Tabla1[SALE DEL PROGRAMA POR],"PARTO")</f>
        <v>#REF!</v>
      </c>
      <c r="I89" s="115" t="e">
        <f>COUNTIFS(#REF!,B4,#REF!,I6,Tabla1[SALE DEL PROGRAMA POR],"PARTO")</f>
        <v>#REF!</v>
      </c>
      <c r="J89" s="115" t="e">
        <f>COUNTIFS(#REF!,B4,#REF!,J6,Tabla1[SALE DEL PROGRAMA POR],"PARTO")</f>
        <v>#REF!</v>
      </c>
      <c r="K89" s="115" t="e">
        <f>COUNTIFS(#REF!,B4,#REF!,K6,Tabla1[SALE DEL PROGRAMA POR],"PARTO")</f>
        <v>#REF!</v>
      </c>
      <c r="L89" s="115" t="e">
        <f>COUNTIFS(#REF!,B4,#REF!,L6,Tabla1[SALE DEL PROGRAMA POR],"PARTO")</f>
        <v>#REF!</v>
      </c>
      <c r="M89" s="115" t="e">
        <f>COUNTIFS(#REF!,B4,#REF!,M6,Tabla1[SALE DEL PROGRAMA POR],"PARTO")</f>
        <v>#REF!</v>
      </c>
      <c r="N89" s="124" t="e">
        <f>SUM(B89:M89)</f>
        <v>#REF!</v>
      </c>
    </row>
    <row r="90" spans="1:14" ht="31.5" customHeight="1" x14ac:dyDescent="0.25">
      <c r="A90" s="127" t="s">
        <v>791</v>
      </c>
      <c r="B90" s="68" t="e">
        <f>COUNTIFS(#REF!,B4,#REF!,B6,Tabla1[SALE DEL PROGRAMA POR],"CESAREA")</f>
        <v>#REF!</v>
      </c>
      <c r="C90" s="68" t="e">
        <f>COUNTIFS(#REF!,B4,#REF!,C6,Tabla1[SALE DEL PROGRAMA POR],"CESAREA")</f>
        <v>#REF!</v>
      </c>
      <c r="D90" s="68" t="e">
        <f>COUNTIFS(#REF!,B4,#REF!,D6,Tabla1[SALE DEL PROGRAMA POR],"CESAREA")</f>
        <v>#REF!</v>
      </c>
      <c r="E90" s="68" t="e">
        <f>COUNTIFS(#REF!,B4,#REF!,E6,Tabla1[SALE DEL PROGRAMA POR],"CESAREA")</f>
        <v>#REF!</v>
      </c>
      <c r="F90" s="68" t="e">
        <f>COUNTIFS(#REF!,B4,#REF!,F6,Tabla1[SALE DEL PROGRAMA POR],"CESAREA")</f>
        <v>#REF!</v>
      </c>
      <c r="G90" s="68" t="e">
        <f>COUNTIFS(#REF!,B4,#REF!,G6,Tabla1[SALE DEL PROGRAMA POR],"CESAREA")</f>
        <v>#REF!</v>
      </c>
      <c r="H90" s="68" t="e">
        <f>COUNTIFS(#REF!,B4,#REF!,H6,Tabla1[SALE DEL PROGRAMA POR],"CESAREA")</f>
        <v>#REF!</v>
      </c>
      <c r="I90" s="68" t="e">
        <f>COUNTIFS(#REF!,B4,#REF!,I6,Tabla1[SALE DEL PROGRAMA POR],"CESAREA")</f>
        <v>#REF!</v>
      </c>
      <c r="J90" s="68" t="e">
        <f>COUNTIFS(#REF!,B4,#REF!,J6,Tabla1[SALE DEL PROGRAMA POR],"CESAREA")</f>
        <v>#REF!</v>
      </c>
      <c r="K90" s="68" t="e">
        <f>COUNTIFS(#REF!,B4,#REF!,K6,Tabla1[SALE DEL PROGRAMA POR],"CESAREA")</f>
        <v>#REF!</v>
      </c>
      <c r="L90" s="68" t="e">
        <f>COUNTIFS(#REF!,B4,#REF!,L6,Tabla1[SALE DEL PROGRAMA POR],"CESAREA")</f>
        <v>#REF!</v>
      </c>
      <c r="M90" s="68" t="e">
        <f>COUNTIFS(#REF!,B4,#REF!,M6,Tabla1[SALE DEL PROGRAMA POR],"CESAREA")</f>
        <v>#REF!</v>
      </c>
      <c r="N90" s="128" t="e">
        <f>SUM(B90:M90)</f>
        <v>#REF!</v>
      </c>
    </row>
    <row r="91" spans="1:14" ht="31.5" customHeight="1" thickBot="1" x14ac:dyDescent="0.3">
      <c r="A91" s="129" t="s">
        <v>397</v>
      </c>
      <c r="B91" s="68" t="e">
        <f>SUM(B89:B90)</f>
        <v>#REF!</v>
      </c>
      <c r="C91" s="68" t="e">
        <f t="shared" ref="C91:M91" si="27">SUM(C89:C90)</f>
        <v>#REF!</v>
      </c>
      <c r="D91" s="68" t="e">
        <f t="shared" si="27"/>
        <v>#REF!</v>
      </c>
      <c r="E91" s="68" t="e">
        <f t="shared" si="27"/>
        <v>#REF!</v>
      </c>
      <c r="F91" s="68" t="e">
        <f t="shared" si="27"/>
        <v>#REF!</v>
      </c>
      <c r="G91" s="68" t="e">
        <f t="shared" si="27"/>
        <v>#REF!</v>
      </c>
      <c r="H91" s="68" t="e">
        <f t="shared" si="27"/>
        <v>#REF!</v>
      </c>
      <c r="I91" s="68" t="e">
        <f t="shared" si="27"/>
        <v>#REF!</v>
      </c>
      <c r="J91" s="68" t="e">
        <f t="shared" si="27"/>
        <v>#REF!</v>
      </c>
      <c r="K91" s="68" t="e">
        <f t="shared" si="27"/>
        <v>#REF!</v>
      </c>
      <c r="L91" s="68" t="e">
        <f t="shared" si="27"/>
        <v>#REF!</v>
      </c>
      <c r="M91" s="68" t="e">
        <f t="shared" si="27"/>
        <v>#REF!</v>
      </c>
      <c r="N91" s="128" t="e">
        <f>SUM(B91:M91)</f>
        <v>#REF!</v>
      </c>
    </row>
    <row r="92" spans="1:14" ht="31.5" customHeight="1" thickBot="1" x14ac:dyDescent="0.3">
      <c r="A92" s="66" t="s">
        <v>398</v>
      </c>
      <c r="B92" s="71" t="e">
        <f>IF(B91=0,"",SUM(B89/B91))</f>
        <v>#REF!</v>
      </c>
      <c r="C92" s="71" t="e">
        <f t="shared" ref="C92:N92" si="28">IF(C91=0,"",SUM(C89/C91))</f>
        <v>#REF!</v>
      </c>
      <c r="D92" s="71" t="e">
        <f t="shared" si="28"/>
        <v>#REF!</v>
      </c>
      <c r="E92" s="71" t="e">
        <f t="shared" si="28"/>
        <v>#REF!</v>
      </c>
      <c r="F92" s="71" t="e">
        <f t="shared" si="28"/>
        <v>#REF!</v>
      </c>
      <c r="G92" s="71" t="e">
        <f t="shared" si="28"/>
        <v>#REF!</v>
      </c>
      <c r="H92" s="71" t="e">
        <f t="shared" si="28"/>
        <v>#REF!</v>
      </c>
      <c r="I92" s="71" t="e">
        <f t="shared" si="28"/>
        <v>#REF!</v>
      </c>
      <c r="J92" s="71" t="e">
        <f t="shared" si="28"/>
        <v>#REF!</v>
      </c>
      <c r="K92" s="71" t="e">
        <f t="shared" si="28"/>
        <v>#REF!</v>
      </c>
      <c r="L92" s="71" t="e">
        <f t="shared" si="28"/>
        <v>#REF!</v>
      </c>
      <c r="M92" s="71" t="e">
        <f t="shared" si="28"/>
        <v>#REF!</v>
      </c>
      <c r="N92" s="130" t="e">
        <f t="shared" si="28"/>
        <v>#REF!</v>
      </c>
    </row>
    <row r="93" spans="1:14" ht="31.5" customHeight="1" x14ac:dyDescent="0.25">
      <c r="A93" s="66" t="s">
        <v>399</v>
      </c>
      <c r="B93" s="71" t="e">
        <f>IF(B91=0,"",SUM(B90/B91))</f>
        <v>#REF!</v>
      </c>
      <c r="C93" s="71" t="e">
        <f t="shared" ref="C93:N93" si="29">IF(C91=0,"",SUM(C90/C91))</f>
        <v>#REF!</v>
      </c>
      <c r="D93" s="71" t="e">
        <f t="shared" si="29"/>
        <v>#REF!</v>
      </c>
      <c r="E93" s="71" t="e">
        <f t="shared" si="29"/>
        <v>#REF!</v>
      </c>
      <c r="F93" s="71" t="e">
        <f t="shared" si="29"/>
        <v>#REF!</v>
      </c>
      <c r="G93" s="71" t="e">
        <f t="shared" si="29"/>
        <v>#REF!</v>
      </c>
      <c r="H93" s="71" t="e">
        <f t="shared" si="29"/>
        <v>#REF!</v>
      </c>
      <c r="I93" s="71" t="e">
        <f t="shared" si="29"/>
        <v>#REF!</v>
      </c>
      <c r="J93" s="71" t="e">
        <f t="shared" si="29"/>
        <v>#REF!</v>
      </c>
      <c r="K93" s="71" t="e">
        <f t="shared" si="29"/>
        <v>#REF!</v>
      </c>
      <c r="L93" s="71" t="e">
        <f t="shared" si="29"/>
        <v>#REF!</v>
      </c>
      <c r="M93" s="71" t="e">
        <f t="shared" si="29"/>
        <v>#REF!</v>
      </c>
      <c r="N93" s="130" t="e">
        <f t="shared" si="29"/>
        <v>#REF!</v>
      </c>
    </row>
    <row r="94" spans="1:14" ht="31.5" customHeight="1" thickBot="1" x14ac:dyDescent="0.3">
      <c r="A94" s="127" t="s">
        <v>400</v>
      </c>
      <c r="B94" s="116" t="e">
        <f>COUNTIFS(#REF!,B4,#REF!,B6,Tabla1[SALE DEL PROGRAMA POR],"IVE")</f>
        <v>#REF!</v>
      </c>
      <c r="C94" s="116" t="e">
        <f>COUNTIFS(#REF!,B4,#REF!,C6,Tabla1[SALE DEL PROGRAMA POR],"IVE")</f>
        <v>#REF!</v>
      </c>
      <c r="D94" s="116" t="e">
        <f>COUNTIFS(#REF!,B4,#REF!,D6,Tabla1[SALE DEL PROGRAMA POR],"IVE")</f>
        <v>#REF!</v>
      </c>
      <c r="E94" s="116" t="e">
        <f>COUNTIFS(#REF!,B4,#REF!,E6,Tabla1[SALE DEL PROGRAMA POR],"IVE")</f>
        <v>#REF!</v>
      </c>
      <c r="F94" s="116" t="e">
        <f>COUNTIFS(#REF!,B4,#REF!,F6,Tabla1[SALE DEL PROGRAMA POR],"IVE")</f>
        <v>#REF!</v>
      </c>
      <c r="G94" s="116" t="e">
        <f>COUNTIFS(#REF!,B4,#REF!,G6,Tabla1[SALE DEL PROGRAMA POR],"IVE")</f>
        <v>#REF!</v>
      </c>
      <c r="H94" s="116" t="e">
        <f>COUNTIFS(#REF!,B4,#REF!,H6,Tabla1[SALE DEL PROGRAMA POR],"IVE")</f>
        <v>#REF!</v>
      </c>
      <c r="I94" s="116" t="e">
        <f>COUNTIFS(#REF!,B4,#REF!,I6,Tabla1[SALE DEL PROGRAMA POR],"IVE")</f>
        <v>#REF!</v>
      </c>
      <c r="J94" s="116" t="e">
        <f>COUNTIFS(#REF!,B4,#REF!,J6,Tabla1[SALE DEL PROGRAMA POR],"IVE")</f>
        <v>#REF!</v>
      </c>
      <c r="K94" s="116" t="e">
        <f>COUNTIFS(#REF!,B4,#REF!,K6,Tabla1[SALE DEL PROGRAMA POR],"IVE")</f>
        <v>#REF!</v>
      </c>
      <c r="L94" s="116" t="e">
        <f>COUNTIFS(#REF!,B4,#REF!,L6,Tabla1[SALE DEL PROGRAMA POR],"IVE")</f>
        <v>#REF!</v>
      </c>
      <c r="M94" s="116" t="e">
        <f>COUNTIFS(#REF!,B4,#REF!,M6,Tabla1[SALE DEL PROGRAMA POR],"IVE")</f>
        <v>#REF!</v>
      </c>
      <c r="N94" s="125" t="e">
        <f t="shared" ref="N94:N136" si="30">SUM(B94:M94)</f>
        <v>#REF!</v>
      </c>
    </row>
    <row r="95" spans="1:14" ht="31.5" customHeight="1" thickBot="1" x14ac:dyDescent="0.3">
      <c r="A95" s="66" t="s">
        <v>401</v>
      </c>
      <c r="B95" s="117" t="e">
        <f>IF(SUM(B91,B94)=0,"",SUM(B94/SUM(B94,B91)))</f>
        <v>#REF!</v>
      </c>
      <c r="C95" s="118" t="e">
        <f t="shared" ref="C95:N95" si="31">IF(SUM(C91,C94)=0,"",SUM(C94/SUM(C94,C91)))</f>
        <v>#REF!</v>
      </c>
      <c r="D95" s="118" t="e">
        <f t="shared" si="31"/>
        <v>#REF!</v>
      </c>
      <c r="E95" s="118" t="e">
        <f t="shared" si="31"/>
        <v>#REF!</v>
      </c>
      <c r="F95" s="118" t="e">
        <f t="shared" si="31"/>
        <v>#REF!</v>
      </c>
      <c r="G95" s="118" t="e">
        <f t="shared" si="31"/>
        <v>#REF!</v>
      </c>
      <c r="H95" s="118" t="e">
        <f t="shared" si="31"/>
        <v>#REF!</v>
      </c>
      <c r="I95" s="118" t="e">
        <f t="shared" si="31"/>
        <v>#REF!</v>
      </c>
      <c r="J95" s="118" t="e">
        <f t="shared" si="31"/>
        <v>#REF!</v>
      </c>
      <c r="K95" s="118" t="e">
        <f t="shared" si="31"/>
        <v>#REF!</v>
      </c>
      <c r="L95" s="118" t="e">
        <f t="shared" si="31"/>
        <v>#REF!</v>
      </c>
      <c r="M95" s="118" t="e">
        <f t="shared" si="31"/>
        <v>#REF!</v>
      </c>
      <c r="N95" s="119" t="e">
        <f t="shared" si="31"/>
        <v>#REF!</v>
      </c>
    </row>
    <row r="96" spans="1:14" ht="31.5" customHeight="1" thickBot="1" x14ac:dyDescent="0.3">
      <c r="A96" s="127" t="s">
        <v>402</v>
      </c>
      <c r="B96" s="102" t="e">
        <f>SUM(COUNTIFS(#REF!,B4,#REF!,B6,Tabla1[SALE DEL PROGRAMA POR],"PARTO",Tabla1[LUGAR DE ATENCION DEL PARTO],"INSTITUCIONAL"),COUNTIFS(#REF!,B4,#REF!,B6,Tabla1[SALE DEL PROGRAMA POR],"CESAREA",Tabla1[LUGAR DE ATENCION DEL PARTO],"INSTITUCIONAL"))</f>
        <v>#REF!</v>
      </c>
      <c r="C96" s="102" t="e">
        <f>SUM(COUNTIFS(#REF!,B4,#REF!,C6,Tabla1[SALE DEL PROGRAMA POR],"PARTO",Tabla1[LUGAR DE ATENCION DEL PARTO],"INSTITUCIONAL"),COUNTIFS(#REF!,B4,#REF!,C6,Tabla1[SALE DEL PROGRAMA POR],"CESAREA",Tabla1[LUGAR DE ATENCION DEL PARTO],"INSTITUCIONAL"))</f>
        <v>#REF!</v>
      </c>
      <c r="D96" s="102" t="e">
        <f>SUM(COUNTIFS(#REF!,B4,#REF!,D6,Tabla1[SALE DEL PROGRAMA POR],"PARTO",Tabla1[LUGAR DE ATENCION DEL PARTO],"INSTITUCIONAL"),COUNTIFS(#REF!,B4,#REF!,D6,Tabla1[SALE DEL PROGRAMA POR],"CESAREA",Tabla1[LUGAR DE ATENCION DEL PARTO],"INSTITUCIONAL"))</f>
        <v>#REF!</v>
      </c>
      <c r="E96" s="102" t="e">
        <f>SUM(COUNTIFS(#REF!,B4,#REF!,E6,Tabla1[SALE DEL PROGRAMA POR],"PARTO",Tabla1[LUGAR DE ATENCION DEL PARTO],"INSTITUCIONAL"),COUNTIFS(#REF!,B4,#REF!,E6,Tabla1[SALE DEL PROGRAMA POR],"CESAREA",Tabla1[LUGAR DE ATENCION DEL PARTO],"INSTITUCIONAL"))</f>
        <v>#REF!</v>
      </c>
      <c r="F96" s="102" t="e">
        <f>SUM(COUNTIFS(#REF!,B4,#REF!,F6,Tabla1[SALE DEL PROGRAMA POR],"PARTO",Tabla1[LUGAR DE ATENCION DEL PARTO],"INSTITUCIONAL"),COUNTIFS(#REF!,B4,#REF!,F6,Tabla1[SALE DEL PROGRAMA POR],"CESAREA",Tabla1[LUGAR DE ATENCION DEL PARTO],"INSTITUCIONAL"))</f>
        <v>#REF!</v>
      </c>
      <c r="G96" s="102" t="e">
        <f>SUM(COUNTIFS(#REF!,B4,#REF!,G6,Tabla1[SALE DEL PROGRAMA POR],"PARTO",Tabla1[LUGAR DE ATENCION DEL PARTO],"INSTITUCIONAL"),COUNTIFS(#REF!,B4,#REF!,G6,Tabla1[SALE DEL PROGRAMA POR],"CESAREA",Tabla1[LUGAR DE ATENCION DEL PARTO],"INSTITUCIONAL"))</f>
        <v>#REF!</v>
      </c>
      <c r="H96" s="102" t="e">
        <f>SUM(COUNTIFS(#REF!,B4,#REF!,H6,Tabla1[SALE DEL PROGRAMA POR],"PARTO",Tabla1[LUGAR DE ATENCION DEL PARTO],"INSTITUCIONAL"),COUNTIFS(#REF!,B4,#REF!,H6,Tabla1[SALE DEL PROGRAMA POR],"CESAREA",Tabla1[LUGAR DE ATENCION DEL PARTO],"INSTITUCIONAL"))</f>
        <v>#REF!</v>
      </c>
      <c r="I96" s="102" t="e">
        <f>SUM(COUNTIFS(#REF!,B4,#REF!,I6,Tabla1[SALE DEL PROGRAMA POR],"PARTO",Tabla1[LUGAR DE ATENCION DEL PARTO],"INSTITUCIONAL"),COUNTIFS(#REF!,B4,#REF!,I6,Tabla1[SALE DEL PROGRAMA POR],"CESAREA",Tabla1[LUGAR DE ATENCION DEL PARTO],"INSTITUCIONAL"))</f>
        <v>#REF!</v>
      </c>
      <c r="J96" s="102" t="e">
        <f>SUM(COUNTIFS(#REF!,B4,#REF!,J6,Tabla1[SALE DEL PROGRAMA POR],"PARTO",Tabla1[LUGAR DE ATENCION DEL PARTO],"INSTITUCIONAL"),COUNTIFS(#REF!,B4,#REF!,J6,Tabla1[SALE DEL PROGRAMA POR],"CESAREA",Tabla1[LUGAR DE ATENCION DEL PARTO],"INSTITUCIONAL"))</f>
        <v>#REF!</v>
      </c>
      <c r="K96" s="102" t="e">
        <f>SUM(COUNTIFS(#REF!,B4,#REF!,K6,Tabla1[SALE DEL PROGRAMA POR],"PARTO",Tabla1[LUGAR DE ATENCION DEL PARTO],"INSTITUCIONAL"),COUNTIFS(#REF!,B4,#REF!,K6,Tabla1[SALE DEL PROGRAMA POR],"CESAREA",Tabla1[LUGAR DE ATENCION DEL PARTO],"INSTITUCIONAL"))</f>
        <v>#REF!</v>
      </c>
      <c r="L96" s="102" t="e">
        <f>SUM(COUNTIFS(#REF!,B4,#REF!,L6,Tabla1[SALE DEL PROGRAMA POR],"PARTO",Tabla1[LUGAR DE ATENCION DEL PARTO],"INSTITUCIONAL"),COUNTIFS(#REF!,B4,#REF!,L6,Tabla1[SALE DEL PROGRAMA POR],"CESAREA",Tabla1[LUGAR DE ATENCION DEL PARTO],"INSTITUCIONAL"))</f>
        <v>#REF!</v>
      </c>
      <c r="M96" s="102" t="e">
        <f>SUM(COUNTIFS(#REF!,B4,#REF!,M6,Tabla1[SALE DEL PROGRAMA POR],"PARTO",Tabla1[LUGAR DE ATENCION DEL PARTO],"INSTITUCIONAL"),COUNTIFS(#REF!,B4,#REF!,M6,Tabla1[SALE DEL PROGRAMA POR],"CESAREA",Tabla1[LUGAR DE ATENCION DEL PARTO],"INSTITUCIONAL"))</f>
        <v>#REF!</v>
      </c>
      <c r="N96" s="126" t="e">
        <f t="shared" si="30"/>
        <v>#REF!</v>
      </c>
    </row>
    <row r="97" spans="1:14 16384:16384" ht="31.5" customHeight="1" thickBot="1" x14ac:dyDescent="0.3">
      <c r="A97" s="66" t="s">
        <v>403</v>
      </c>
      <c r="B97" s="117" t="e">
        <f>IF(B91=0,"",SUM(B96/B91))</f>
        <v>#REF!</v>
      </c>
      <c r="C97" s="118" t="e">
        <f t="shared" ref="C97:N97" si="32">IF(C91=0,"",SUM(C96/C91))</f>
        <v>#REF!</v>
      </c>
      <c r="D97" s="118" t="e">
        <f t="shared" si="32"/>
        <v>#REF!</v>
      </c>
      <c r="E97" s="118" t="e">
        <f t="shared" si="32"/>
        <v>#REF!</v>
      </c>
      <c r="F97" s="118" t="e">
        <f t="shared" si="32"/>
        <v>#REF!</v>
      </c>
      <c r="G97" s="118" t="e">
        <f t="shared" si="32"/>
        <v>#REF!</v>
      </c>
      <c r="H97" s="118" t="e">
        <f t="shared" si="32"/>
        <v>#REF!</v>
      </c>
      <c r="I97" s="118" t="e">
        <f t="shared" si="32"/>
        <v>#REF!</v>
      </c>
      <c r="J97" s="118" t="e">
        <f t="shared" si="32"/>
        <v>#REF!</v>
      </c>
      <c r="K97" s="118" t="e">
        <f t="shared" si="32"/>
        <v>#REF!</v>
      </c>
      <c r="L97" s="118" t="e">
        <f t="shared" si="32"/>
        <v>#REF!</v>
      </c>
      <c r="M97" s="118" t="e">
        <f t="shared" si="32"/>
        <v>#REF!</v>
      </c>
      <c r="N97" s="119" t="e">
        <f t="shared" si="32"/>
        <v>#REF!</v>
      </c>
    </row>
    <row r="98" spans="1:14 16384:16384" ht="31.5" customHeight="1" thickBot="1" x14ac:dyDescent="0.3">
      <c r="A98" s="127" t="s">
        <v>404</v>
      </c>
      <c r="B98" s="102" t="e">
        <f>COUNTIFS(#REF!,B4,#REF!,B6,Tabla1[SALE DEL PROGRAMA POR],"PARTO",Tabla1[LUGAR DE ATENCION DEL PARTO],"DOMICILIO")</f>
        <v>#REF!</v>
      </c>
      <c r="C98" s="102" t="e">
        <f>COUNTIFS(#REF!,B4,#REF!,C6,Tabla1[SALE DEL PROGRAMA POR],"PARTO",Tabla1[LUGAR DE ATENCION DEL PARTO],"DOMICILIO")</f>
        <v>#REF!</v>
      </c>
      <c r="D98" s="102" t="e">
        <f>COUNTIFS(#REF!,B4,#REF!,D6,Tabla1[SALE DEL PROGRAMA POR],"PARTO",Tabla1[LUGAR DE ATENCION DEL PARTO],"DOMICILIO")</f>
        <v>#REF!</v>
      </c>
      <c r="E98" s="102" t="e">
        <f>COUNTIFS(#REF!,B4,#REF!,E6,Tabla1[SALE DEL PROGRAMA POR],"PARTO",Tabla1[LUGAR DE ATENCION DEL PARTO],"DOMICILIO")</f>
        <v>#REF!</v>
      </c>
      <c r="F98" s="102" t="e">
        <f>COUNTIFS(#REF!,B4,#REF!,F6,Tabla1[SALE DEL PROGRAMA POR],"PARTO",Tabla1[LUGAR DE ATENCION DEL PARTO],"DOMICILIO")</f>
        <v>#REF!</v>
      </c>
      <c r="G98" s="102" t="e">
        <f>COUNTIFS(#REF!,B4,#REF!,G6,Tabla1[SALE DEL PROGRAMA POR],"PARTO",Tabla1[LUGAR DE ATENCION DEL PARTO],"DOMICILIO")</f>
        <v>#REF!</v>
      </c>
      <c r="H98" s="102" t="e">
        <f>COUNTIFS(#REF!,B4,#REF!,H6,Tabla1[SALE DEL PROGRAMA POR],"PARTO",Tabla1[LUGAR DE ATENCION DEL PARTO],"DOMICILIO")</f>
        <v>#REF!</v>
      </c>
      <c r="I98" s="102" t="e">
        <f>COUNTIFS(#REF!,B4,#REF!,I6,Tabla1[SALE DEL PROGRAMA POR],"PARTO",Tabla1[LUGAR DE ATENCION DEL PARTO],"DOMICILIO")</f>
        <v>#REF!</v>
      </c>
      <c r="J98" s="102" t="e">
        <f>COUNTIFS(#REF!,B4,#REF!,J6,Tabla1[SALE DEL PROGRAMA POR],"PARTO",Tabla1[LUGAR DE ATENCION DEL PARTO],"DOMICILIO")</f>
        <v>#REF!</v>
      </c>
      <c r="K98" s="102" t="e">
        <f>COUNTIFS(#REF!,B4,#REF!,K6,Tabla1[SALE DEL PROGRAMA POR],"PARTO",Tabla1[LUGAR DE ATENCION DEL PARTO],"DOMICILIO")</f>
        <v>#REF!</v>
      </c>
      <c r="L98" s="102" t="e">
        <f>COUNTIFS(#REF!,B4,#REF!,L6,Tabla1[SALE DEL PROGRAMA POR],"PARTO",Tabla1[LUGAR DE ATENCION DEL PARTO],"DOMICILIO")</f>
        <v>#REF!</v>
      </c>
      <c r="M98" s="102" t="e">
        <f>COUNTIFS(#REF!,B4,#REF!,M6,Tabla1[SALE DEL PROGRAMA POR],"PARTO",Tabla1[LUGAR DE ATENCION DEL PARTO],"DOMICILIO")</f>
        <v>#REF!</v>
      </c>
      <c r="N98" s="126" t="e">
        <f t="shared" si="30"/>
        <v>#REF!</v>
      </c>
    </row>
    <row r="99" spans="1:14 16384:16384" ht="31.5" customHeight="1" thickBot="1" x14ac:dyDescent="0.3">
      <c r="A99" s="105" t="s">
        <v>405</v>
      </c>
      <c r="B99" s="117" t="e">
        <f>IF(B$91=0,"",SUM(B98/B$91))</f>
        <v>#REF!</v>
      </c>
      <c r="C99" s="118" t="e">
        <f t="shared" ref="C99:N99" si="33">IF(C91=0,"",SUM(C98/C91))</f>
        <v>#REF!</v>
      </c>
      <c r="D99" s="118" t="e">
        <f t="shared" si="33"/>
        <v>#REF!</v>
      </c>
      <c r="E99" s="118" t="e">
        <f t="shared" si="33"/>
        <v>#REF!</v>
      </c>
      <c r="F99" s="118" t="e">
        <f t="shared" si="33"/>
        <v>#REF!</v>
      </c>
      <c r="G99" s="118" t="e">
        <f t="shared" si="33"/>
        <v>#REF!</v>
      </c>
      <c r="H99" s="118" t="e">
        <f t="shared" si="33"/>
        <v>#REF!</v>
      </c>
      <c r="I99" s="118" t="e">
        <f t="shared" si="33"/>
        <v>#REF!</v>
      </c>
      <c r="J99" s="118" t="e">
        <f t="shared" si="33"/>
        <v>#REF!</v>
      </c>
      <c r="K99" s="118" t="e">
        <f t="shared" si="33"/>
        <v>#REF!</v>
      </c>
      <c r="L99" s="118" t="e">
        <f t="shared" si="33"/>
        <v>#REF!</v>
      </c>
      <c r="M99" s="118" t="e">
        <f t="shared" si="33"/>
        <v>#REF!</v>
      </c>
      <c r="N99" s="119" t="e">
        <f t="shared" si="33"/>
        <v>#REF!</v>
      </c>
    </row>
    <row r="100" spans="1:14 16384:16384" ht="39.75" customHeight="1" thickBot="1" x14ac:dyDescent="0.3">
      <c r="A100" s="127" t="s">
        <v>406</v>
      </c>
      <c r="B100" s="102" t="e">
        <f>SUM(COUNTIFS(#REF!,B4,#REF!,B6,Tabla1[SALE DEL PROGRAMA POR],"PARTO",Tabla1[ADHERENCIA AL CPN],"SI"),COUNTIFS(#REF!,B4,#REF!,B6,Tabla1[SALE DEL PROGRAMA POR],"CESAREA",Tabla1[ADHERENCIA AL CPN],"SI"))</f>
        <v>#REF!</v>
      </c>
      <c r="C100" s="102" t="e">
        <f>SUM(COUNTIFS(#REF!,B4,#REF!,C6,Tabla1[SALE DEL PROGRAMA POR],"PARTO",Tabla1[ADHERENCIA AL CPN],"SI"),COUNTIFS(#REF!,B4,#REF!,C6,Tabla1[SALE DEL PROGRAMA POR],"CESAREA",Tabla1[ADHERENCIA AL CPN],"SI"))</f>
        <v>#REF!</v>
      </c>
      <c r="D100" s="102" t="e">
        <f>SUM(COUNTIFS(#REF!,B4,#REF!,D6,Tabla1[SALE DEL PROGRAMA POR],"PARTO",Tabla1[ADHERENCIA AL CPN],"SI"),COUNTIFS(#REF!,B4,#REF!,D6,Tabla1[SALE DEL PROGRAMA POR],"CESAREA",Tabla1[ADHERENCIA AL CPN],"SI"))</f>
        <v>#REF!</v>
      </c>
      <c r="E100" s="102" t="e">
        <f>SUM(COUNTIFS(#REF!,B4,#REF!,E6,Tabla1[SALE DEL PROGRAMA POR],"PARTO",Tabla1[ADHERENCIA AL CPN],"SI"),COUNTIFS(#REF!,B4,#REF!,E6,Tabla1[SALE DEL PROGRAMA POR],"CESAREA",Tabla1[ADHERENCIA AL CPN],"SI"))</f>
        <v>#REF!</v>
      </c>
      <c r="F100" s="102" t="e">
        <f>SUM(COUNTIFS(#REF!,B4,#REF!,F6,Tabla1[SALE DEL PROGRAMA POR],"PARTO",Tabla1[ADHERENCIA AL CPN],"SI"),COUNTIFS(#REF!,B4,#REF!,F6,Tabla1[SALE DEL PROGRAMA POR],"CESAREA",Tabla1[ADHERENCIA AL CPN],"SI"))</f>
        <v>#REF!</v>
      </c>
      <c r="G100" s="102" t="e">
        <f>SUM(COUNTIFS(#REF!,B4,#REF!,G6,Tabla1[SALE DEL PROGRAMA POR],"PARTO",Tabla1[ADHERENCIA AL CPN],"SI"),COUNTIFS(#REF!,B4,#REF!,G6,Tabla1[SALE DEL PROGRAMA POR],"CESAREA",Tabla1[ADHERENCIA AL CPN],"SI"))</f>
        <v>#REF!</v>
      </c>
      <c r="H100" s="102" t="e">
        <f>SUM(COUNTIFS(#REF!,B4,#REF!,H6,Tabla1[SALE DEL PROGRAMA POR],"PARTO",Tabla1[ADHERENCIA AL CPN],"SI"),COUNTIFS(#REF!,B4,#REF!,H6,Tabla1[SALE DEL PROGRAMA POR],"CESAREA",Tabla1[ADHERENCIA AL CPN],"SI"))</f>
        <v>#REF!</v>
      </c>
      <c r="I100" s="102" t="e">
        <f>SUM(COUNTIFS(#REF!,B4,#REF!,I6,Tabla1[SALE DEL PROGRAMA POR],"PARTO",Tabla1[ADHERENCIA AL CPN],"SI"),COUNTIFS(#REF!,B4,#REF!,I6,Tabla1[SALE DEL PROGRAMA POR],"CESAREA",Tabla1[ADHERENCIA AL CPN],"SI"))</f>
        <v>#REF!</v>
      </c>
      <c r="J100" s="102" t="e">
        <f>SUM(COUNTIFS(#REF!,B4,#REF!,J6,Tabla1[SALE DEL PROGRAMA POR],"PARTO",Tabla1[ADHERENCIA AL CPN],"SI"),COUNTIFS(#REF!,B4,#REF!,J6,Tabla1[SALE DEL PROGRAMA POR],"CESAREA",Tabla1[ADHERENCIA AL CPN],"SI"))</f>
        <v>#REF!</v>
      </c>
      <c r="K100" s="102" t="e">
        <f>SUM(COUNTIFS(#REF!,B4,#REF!,K6,Tabla1[SALE DEL PROGRAMA POR],"PARTO",Tabla1[ADHERENCIA AL CPN],"SI"),COUNTIFS(#REF!,B4,#REF!,K6,Tabla1[SALE DEL PROGRAMA POR],"CESAREA",Tabla1[ADHERENCIA AL CPN],"SI"))</f>
        <v>#REF!</v>
      </c>
      <c r="L100" s="102" t="e">
        <f>SUM(COUNTIFS(#REF!,B4,#REF!,L6,Tabla1[SALE DEL PROGRAMA POR],"PARTO",Tabla1[ADHERENCIA AL CPN],"SI"),COUNTIFS(#REF!,B4,#REF!,L6,Tabla1[SALE DEL PROGRAMA POR],"CESAREA",Tabla1[ADHERENCIA AL CPN],"SI"))</f>
        <v>#REF!</v>
      </c>
      <c r="M100" s="102" t="e">
        <f>SUM(COUNTIFS(#REF!,B4,#REF!,M6,Tabla1[SALE DEL PROGRAMA POR],"PARTO",Tabla1[ADHERENCIA AL CPN],"SI"),COUNTIFS(#REF!,B4,#REF!,M6,Tabla1[SALE DEL PROGRAMA POR],"CESAREA",Tabla1[ADHERENCIA AL CPN],"SI"))</f>
        <v>#REF!</v>
      </c>
      <c r="N100" s="126" t="e">
        <f t="shared" si="30"/>
        <v>#REF!</v>
      </c>
    </row>
    <row r="101" spans="1:14 16384:16384" ht="31.5" customHeight="1" thickBot="1" x14ac:dyDescent="0.3">
      <c r="A101" s="66" t="s">
        <v>407</v>
      </c>
      <c r="B101" s="117" t="e">
        <f>IF(B$91=0,"",SUM(B100/B$91))</f>
        <v>#REF!</v>
      </c>
      <c r="C101" s="118" t="e">
        <f t="shared" ref="C101:N101" si="34">IF(C$91=0,"",SUM(C100/C$91))</f>
        <v>#REF!</v>
      </c>
      <c r="D101" s="118" t="e">
        <f t="shared" si="34"/>
        <v>#REF!</v>
      </c>
      <c r="E101" s="118" t="e">
        <f t="shared" si="34"/>
        <v>#REF!</v>
      </c>
      <c r="F101" s="118" t="e">
        <f t="shared" si="34"/>
        <v>#REF!</v>
      </c>
      <c r="G101" s="118" t="e">
        <f t="shared" si="34"/>
        <v>#REF!</v>
      </c>
      <c r="H101" s="118" t="e">
        <f t="shared" si="34"/>
        <v>#REF!</v>
      </c>
      <c r="I101" s="118" t="e">
        <f t="shared" si="34"/>
        <v>#REF!</v>
      </c>
      <c r="J101" s="118" t="e">
        <f t="shared" si="34"/>
        <v>#REF!</v>
      </c>
      <c r="K101" s="118" t="e">
        <f t="shared" si="34"/>
        <v>#REF!</v>
      </c>
      <c r="L101" s="118" t="e">
        <f t="shared" si="34"/>
        <v>#REF!</v>
      </c>
      <c r="M101" s="118" t="e">
        <f t="shared" si="34"/>
        <v>#REF!</v>
      </c>
      <c r="N101" s="119" t="e">
        <f t="shared" si="34"/>
        <v>#REF!</v>
      </c>
    </row>
    <row r="102" spans="1:14 16384:16384" ht="31.5" customHeight="1" thickBot="1" x14ac:dyDescent="0.3">
      <c r="A102" s="127" t="s">
        <v>727</v>
      </c>
      <c r="B102" s="102" t="e">
        <f>COUNTIFS(#REF!,B4,#REF!,B6,Tabla1[SALE DEL PROGRAMA POR],"PARTO",Tabla1[NIVEL DE COMPLEJIDAD DE LA ATENCION DE LA INSTITUCION DONDE SE ATENDIO EL PARTO],"BAJA")</f>
        <v>#REF!</v>
      </c>
      <c r="C102" s="102" t="e">
        <f>COUNTIFS(#REF!,B4,#REF!,C6,Tabla1[SALE DEL PROGRAMA POR],"PARTO",Tabla1[NIVEL DE COMPLEJIDAD DE LA ATENCION DE LA INSTITUCION DONDE SE ATENDIO EL PARTO],"BAJA")</f>
        <v>#REF!</v>
      </c>
      <c r="D102" s="102" t="e">
        <f>COUNTIFS(#REF!,B4,#REF!,D6,Tabla1[SALE DEL PROGRAMA POR],"PARTO",Tabla1[NIVEL DE COMPLEJIDAD DE LA ATENCION DE LA INSTITUCION DONDE SE ATENDIO EL PARTO],"BAJA")</f>
        <v>#REF!</v>
      </c>
      <c r="E102" s="102" t="e">
        <f>COUNTIFS(#REF!,B4,#REF!,E6,Tabla1[SALE DEL PROGRAMA POR],"PARTO",Tabla1[NIVEL DE COMPLEJIDAD DE LA ATENCION DE LA INSTITUCION DONDE SE ATENDIO EL PARTO],"BAJA")</f>
        <v>#REF!</v>
      </c>
      <c r="F102" s="102" t="e">
        <f>COUNTIFS(#REF!,B4,#REF!,F6,Tabla1[SALE DEL PROGRAMA POR],"PARTO",Tabla1[NIVEL DE COMPLEJIDAD DE LA ATENCION DE LA INSTITUCION DONDE SE ATENDIO EL PARTO],"BAJA")</f>
        <v>#REF!</v>
      </c>
      <c r="G102" s="102" t="e">
        <f>COUNTIFS(#REF!,B4,#REF!,G6,Tabla1[SALE DEL PROGRAMA POR],"PARTO",Tabla1[NIVEL DE COMPLEJIDAD DE LA ATENCION DE LA INSTITUCION DONDE SE ATENDIO EL PARTO],"BAJA")</f>
        <v>#REF!</v>
      </c>
      <c r="H102" s="102" t="e">
        <f>COUNTIFS(#REF!,B4,#REF!,H6,Tabla1[SALE DEL PROGRAMA POR],"PARTO",Tabla1[NIVEL DE COMPLEJIDAD DE LA ATENCION DE LA INSTITUCION DONDE SE ATENDIO EL PARTO],"BAJA")</f>
        <v>#REF!</v>
      </c>
      <c r="I102" s="102" t="e">
        <f>COUNTIFS(#REF!,B4,#REF!,I6,Tabla1[SALE DEL PROGRAMA POR],"PARTO",Tabla1[NIVEL DE COMPLEJIDAD DE LA ATENCION DE LA INSTITUCION DONDE SE ATENDIO EL PARTO],"BAJA")</f>
        <v>#REF!</v>
      </c>
      <c r="J102" s="102" t="e">
        <f>COUNTIFS(#REF!,B4,#REF!,J6,Tabla1[SALE DEL PROGRAMA POR],"PARTO",Tabla1[NIVEL DE COMPLEJIDAD DE LA ATENCION DE LA INSTITUCION DONDE SE ATENDIO EL PARTO],"BAJA")</f>
        <v>#REF!</v>
      </c>
      <c r="K102" s="102" t="e">
        <f>COUNTIFS(#REF!,B4,#REF!,K6,Tabla1[SALE DEL PROGRAMA POR],"PARTO",Tabla1[NIVEL DE COMPLEJIDAD DE LA ATENCION DE LA INSTITUCION DONDE SE ATENDIO EL PARTO],"BAJA")</f>
        <v>#REF!</v>
      </c>
      <c r="L102" s="102" t="e">
        <f>COUNTIFS(#REF!,B4,#REF!,L6,Tabla1[SALE DEL PROGRAMA POR],"PARTO",Tabla1[NIVEL DE COMPLEJIDAD DE LA ATENCION DE LA INSTITUCION DONDE SE ATENDIO EL PARTO],"BAJA")</f>
        <v>#REF!</v>
      </c>
      <c r="M102" s="102" t="e">
        <f>COUNTIFS(#REF!,B4,#REF!,M6,Tabla1[SALE DEL PROGRAMA POR],"PARTO",Tabla1[NIVEL DE COMPLEJIDAD DE LA ATENCION DE LA INSTITUCION DONDE SE ATENDIO EL PARTO],"BAJA")</f>
        <v>#REF!</v>
      </c>
      <c r="N102" s="126" t="e">
        <f t="shared" si="30"/>
        <v>#REF!</v>
      </c>
    </row>
    <row r="103" spans="1:14 16384:16384" ht="42.75" customHeight="1" x14ac:dyDescent="0.25">
      <c r="A103" s="193" t="s">
        <v>728</v>
      </c>
      <c r="B103" s="169" t="e">
        <f>IF(B$91=0,"",SUM(B102/B$91))</f>
        <v>#REF!</v>
      </c>
      <c r="C103" s="170" t="e">
        <f t="shared" ref="C103:N103" si="35">IF(C$91=0,"",SUM(C102/C$91))</f>
        <v>#REF!</v>
      </c>
      <c r="D103" s="170" t="e">
        <f t="shared" si="35"/>
        <v>#REF!</v>
      </c>
      <c r="E103" s="170" t="e">
        <f t="shared" si="35"/>
        <v>#REF!</v>
      </c>
      <c r="F103" s="170" t="e">
        <f t="shared" si="35"/>
        <v>#REF!</v>
      </c>
      <c r="G103" s="170" t="e">
        <f t="shared" si="35"/>
        <v>#REF!</v>
      </c>
      <c r="H103" s="170" t="e">
        <f t="shared" si="35"/>
        <v>#REF!</v>
      </c>
      <c r="I103" s="170" t="e">
        <f t="shared" si="35"/>
        <v>#REF!</v>
      </c>
      <c r="J103" s="170" t="e">
        <f t="shared" si="35"/>
        <v>#REF!</v>
      </c>
      <c r="K103" s="170" t="e">
        <f t="shared" si="35"/>
        <v>#REF!</v>
      </c>
      <c r="L103" s="170" t="e">
        <f t="shared" si="35"/>
        <v>#REF!</v>
      </c>
      <c r="M103" s="170" t="e">
        <f t="shared" si="35"/>
        <v>#REF!</v>
      </c>
      <c r="N103" s="171" t="e">
        <f t="shared" si="35"/>
        <v>#REF!</v>
      </c>
    </row>
    <row r="104" spans="1:14 16384:16384" ht="44.25" customHeight="1" thickBot="1" x14ac:dyDescent="0.3">
      <c r="A104" s="122" t="s">
        <v>795</v>
      </c>
      <c r="B104" s="184" t="e">
        <f>COUNTIFS(#REF!,$B$4,#REF!,B6,Tabla1[SALE DEL PROGRAMA POR],"PARTO",Tabla1[INICIO DE LACTANCIA MATERNA DURANTE EL CONTACTO PIEL A PIEL O EN LA PRIMERA HORA DE VIDA],"SI",Tabla1[NIVEL DE COMPLEJIDAD DE LA ATENCION DE LA INSTITUCION DONDE SE ATENDIO EL PARTO],"BAJA")</f>
        <v>#REF!</v>
      </c>
      <c r="C104" s="184" t="e">
        <f>COUNTIFS(#REF!,$B$4,#REF!,C6,Tabla1[SALE DEL PROGRAMA POR],"PARTO",Tabla1[INICIO DE LACTANCIA MATERNA DURANTE EL CONTACTO PIEL A PIEL O EN LA PRIMERA HORA DE VIDA],"SI",Tabla1[NIVEL DE COMPLEJIDAD DE LA ATENCION DE LA INSTITUCION DONDE SE ATENDIO EL PARTO],"BAJA")</f>
        <v>#REF!</v>
      </c>
      <c r="D104" s="184" t="e">
        <f>COUNTIFS(#REF!,$B$4,#REF!,D6,Tabla1[SALE DEL PROGRAMA POR],"PARTO",Tabla1[INICIO DE LACTANCIA MATERNA DURANTE EL CONTACTO PIEL A PIEL O EN LA PRIMERA HORA DE VIDA],"SI",Tabla1[NIVEL DE COMPLEJIDAD DE LA ATENCION DE LA INSTITUCION DONDE SE ATENDIO EL PARTO],"BAJA")</f>
        <v>#REF!</v>
      </c>
      <c r="E104" s="184" t="e">
        <f>COUNTIFS(#REF!,$B$4,#REF!,E6,Tabla1[SALE DEL PROGRAMA POR],"PARTO",Tabla1[INICIO DE LACTANCIA MATERNA DURANTE EL CONTACTO PIEL A PIEL O EN LA PRIMERA HORA DE VIDA],"SI",Tabla1[NIVEL DE COMPLEJIDAD DE LA ATENCION DE LA INSTITUCION DONDE SE ATENDIO EL PARTO],"BAJA")</f>
        <v>#REF!</v>
      </c>
      <c r="F104" s="184" t="e">
        <f>COUNTIFS(#REF!,$B$4,#REF!,F6,Tabla1[SALE DEL PROGRAMA POR],"PARTO",Tabla1[INICIO DE LACTANCIA MATERNA DURANTE EL CONTACTO PIEL A PIEL O EN LA PRIMERA HORA DE VIDA],"SI",Tabla1[NIVEL DE COMPLEJIDAD DE LA ATENCION DE LA INSTITUCION DONDE SE ATENDIO EL PARTO],"BAJA")</f>
        <v>#REF!</v>
      </c>
      <c r="G104" s="184" t="e">
        <f>COUNTIFS(#REF!,$B$4,#REF!,G6,Tabla1[SALE DEL PROGRAMA POR],"PARTO",Tabla1[INICIO DE LACTANCIA MATERNA DURANTE EL CONTACTO PIEL A PIEL O EN LA PRIMERA HORA DE VIDA],"SI",Tabla1[NIVEL DE COMPLEJIDAD DE LA ATENCION DE LA INSTITUCION DONDE SE ATENDIO EL PARTO],"BAJA")</f>
        <v>#REF!</v>
      </c>
      <c r="H104" s="184" t="e">
        <f>COUNTIFS(#REF!,$B$4,#REF!,H6,Tabla1[SALE DEL PROGRAMA POR],"PARTO",Tabla1[INICIO DE LACTANCIA MATERNA DURANTE EL CONTACTO PIEL A PIEL O EN LA PRIMERA HORA DE VIDA],"SI",Tabla1[NIVEL DE COMPLEJIDAD DE LA ATENCION DE LA INSTITUCION DONDE SE ATENDIO EL PARTO],"BAJA")</f>
        <v>#REF!</v>
      </c>
      <c r="I104" s="184" t="e">
        <f>COUNTIFS(#REF!,$B$4,#REF!,I6,Tabla1[SALE DEL PROGRAMA POR],"PARTO",Tabla1[INICIO DE LACTANCIA MATERNA DURANTE EL CONTACTO PIEL A PIEL O EN LA PRIMERA HORA DE VIDA],"SI",Tabla1[NIVEL DE COMPLEJIDAD DE LA ATENCION DE LA INSTITUCION DONDE SE ATENDIO EL PARTO],"BAJA")</f>
        <v>#REF!</v>
      </c>
      <c r="J104" s="184" t="e">
        <f>COUNTIFS(#REF!,$B$4,#REF!,J6,Tabla1[SALE DEL PROGRAMA POR],"PARTO",Tabla1[INICIO DE LACTANCIA MATERNA DURANTE EL CONTACTO PIEL A PIEL O EN LA PRIMERA HORA DE VIDA],"SI",Tabla1[NIVEL DE COMPLEJIDAD DE LA ATENCION DE LA INSTITUCION DONDE SE ATENDIO EL PARTO],"BAJA")</f>
        <v>#REF!</v>
      </c>
      <c r="K104" s="184" t="e">
        <f>COUNTIFS(#REF!,$B$4,#REF!,K6,Tabla1[SALE DEL PROGRAMA POR],"PARTO",Tabla1[INICIO DE LACTANCIA MATERNA DURANTE EL CONTACTO PIEL A PIEL O EN LA PRIMERA HORA DE VIDA],"SI",Tabla1[NIVEL DE COMPLEJIDAD DE LA ATENCION DE LA INSTITUCION DONDE SE ATENDIO EL PARTO],"BAJA")</f>
        <v>#REF!</v>
      </c>
      <c r="L104" s="184" t="e">
        <f>COUNTIFS(#REF!,$B$4,#REF!,L6,Tabla1[SALE DEL PROGRAMA POR],"PARTO",Tabla1[INICIO DE LACTANCIA MATERNA DURANTE EL CONTACTO PIEL A PIEL O EN LA PRIMERA HORA DE VIDA],"SI",Tabla1[NIVEL DE COMPLEJIDAD DE LA ATENCION DE LA INSTITUCION DONDE SE ATENDIO EL PARTO],"BAJA")</f>
        <v>#REF!</v>
      </c>
      <c r="M104" s="184" t="e">
        <f>COUNTIFS(#REF!,$B$4,#REF!,M6,Tabla1[SALE DEL PROGRAMA POR],"PARTO",Tabla1[INICIO DE LACTANCIA MATERNA DURANTE EL CONTACTO PIEL A PIEL O EN LA PRIMERA HORA DE VIDA],"SI",Tabla1[NIVEL DE COMPLEJIDAD DE LA ATENCION DE LA INSTITUCION DONDE SE ATENDIO EL PARTO],"BAJA")</f>
        <v>#REF!</v>
      </c>
      <c r="N104" s="116" t="e">
        <f>SUM(B104:M104)</f>
        <v>#REF!</v>
      </c>
    </row>
    <row r="105" spans="1:14 16384:16384" ht="48.75" customHeight="1" thickBot="1" x14ac:dyDescent="0.3">
      <c r="A105" s="177" t="s">
        <v>798</v>
      </c>
      <c r="B105" s="117" t="e">
        <f>IF(B$102=0,"",SUM(B104/B$102))</f>
        <v>#REF!</v>
      </c>
      <c r="C105" s="118" t="e">
        <f>IF(C$102=0,"",SUM(C104/C$102))</f>
        <v>#REF!</v>
      </c>
      <c r="D105" s="118" t="e">
        <f>IF(D$102=0,"",SUM(D104/D$102))</f>
        <v>#REF!</v>
      </c>
      <c r="E105" s="118" t="e">
        <f>IF(E$102=0,"",SUM(E104/E$102))</f>
        <v>#REF!</v>
      </c>
      <c r="F105" s="118" t="e">
        <f>IF(F$102=0,"",SUM(F104/F$102))</f>
        <v>#REF!</v>
      </c>
      <c r="G105" s="118" t="e">
        <f>IF(G$102=0,"",SUM(G104/G$102))</f>
        <v>#REF!</v>
      </c>
      <c r="H105" s="118" t="e">
        <f>IF(H$102=0,"",SUM(H104/H$102))</f>
        <v>#REF!</v>
      </c>
      <c r="I105" s="118" t="e">
        <f>IF(I$102=0,"",SUM(I104/I$102))</f>
        <v>#REF!</v>
      </c>
      <c r="J105" s="118" t="e">
        <f>IF(J$102=0,"",SUM(J104/J$102))</f>
        <v>#REF!</v>
      </c>
      <c r="K105" s="118" t="e">
        <f>IF(K$102=0,"",SUM(K104/K$102))</f>
        <v>#REF!</v>
      </c>
      <c r="L105" s="118" t="e">
        <f>IF(L$102=0,"",SUM(L104/L$102))</f>
        <v>#REF!</v>
      </c>
      <c r="M105" s="118" t="e">
        <f>IF(M$102=0,"",SUM(M104/M$102))</f>
        <v>#REF!</v>
      </c>
      <c r="N105" s="119" t="e">
        <f>IF(N$102=0,"",SUM(N104/N$102))</f>
        <v>#REF!</v>
      </c>
      <c r="XFD105" s="117" t="str">
        <f>IF(XFD$102=0,"",SUM(XFD104/XFD$102))</f>
        <v/>
      </c>
    </row>
    <row r="106" spans="1:14 16384:16384" ht="42.75" customHeight="1" x14ac:dyDescent="0.25">
      <c r="A106" s="78" t="s">
        <v>796</v>
      </c>
      <c r="B106" s="184" t="e">
        <f>SUM(COUNTIFS(#REF!,$B$4,#REF!,B6,Tabla1[NIVEL DE COMPLEJIDAD DE LA ATENCION DE LA INSTITUCION DONDE SE ATENDIO EL PARTO],"MEDIANA",Tabla1[SALE DEL PROGRAMA POR],"PARTO",Tabla1[INICIO DE LACTANCIA MATERNA DURANTE EL CONTACTO PIEL A PIEL O EN LA PRIMERA HORA DE VIDA],"SI"),COUNTIFS(#REF!,$B$4,#REF!,B6,Tabla1[NIVEL DE COMPLEJIDAD DE LA ATENCION DE LA INSTITUCION DONDE SE ATENDIO EL PARTO],"MEDIANA",Tabla1[SALE DEL PROGRAMA POR],"CESAREA",Tabla1[INICIO DE LACTANCIA MATERNA DURANTE EL CONTACTO PIEL A PIEL O EN LA PRIMERA HORA DE VIDA],"SI"),COUNTIFS(#REF!,$B$4,#REF!,B6,Tabla1[NIVEL DE COMPLEJIDAD DE LA ATENCION DE LA INSTITUCION DONDE SE ATENDIO EL PARTO],"ALTA",Tabla1[SALE DEL PROGRAMA POR],"PARTO",Tabla1[INICIO DE LACTANCIA MATERNA DURANTE EL CONTACTO PIEL A PIEL O EN LA PRIMERA HORA DE VIDA],"SI"),COUNTIFS(#REF!,$B$4,#REF!,B6,Tabla1[NIVEL DE COMPLEJIDAD DE LA ATENCION DE LA INSTITUCION DONDE SE ATENDIO EL PARTO],"ALTA",Tabla1[SALE DEL PROGRAMA POR],"CESAREA",Tabla1[INICIO DE LACTANCIA MATERNA DURANTE EL CONTACTO PIEL A PIEL O EN LA PRIMERA HORA DE VIDA],"SI"))</f>
        <v>#REF!</v>
      </c>
      <c r="C106" s="184" t="e">
        <f>SUM(COUNTIFS(#REF!,$B$4,#REF!,C6,Tabla1[NIVEL DE COMPLEJIDAD DE LA ATENCION DE LA INSTITUCION DONDE SE ATENDIO EL PARTO],"MEDIANA",Tabla1[SALE DEL PROGRAMA POR],"PARTO",Tabla1[INICIO DE LACTANCIA MATERNA DURANTE EL CONTACTO PIEL A PIEL O EN LA PRIMERA HORA DE VIDA],"SI"),COUNTIFS(#REF!,$B$4,#REF!,C6,Tabla1[NIVEL DE COMPLEJIDAD DE LA ATENCION DE LA INSTITUCION DONDE SE ATENDIO EL PARTO],"MEDIANA",Tabla1[SALE DEL PROGRAMA POR],"CESAREA",Tabla1[INICIO DE LACTANCIA MATERNA DURANTE EL CONTACTO PIEL A PIEL O EN LA PRIMERA HORA DE VIDA],"SI"),COUNTIFS(#REF!,$B$4,#REF!,C6,Tabla1[NIVEL DE COMPLEJIDAD DE LA ATENCION DE LA INSTITUCION DONDE SE ATENDIO EL PARTO],"ALTA",Tabla1[SALE DEL PROGRAMA POR],"PARTO",Tabla1[INICIO DE LACTANCIA MATERNA DURANTE EL CONTACTO PIEL A PIEL O EN LA PRIMERA HORA DE VIDA],"SI"),COUNTIFS(#REF!,$B$4,#REF!,C6,Tabla1[NIVEL DE COMPLEJIDAD DE LA ATENCION DE LA INSTITUCION DONDE SE ATENDIO EL PARTO],"ALTA",Tabla1[SALE DEL PROGRAMA POR],"CESAREA",Tabla1[INICIO DE LACTANCIA MATERNA DURANTE EL CONTACTO PIEL A PIEL O EN LA PRIMERA HORA DE VIDA],"SI"))</f>
        <v>#REF!</v>
      </c>
      <c r="D106" s="184" t="e">
        <f>SUM(COUNTIFS(#REF!,$B$4,#REF!,D6,Tabla1[NIVEL DE COMPLEJIDAD DE LA ATENCION DE LA INSTITUCION DONDE SE ATENDIO EL PARTO],"MEDIANA",Tabla1[SALE DEL PROGRAMA POR],"PARTO",Tabla1[INICIO DE LACTANCIA MATERNA DURANTE EL CONTACTO PIEL A PIEL O EN LA PRIMERA HORA DE VIDA],"SI"),COUNTIFS(#REF!,$B$4,#REF!,D6,Tabla1[NIVEL DE COMPLEJIDAD DE LA ATENCION DE LA INSTITUCION DONDE SE ATENDIO EL PARTO],"MEDIANA",Tabla1[SALE DEL PROGRAMA POR],"CESAREA",Tabla1[INICIO DE LACTANCIA MATERNA DURANTE EL CONTACTO PIEL A PIEL O EN LA PRIMERA HORA DE VIDA],"SI"),COUNTIFS(#REF!,$B$4,#REF!,D6,Tabla1[NIVEL DE COMPLEJIDAD DE LA ATENCION DE LA INSTITUCION DONDE SE ATENDIO EL PARTO],"ALTA",Tabla1[SALE DEL PROGRAMA POR],"PARTO",Tabla1[INICIO DE LACTANCIA MATERNA DURANTE EL CONTACTO PIEL A PIEL O EN LA PRIMERA HORA DE VIDA],"SI"),COUNTIFS(#REF!,$B$4,#REF!,D6,Tabla1[NIVEL DE COMPLEJIDAD DE LA ATENCION DE LA INSTITUCION DONDE SE ATENDIO EL PARTO],"ALTA",Tabla1[SALE DEL PROGRAMA POR],"CESAREA",Tabla1[INICIO DE LACTANCIA MATERNA DURANTE EL CONTACTO PIEL A PIEL O EN LA PRIMERA HORA DE VIDA],"SI"))</f>
        <v>#REF!</v>
      </c>
      <c r="E106" s="184" t="e">
        <f>SUM(COUNTIFS(#REF!,$B$4,#REF!,E6,Tabla1[NIVEL DE COMPLEJIDAD DE LA ATENCION DE LA INSTITUCION DONDE SE ATENDIO EL PARTO],"MEDIANA",Tabla1[SALE DEL PROGRAMA POR],"PARTO",Tabla1[INICIO DE LACTANCIA MATERNA DURANTE EL CONTACTO PIEL A PIEL O EN LA PRIMERA HORA DE VIDA],"SI"),COUNTIFS(#REF!,$B$4,#REF!,E6,Tabla1[NIVEL DE COMPLEJIDAD DE LA ATENCION DE LA INSTITUCION DONDE SE ATENDIO EL PARTO],"MEDIANA",Tabla1[SALE DEL PROGRAMA POR],"CESAREA",Tabla1[INICIO DE LACTANCIA MATERNA DURANTE EL CONTACTO PIEL A PIEL O EN LA PRIMERA HORA DE VIDA],"SI"),COUNTIFS(#REF!,$B$4,#REF!,E6,Tabla1[NIVEL DE COMPLEJIDAD DE LA ATENCION DE LA INSTITUCION DONDE SE ATENDIO EL PARTO],"ALTA",Tabla1[SALE DEL PROGRAMA POR],"PARTO",Tabla1[INICIO DE LACTANCIA MATERNA DURANTE EL CONTACTO PIEL A PIEL O EN LA PRIMERA HORA DE VIDA],"SI"),COUNTIFS(#REF!,$B$4,#REF!,E6,Tabla1[NIVEL DE COMPLEJIDAD DE LA ATENCION DE LA INSTITUCION DONDE SE ATENDIO EL PARTO],"ALTA",Tabla1[SALE DEL PROGRAMA POR],"CESAREA",Tabla1[INICIO DE LACTANCIA MATERNA DURANTE EL CONTACTO PIEL A PIEL O EN LA PRIMERA HORA DE VIDA],"SI"))</f>
        <v>#REF!</v>
      </c>
      <c r="F106" s="184" t="e">
        <f>SUM(COUNTIFS(#REF!,$B$4,#REF!,F6,Tabla1[NIVEL DE COMPLEJIDAD DE LA ATENCION DE LA INSTITUCION DONDE SE ATENDIO EL PARTO],"MEDIANA",Tabla1[SALE DEL PROGRAMA POR],"PARTO",Tabla1[INICIO DE LACTANCIA MATERNA DURANTE EL CONTACTO PIEL A PIEL O EN LA PRIMERA HORA DE VIDA],"SI"),COUNTIFS(#REF!,$B$4,#REF!,F6,Tabla1[NIVEL DE COMPLEJIDAD DE LA ATENCION DE LA INSTITUCION DONDE SE ATENDIO EL PARTO],"MEDIANA",Tabla1[SALE DEL PROGRAMA POR],"CESAREA",Tabla1[INICIO DE LACTANCIA MATERNA DURANTE EL CONTACTO PIEL A PIEL O EN LA PRIMERA HORA DE VIDA],"SI"),COUNTIFS(#REF!,$B$4,#REF!,F6,Tabla1[NIVEL DE COMPLEJIDAD DE LA ATENCION DE LA INSTITUCION DONDE SE ATENDIO EL PARTO],"ALTA",Tabla1[SALE DEL PROGRAMA POR],"PARTO",Tabla1[INICIO DE LACTANCIA MATERNA DURANTE EL CONTACTO PIEL A PIEL O EN LA PRIMERA HORA DE VIDA],"SI"),COUNTIFS(#REF!,$B$4,#REF!,F6,Tabla1[NIVEL DE COMPLEJIDAD DE LA ATENCION DE LA INSTITUCION DONDE SE ATENDIO EL PARTO],"ALTA",Tabla1[SALE DEL PROGRAMA POR],"CESAREA",Tabla1[INICIO DE LACTANCIA MATERNA DURANTE EL CONTACTO PIEL A PIEL O EN LA PRIMERA HORA DE VIDA],"SI"))</f>
        <v>#REF!</v>
      </c>
      <c r="G106" s="184" t="e">
        <f>SUM(COUNTIFS(#REF!,$B$4,#REF!,G6,Tabla1[NIVEL DE COMPLEJIDAD DE LA ATENCION DE LA INSTITUCION DONDE SE ATENDIO EL PARTO],"MEDIANA",Tabla1[SALE DEL PROGRAMA POR],"PARTO",Tabla1[INICIO DE LACTANCIA MATERNA DURANTE EL CONTACTO PIEL A PIEL O EN LA PRIMERA HORA DE VIDA],"SI"),COUNTIFS(#REF!,$B$4,#REF!,G6,Tabla1[NIVEL DE COMPLEJIDAD DE LA ATENCION DE LA INSTITUCION DONDE SE ATENDIO EL PARTO],"MEDIANA",Tabla1[SALE DEL PROGRAMA POR],"CESAREA",Tabla1[INICIO DE LACTANCIA MATERNA DURANTE EL CONTACTO PIEL A PIEL O EN LA PRIMERA HORA DE VIDA],"SI"),COUNTIFS(#REF!,$B$4,#REF!,G6,Tabla1[NIVEL DE COMPLEJIDAD DE LA ATENCION DE LA INSTITUCION DONDE SE ATENDIO EL PARTO],"ALTA",Tabla1[SALE DEL PROGRAMA POR],"PARTO",Tabla1[INICIO DE LACTANCIA MATERNA DURANTE EL CONTACTO PIEL A PIEL O EN LA PRIMERA HORA DE VIDA],"SI"),COUNTIFS(#REF!,$B$4,#REF!,G6,Tabla1[NIVEL DE COMPLEJIDAD DE LA ATENCION DE LA INSTITUCION DONDE SE ATENDIO EL PARTO],"ALTA",Tabla1[SALE DEL PROGRAMA POR],"CESAREA",Tabla1[INICIO DE LACTANCIA MATERNA DURANTE EL CONTACTO PIEL A PIEL O EN LA PRIMERA HORA DE VIDA],"SI"))</f>
        <v>#REF!</v>
      </c>
      <c r="H106" s="184" t="e">
        <f>SUM(COUNTIFS(#REF!,$B$4,#REF!,H6,Tabla1[NIVEL DE COMPLEJIDAD DE LA ATENCION DE LA INSTITUCION DONDE SE ATENDIO EL PARTO],"MEDIANA",Tabla1[SALE DEL PROGRAMA POR],"PARTO",Tabla1[INICIO DE LACTANCIA MATERNA DURANTE EL CONTACTO PIEL A PIEL O EN LA PRIMERA HORA DE VIDA],"SI"),COUNTIFS(#REF!,$B$4,#REF!,H6,Tabla1[NIVEL DE COMPLEJIDAD DE LA ATENCION DE LA INSTITUCION DONDE SE ATENDIO EL PARTO],"MEDIANA",Tabla1[SALE DEL PROGRAMA POR],"CESAREA",Tabla1[INICIO DE LACTANCIA MATERNA DURANTE EL CONTACTO PIEL A PIEL O EN LA PRIMERA HORA DE VIDA],"SI"),COUNTIFS(#REF!,$B$4,#REF!,H6,Tabla1[NIVEL DE COMPLEJIDAD DE LA ATENCION DE LA INSTITUCION DONDE SE ATENDIO EL PARTO],"ALTA",Tabla1[SALE DEL PROGRAMA POR],"PARTO",Tabla1[INICIO DE LACTANCIA MATERNA DURANTE EL CONTACTO PIEL A PIEL O EN LA PRIMERA HORA DE VIDA],"SI"),COUNTIFS(#REF!,$B$4,#REF!,H6,Tabla1[NIVEL DE COMPLEJIDAD DE LA ATENCION DE LA INSTITUCION DONDE SE ATENDIO EL PARTO],"ALTA",Tabla1[SALE DEL PROGRAMA POR],"CESAREA",Tabla1[INICIO DE LACTANCIA MATERNA DURANTE EL CONTACTO PIEL A PIEL O EN LA PRIMERA HORA DE VIDA],"SI"))</f>
        <v>#REF!</v>
      </c>
      <c r="I106" s="184" t="e">
        <f>SUM(COUNTIFS(#REF!,$B$4,#REF!,I6,Tabla1[NIVEL DE COMPLEJIDAD DE LA ATENCION DE LA INSTITUCION DONDE SE ATENDIO EL PARTO],"MEDIANA",Tabla1[SALE DEL PROGRAMA POR],"PARTO",Tabla1[INICIO DE LACTANCIA MATERNA DURANTE EL CONTACTO PIEL A PIEL O EN LA PRIMERA HORA DE VIDA],"SI"),COUNTIFS(#REF!,$B$4,#REF!,I6,Tabla1[NIVEL DE COMPLEJIDAD DE LA ATENCION DE LA INSTITUCION DONDE SE ATENDIO EL PARTO],"MEDIANA",Tabla1[SALE DEL PROGRAMA POR],"CESAREA",Tabla1[INICIO DE LACTANCIA MATERNA DURANTE EL CONTACTO PIEL A PIEL O EN LA PRIMERA HORA DE VIDA],"SI"),COUNTIFS(#REF!,$B$4,#REF!,I6,Tabla1[NIVEL DE COMPLEJIDAD DE LA ATENCION DE LA INSTITUCION DONDE SE ATENDIO EL PARTO],"ALTA",Tabla1[SALE DEL PROGRAMA POR],"PARTO",Tabla1[INICIO DE LACTANCIA MATERNA DURANTE EL CONTACTO PIEL A PIEL O EN LA PRIMERA HORA DE VIDA],"SI"),COUNTIFS(#REF!,$B$4,#REF!,I6,Tabla1[NIVEL DE COMPLEJIDAD DE LA ATENCION DE LA INSTITUCION DONDE SE ATENDIO EL PARTO],"ALTA",Tabla1[SALE DEL PROGRAMA POR],"CESAREA",Tabla1[INICIO DE LACTANCIA MATERNA DURANTE EL CONTACTO PIEL A PIEL O EN LA PRIMERA HORA DE VIDA],"SI"))</f>
        <v>#REF!</v>
      </c>
      <c r="J106" s="184" t="e">
        <f>SUM(COUNTIFS(#REF!,$B$4,#REF!,J6,Tabla1[NIVEL DE COMPLEJIDAD DE LA ATENCION DE LA INSTITUCION DONDE SE ATENDIO EL PARTO],"MEDIANA",Tabla1[SALE DEL PROGRAMA POR],"PARTO",Tabla1[INICIO DE LACTANCIA MATERNA DURANTE EL CONTACTO PIEL A PIEL O EN LA PRIMERA HORA DE VIDA],"SI"),COUNTIFS(#REF!,$B$4,#REF!,J6,Tabla1[NIVEL DE COMPLEJIDAD DE LA ATENCION DE LA INSTITUCION DONDE SE ATENDIO EL PARTO],"MEDIANA",Tabla1[SALE DEL PROGRAMA POR],"CESAREA",Tabla1[INICIO DE LACTANCIA MATERNA DURANTE EL CONTACTO PIEL A PIEL O EN LA PRIMERA HORA DE VIDA],"SI"),COUNTIFS(#REF!,$B$4,#REF!,J6,Tabla1[NIVEL DE COMPLEJIDAD DE LA ATENCION DE LA INSTITUCION DONDE SE ATENDIO EL PARTO],"ALTA",Tabla1[SALE DEL PROGRAMA POR],"PARTO",Tabla1[INICIO DE LACTANCIA MATERNA DURANTE EL CONTACTO PIEL A PIEL O EN LA PRIMERA HORA DE VIDA],"SI"),COUNTIFS(#REF!,$B$4,#REF!,J6,Tabla1[NIVEL DE COMPLEJIDAD DE LA ATENCION DE LA INSTITUCION DONDE SE ATENDIO EL PARTO],"ALTA",Tabla1[SALE DEL PROGRAMA POR],"CESAREA",Tabla1[INICIO DE LACTANCIA MATERNA DURANTE EL CONTACTO PIEL A PIEL O EN LA PRIMERA HORA DE VIDA],"SI"))</f>
        <v>#REF!</v>
      </c>
      <c r="K106" s="184" t="e">
        <f>SUM(COUNTIFS(#REF!,$B$4,#REF!,K6,Tabla1[NIVEL DE COMPLEJIDAD DE LA ATENCION DE LA INSTITUCION DONDE SE ATENDIO EL PARTO],"MEDIANA",Tabla1[SALE DEL PROGRAMA POR],"PARTO",Tabla1[INICIO DE LACTANCIA MATERNA DURANTE EL CONTACTO PIEL A PIEL O EN LA PRIMERA HORA DE VIDA],"SI"),COUNTIFS(#REF!,$B$4,#REF!,K6,Tabla1[NIVEL DE COMPLEJIDAD DE LA ATENCION DE LA INSTITUCION DONDE SE ATENDIO EL PARTO],"MEDIANA",Tabla1[SALE DEL PROGRAMA POR],"CESAREA",Tabla1[INICIO DE LACTANCIA MATERNA DURANTE EL CONTACTO PIEL A PIEL O EN LA PRIMERA HORA DE VIDA],"SI"),COUNTIFS(#REF!,$B$4,#REF!,K6,Tabla1[NIVEL DE COMPLEJIDAD DE LA ATENCION DE LA INSTITUCION DONDE SE ATENDIO EL PARTO],"ALTA",Tabla1[SALE DEL PROGRAMA POR],"PARTO",Tabla1[INICIO DE LACTANCIA MATERNA DURANTE EL CONTACTO PIEL A PIEL O EN LA PRIMERA HORA DE VIDA],"SI"),COUNTIFS(#REF!,$B$4,#REF!,K6,Tabla1[NIVEL DE COMPLEJIDAD DE LA ATENCION DE LA INSTITUCION DONDE SE ATENDIO EL PARTO],"ALTA",Tabla1[SALE DEL PROGRAMA POR],"CESAREA",Tabla1[INICIO DE LACTANCIA MATERNA DURANTE EL CONTACTO PIEL A PIEL O EN LA PRIMERA HORA DE VIDA],"SI"))</f>
        <v>#REF!</v>
      </c>
      <c r="L106" s="184" t="e">
        <f>SUM(COUNTIFS(#REF!,$B$4,#REF!,L6,Tabla1[NIVEL DE COMPLEJIDAD DE LA ATENCION DE LA INSTITUCION DONDE SE ATENDIO EL PARTO],"MEDIANA",Tabla1[SALE DEL PROGRAMA POR],"PARTO",Tabla1[INICIO DE LACTANCIA MATERNA DURANTE EL CONTACTO PIEL A PIEL O EN LA PRIMERA HORA DE VIDA],"SI"),COUNTIFS(#REF!,$B$4,#REF!,L6,Tabla1[NIVEL DE COMPLEJIDAD DE LA ATENCION DE LA INSTITUCION DONDE SE ATENDIO EL PARTO],"MEDIANA",Tabla1[SALE DEL PROGRAMA POR],"CESAREA",Tabla1[INICIO DE LACTANCIA MATERNA DURANTE EL CONTACTO PIEL A PIEL O EN LA PRIMERA HORA DE VIDA],"SI"),COUNTIFS(#REF!,$B$4,#REF!,L6,Tabla1[NIVEL DE COMPLEJIDAD DE LA ATENCION DE LA INSTITUCION DONDE SE ATENDIO EL PARTO],"ALTA",Tabla1[SALE DEL PROGRAMA POR],"PARTO",Tabla1[INICIO DE LACTANCIA MATERNA DURANTE EL CONTACTO PIEL A PIEL O EN LA PRIMERA HORA DE VIDA],"SI"),COUNTIFS(#REF!,$B$4,#REF!,L6,Tabla1[NIVEL DE COMPLEJIDAD DE LA ATENCION DE LA INSTITUCION DONDE SE ATENDIO EL PARTO],"ALTA",Tabla1[SALE DEL PROGRAMA POR],"CESAREA",Tabla1[INICIO DE LACTANCIA MATERNA DURANTE EL CONTACTO PIEL A PIEL O EN LA PRIMERA HORA DE VIDA],"SI"))</f>
        <v>#REF!</v>
      </c>
      <c r="M106" s="184" t="e">
        <f>SUM(COUNTIFS(#REF!,$B$4,#REF!,M6,Tabla1[NIVEL DE COMPLEJIDAD DE LA ATENCION DE LA INSTITUCION DONDE SE ATENDIO EL PARTO],"MEDIANA",Tabla1[SALE DEL PROGRAMA POR],"PARTO",Tabla1[INICIO DE LACTANCIA MATERNA DURANTE EL CONTACTO PIEL A PIEL O EN LA PRIMERA HORA DE VIDA],"SI"),COUNTIFS(#REF!,$B$4,#REF!,M6,Tabla1[NIVEL DE COMPLEJIDAD DE LA ATENCION DE LA INSTITUCION DONDE SE ATENDIO EL PARTO],"MEDIANA",Tabla1[SALE DEL PROGRAMA POR],"CESAREA",Tabla1[INICIO DE LACTANCIA MATERNA DURANTE EL CONTACTO PIEL A PIEL O EN LA PRIMERA HORA DE VIDA],"SI"),COUNTIFS(#REF!,$B$4,#REF!,M6,Tabla1[NIVEL DE COMPLEJIDAD DE LA ATENCION DE LA INSTITUCION DONDE SE ATENDIO EL PARTO],"ALTA",Tabla1[SALE DEL PROGRAMA POR],"PARTO",Tabla1[INICIO DE LACTANCIA MATERNA DURANTE EL CONTACTO PIEL A PIEL O EN LA PRIMERA HORA DE VIDA],"SI"),COUNTIFS(#REF!,$B$4,#REF!,M6,Tabla1[NIVEL DE COMPLEJIDAD DE LA ATENCION DE LA INSTITUCION DONDE SE ATENDIO EL PARTO],"ALTA",Tabla1[SALE DEL PROGRAMA POR],"CESAREA",Tabla1[INICIO DE LACTANCIA MATERNA DURANTE EL CONTACTO PIEL A PIEL O EN LA PRIMERA HORA DE VIDA],"SI"))</f>
        <v>#REF!</v>
      </c>
      <c r="N106" s="116" t="e">
        <f t="shared" ref="N106:N110" si="36">SUM(B106:M106)</f>
        <v>#REF!</v>
      </c>
    </row>
    <row r="107" spans="1:14 16384:16384" ht="42.75" customHeight="1" thickBot="1" x14ac:dyDescent="0.3">
      <c r="A107" s="205" t="s">
        <v>756</v>
      </c>
      <c r="B107" s="184" t="e">
        <f>SUM(COUNTIFS(#REF!,$B$4,#REF!,B6,Tabla1[NIVEL DE COMPLEJIDAD DE LA ATENCION DE LA INSTITUCION DONDE SE ATENDIO EL PARTO],"MEDIANA",Tabla1[SALE DEL PROGRAMA POR],"PARTO"),COUNTIFS(#REF!,$B$4,#REF!,B6,Tabla1[NIVEL DE COMPLEJIDAD DE LA ATENCION DE LA INSTITUCION DONDE SE ATENDIO EL PARTO],"MEDIANA",Tabla1[SALE DEL PROGRAMA POR],"CESAREA"),COUNTIFS(#REF!,$B$4,#REF!,B6,Tabla1[NIVEL DE COMPLEJIDAD DE LA ATENCION DE LA INSTITUCION DONDE SE ATENDIO EL PARTO],"ALTA",Tabla1[SALE DEL PROGRAMA POR],"PARTO"),COUNTIFS(#REF!,$B$4,#REF!,B6,Tabla1[NIVEL DE COMPLEJIDAD DE LA ATENCION DE LA INSTITUCION DONDE SE ATENDIO EL PARTO],"ALTA",Tabla1[SALE DEL PROGRAMA POR],"CESAREA"))</f>
        <v>#REF!</v>
      </c>
      <c r="C107" s="184" t="e">
        <f>SUM(COUNTIFS(#REF!,$B$4,#REF!,C6,Tabla1[NIVEL DE COMPLEJIDAD DE LA ATENCION DE LA INSTITUCION DONDE SE ATENDIO EL PARTO],"MEDIANA",Tabla1[SALE DEL PROGRAMA POR],"PARTO"),COUNTIFS(#REF!,$B$4,#REF!,C6,Tabla1[NIVEL DE COMPLEJIDAD DE LA ATENCION DE LA INSTITUCION DONDE SE ATENDIO EL PARTO],"MEDIANA",Tabla1[SALE DEL PROGRAMA POR],"CESAREA"),COUNTIFS(#REF!,$B$4,#REF!,C6,Tabla1[NIVEL DE COMPLEJIDAD DE LA ATENCION DE LA INSTITUCION DONDE SE ATENDIO EL PARTO],"ALTA",Tabla1[SALE DEL PROGRAMA POR],"PARTO"),COUNTIFS(#REF!,$B$4,#REF!,C6,Tabla1[NIVEL DE COMPLEJIDAD DE LA ATENCION DE LA INSTITUCION DONDE SE ATENDIO EL PARTO],"ALTA",Tabla1[SALE DEL PROGRAMA POR],"CESAREA"))</f>
        <v>#REF!</v>
      </c>
      <c r="D107" s="184" t="e">
        <f>SUM(COUNTIFS(#REF!,$B$4,#REF!,D6,Tabla1[NIVEL DE COMPLEJIDAD DE LA ATENCION DE LA INSTITUCION DONDE SE ATENDIO EL PARTO],"MEDIANA",Tabla1[SALE DEL PROGRAMA POR],"PARTO"),COUNTIFS(#REF!,$B$4,#REF!,D6,Tabla1[NIVEL DE COMPLEJIDAD DE LA ATENCION DE LA INSTITUCION DONDE SE ATENDIO EL PARTO],"MEDIANA",Tabla1[SALE DEL PROGRAMA POR],"CESAREA"),COUNTIFS(#REF!,$B$4,#REF!,D6,Tabla1[NIVEL DE COMPLEJIDAD DE LA ATENCION DE LA INSTITUCION DONDE SE ATENDIO EL PARTO],"ALTA",Tabla1[SALE DEL PROGRAMA POR],"PARTO"),COUNTIFS(#REF!,$B$4,#REF!,D6,Tabla1[NIVEL DE COMPLEJIDAD DE LA ATENCION DE LA INSTITUCION DONDE SE ATENDIO EL PARTO],"ALTA",Tabla1[SALE DEL PROGRAMA POR],"CESAREA"))</f>
        <v>#REF!</v>
      </c>
      <c r="E107" s="184" t="e">
        <f>SUM(COUNTIFS(#REF!,$B$4,#REF!,E6,Tabla1[NIVEL DE COMPLEJIDAD DE LA ATENCION DE LA INSTITUCION DONDE SE ATENDIO EL PARTO],"MEDIANA",Tabla1[SALE DEL PROGRAMA POR],"PARTO"),COUNTIFS(#REF!,$B$4,#REF!,E6,Tabla1[NIVEL DE COMPLEJIDAD DE LA ATENCION DE LA INSTITUCION DONDE SE ATENDIO EL PARTO],"MEDIANA",Tabla1[SALE DEL PROGRAMA POR],"CESAREA"),COUNTIFS(#REF!,$B$4,#REF!,E6,Tabla1[NIVEL DE COMPLEJIDAD DE LA ATENCION DE LA INSTITUCION DONDE SE ATENDIO EL PARTO],"ALTA",Tabla1[SALE DEL PROGRAMA POR],"PARTO"),COUNTIFS(#REF!,$B$4,#REF!,E6,Tabla1[NIVEL DE COMPLEJIDAD DE LA ATENCION DE LA INSTITUCION DONDE SE ATENDIO EL PARTO],"ALTA",Tabla1[SALE DEL PROGRAMA POR],"CESAREA"))</f>
        <v>#REF!</v>
      </c>
      <c r="F107" s="184" t="e">
        <f>SUM(COUNTIFS(#REF!,$B$4,#REF!,F6,Tabla1[NIVEL DE COMPLEJIDAD DE LA ATENCION DE LA INSTITUCION DONDE SE ATENDIO EL PARTO],"MEDIANA",Tabla1[SALE DEL PROGRAMA POR],"PARTO"),COUNTIFS(#REF!,$B$4,#REF!,F6,Tabla1[NIVEL DE COMPLEJIDAD DE LA ATENCION DE LA INSTITUCION DONDE SE ATENDIO EL PARTO],"MEDIANA",Tabla1[SALE DEL PROGRAMA POR],"CESAREA"),COUNTIFS(#REF!,$B$4,#REF!,F6,Tabla1[NIVEL DE COMPLEJIDAD DE LA ATENCION DE LA INSTITUCION DONDE SE ATENDIO EL PARTO],"ALTA",Tabla1[SALE DEL PROGRAMA POR],"PARTO"),COUNTIFS(#REF!,$B$4,#REF!,F6,Tabla1[NIVEL DE COMPLEJIDAD DE LA ATENCION DE LA INSTITUCION DONDE SE ATENDIO EL PARTO],"ALTA",Tabla1[SALE DEL PROGRAMA POR],"CESAREA"))</f>
        <v>#REF!</v>
      </c>
      <c r="G107" s="184" t="e">
        <f>SUM(COUNTIFS(#REF!,$B$4,#REF!,G6,Tabla1[NIVEL DE COMPLEJIDAD DE LA ATENCION DE LA INSTITUCION DONDE SE ATENDIO EL PARTO],"MEDIANA",Tabla1[SALE DEL PROGRAMA POR],"PARTO"),COUNTIFS(#REF!,$B$4,#REF!,G6,Tabla1[NIVEL DE COMPLEJIDAD DE LA ATENCION DE LA INSTITUCION DONDE SE ATENDIO EL PARTO],"MEDIANA",Tabla1[SALE DEL PROGRAMA POR],"CESAREA"),COUNTIFS(#REF!,$B$4,#REF!,G6,Tabla1[NIVEL DE COMPLEJIDAD DE LA ATENCION DE LA INSTITUCION DONDE SE ATENDIO EL PARTO],"ALTA",Tabla1[SALE DEL PROGRAMA POR],"PARTO"),COUNTIFS(#REF!,$B$4,#REF!,G6,Tabla1[NIVEL DE COMPLEJIDAD DE LA ATENCION DE LA INSTITUCION DONDE SE ATENDIO EL PARTO],"ALTA",Tabla1[SALE DEL PROGRAMA POR],"CESAREA"))</f>
        <v>#REF!</v>
      </c>
      <c r="H107" s="184" t="e">
        <f>SUM(COUNTIFS(#REF!,$B$4,#REF!,H6,Tabla1[NIVEL DE COMPLEJIDAD DE LA ATENCION DE LA INSTITUCION DONDE SE ATENDIO EL PARTO],"MEDIANA",Tabla1[SALE DEL PROGRAMA POR],"PARTO"),COUNTIFS(#REF!,$B$4,#REF!,H6,Tabla1[NIVEL DE COMPLEJIDAD DE LA ATENCION DE LA INSTITUCION DONDE SE ATENDIO EL PARTO],"MEDIANA",Tabla1[SALE DEL PROGRAMA POR],"CESAREA"),COUNTIFS(#REF!,$B$4,#REF!,H6,Tabla1[NIVEL DE COMPLEJIDAD DE LA ATENCION DE LA INSTITUCION DONDE SE ATENDIO EL PARTO],"ALTA",Tabla1[SALE DEL PROGRAMA POR],"PARTO"),COUNTIFS(#REF!,$B$4,#REF!,H6,Tabla1[NIVEL DE COMPLEJIDAD DE LA ATENCION DE LA INSTITUCION DONDE SE ATENDIO EL PARTO],"ALTA",Tabla1[SALE DEL PROGRAMA POR],"CESAREA"))</f>
        <v>#REF!</v>
      </c>
      <c r="I107" s="184" t="e">
        <f>SUM(COUNTIFS(#REF!,$B$4,#REF!,I6,Tabla1[NIVEL DE COMPLEJIDAD DE LA ATENCION DE LA INSTITUCION DONDE SE ATENDIO EL PARTO],"MEDIANA",Tabla1[SALE DEL PROGRAMA POR],"PARTO"),COUNTIFS(#REF!,$B$4,#REF!,I6,Tabla1[NIVEL DE COMPLEJIDAD DE LA ATENCION DE LA INSTITUCION DONDE SE ATENDIO EL PARTO],"MEDIANA",Tabla1[SALE DEL PROGRAMA POR],"CESAREA"),COUNTIFS(#REF!,$B$4,#REF!,I6,Tabla1[NIVEL DE COMPLEJIDAD DE LA ATENCION DE LA INSTITUCION DONDE SE ATENDIO EL PARTO],"ALTA",Tabla1[SALE DEL PROGRAMA POR],"PARTO"),COUNTIFS(#REF!,$B$4,#REF!,I6,Tabla1[NIVEL DE COMPLEJIDAD DE LA ATENCION DE LA INSTITUCION DONDE SE ATENDIO EL PARTO],"ALTA",Tabla1[SALE DEL PROGRAMA POR],"CESAREA"))</f>
        <v>#REF!</v>
      </c>
      <c r="J107" s="184" t="e">
        <f>SUM(COUNTIFS(#REF!,$B$4,#REF!,J6,Tabla1[NIVEL DE COMPLEJIDAD DE LA ATENCION DE LA INSTITUCION DONDE SE ATENDIO EL PARTO],"MEDIANA",Tabla1[SALE DEL PROGRAMA POR],"PARTO"),COUNTIFS(#REF!,$B$4,#REF!,J6,Tabla1[NIVEL DE COMPLEJIDAD DE LA ATENCION DE LA INSTITUCION DONDE SE ATENDIO EL PARTO],"MEDIANA",Tabla1[SALE DEL PROGRAMA POR],"CESAREA"),COUNTIFS(#REF!,$B$4,#REF!,J6,Tabla1[NIVEL DE COMPLEJIDAD DE LA ATENCION DE LA INSTITUCION DONDE SE ATENDIO EL PARTO],"ALTA",Tabla1[SALE DEL PROGRAMA POR],"PARTO"),COUNTIFS(#REF!,$B$4,#REF!,J6,Tabla1[NIVEL DE COMPLEJIDAD DE LA ATENCION DE LA INSTITUCION DONDE SE ATENDIO EL PARTO],"ALTA",Tabla1[SALE DEL PROGRAMA POR],"CESAREA"))</f>
        <v>#REF!</v>
      </c>
      <c r="K107" s="184" t="e">
        <f>SUM(COUNTIFS(#REF!,$B$4,#REF!,K6,Tabla1[NIVEL DE COMPLEJIDAD DE LA ATENCION DE LA INSTITUCION DONDE SE ATENDIO EL PARTO],"MEDIANA",Tabla1[SALE DEL PROGRAMA POR],"PARTO"),COUNTIFS(#REF!,$B$4,#REF!,K6,Tabla1[NIVEL DE COMPLEJIDAD DE LA ATENCION DE LA INSTITUCION DONDE SE ATENDIO EL PARTO],"MEDIANA",Tabla1[SALE DEL PROGRAMA POR],"CESAREA"),COUNTIFS(#REF!,$B$4,#REF!,K6,Tabla1[NIVEL DE COMPLEJIDAD DE LA ATENCION DE LA INSTITUCION DONDE SE ATENDIO EL PARTO],"ALTA",Tabla1[SALE DEL PROGRAMA POR],"PARTO"),COUNTIFS(#REF!,$B$4,#REF!,K6,Tabla1[NIVEL DE COMPLEJIDAD DE LA ATENCION DE LA INSTITUCION DONDE SE ATENDIO EL PARTO],"ALTA",Tabla1[SALE DEL PROGRAMA POR],"CESAREA"))</f>
        <v>#REF!</v>
      </c>
      <c r="L107" s="184" t="e">
        <f>SUM(COUNTIFS(#REF!,$B$4,#REF!,L6,Tabla1[NIVEL DE COMPLEJIDAD DE LA ATENCION DE LA INSTITUCION DONDE SE ATENDIO EL PARTO],"MEDIANA",Tabla1[SALE DEL PROGRAMA POR],"PARTO"),COUNTIFS(#REF!,$B$4,#REF!,L6,Tabla1[NIVEL DE COMPLEJIDAD DE LA ATENCION DE LA INSTITUCION DONDE SE ATENDIO EL PARTO],"MEDIANA",Tabla1[SALE DEL PROGRAMA POR],"CESAREA"),COUNTIFS(#REF!,$B$4,#REF!,L6,Tabla1[NIVEL DE COMPLEJIDAD DE LA ATENCION DE LA INSTITUCION DONDE SE ATENDIO EL PARTO],"ALTA",Tabla1[SALE DEL PROGRAMA POR],"PARTO"),COUNTIFS(#REF!,$B$4,#REF!,L6,Tabla1[NIVEL DE COMPLEJIDAD DE LA ATENCION DE LA INSTITUCION DONDE SE ATENDIO EL PARTO],"ALTA",Tabla1[SALE DEL PROGRAMA POR],"CESAREA"))</f>
        <v>#REF!</v>
      </c>
      <c r="M107" s="184" t="e">
        <f>SUM(COUNTIFS(#REF!,$B$4,#REF!,M6,Tabla1[NIVEL DE COMPLEJIDAD DE LA ATENCION DE LA INSTITUCION DONDE SE ATENDIO EL PARTO],"MEDIANA",Tabla1[SALE DEL PROGRAMA POR],"PARTO"),COUNTIFS(#REF!,$B$4,#REF!,M6,Tabla1[NIVEL DE COMPLEJIDAD DE LA ATENCION DE LA INSTITUCION DONDE SE ATENDIO EL PARTO],"MEDIANA",Tabla1[SALE DEL PROGRAMA POR],"CESAREA"),COUNTIFS(#REF!,$B$4,#REF!,M6,Tabla1[NIVEL DE COMPLEJIDAD DE LA ATENCION DE LA INSTITUCION DONDE SE ATENDIO EL PARTO],"ALTA",Tabla1[SALE DEL PROGRAMA POR],"PARTO"),COUNTIFS(#REF!,$B$4,#REF!,M6,Tabla1[NIVEL DE COMPLEJIDAD DE LA ATENCION DE LA INSTITUCION DONDE SE ATENDIO EL PARTO],"ALTA",Tabla1[SALE DEL PROGRAMA POR],"CESAREA"))</f>
        <v>#REF!</v>
      </c>
      <c r="N107" s="116" t="e">
        <f t="shared" si="36"/>
        <v>#REF!</v>
      </c>
    </row>
    <row r="108" spans="1:14 16384:16384" ht="54" customHeight="1" thickBot="1" x14ac:dyDescent="0.3">
      <c r="A108" s="196" t="s">
        <v>797</v>
      </c>
      <c r="B108" s="117" t="e">
        <f>IF(B107=0,"",SUM(B106/B107))</f>
        <v>#REF!</v>
      </c>
      <c r="C108" s="118" t="e">
        <f>IF(C$107=0,"",SUM(C106/C$107))</f>
        <v>#REF!</v>
      </c>
      <c r="D108" s="118" t="e">
        <f>IF(D$107=0,"",SUM(D106/D$107))</f>
        <v>#REF!</v>
      </c>
      <c r="E108" s="118" t="e">
        <f>IF(E$107=0,"",SUM(E106/E$107))</f>
        <v>#REF!</v>
      </c>
      <c r="F108" s="118" t="e">
        <f>IF(F$107=0,"",SUM(F106/F$107))</f>
        <v>#REF!</v>
      </c>
      <c r="G108" s="118" t="e">
        <f>IF(G$107=0,"",SUM(G106/G$107))</f>
        <v>#REF!</v>
      </c>
      <c r="H108" s="118" t="e">
        <f>IF(H$107=0,"",SUM(H106/H$107))</f>
        <v>#REF!</v>
      </c>
      <c r="I108" s="118" t="e">
        <f>IF(I$107=0,"",SUM(I106/I$107))</f>
        <v>#REF!</v>
      </c>
      <c r="J108" s="118" t="e">
        <f>IF(J$107=0,"",SUM(J106/J$107))</f>
        <v>#REF!</v>
      </c>
      <c r="K108" s="118" t="e">
        <f>IF(K$107=0,"",SUM(K106/K$107))</f>
        <v>#REF!</v>
      </c>
      <c r="L108" s="118" t="e">
        <f>IF(L$107=0,"",SUM(L106/L$107))</f>
        <v>#REF!</v>
      </c>
      <c r="M108" s="118" t="e">
        <f>IF(M$107=0,"",SUM(M106/M$107))</f>
        <v>#REF!</v>
      </c>
      <c r="N108" s="119" t="e">
        <f>IF(N$107=0,"",SUM(N106/N$107))</f>
        <v>#REF!</v>
      </c>
      <c r="XFD108" s="117"/>
    </row>
    <row r="109" spans="1:14 16384:16384" ht="30" customHeight="1" x14ac:dyDescent="0.25">
      <c r="A109" s="78" t="s">
        <v>745</v>
      </c>
      <c r="B109" s="184" t="e">
        <f>COUNTIFS(#REF!,$B$4,#REF!,B6,Tabla1[SALE DEL PROGRAMA POR],"PARTO",Tabla1[DILIGENCIAMIENTO DE PARTOGRAMA (NO APLICA EN EXPULSIVO)],"SI",Tabla1[NIVEL DE COMPLEJIDAD DE LA ATENCION DE LA INSTITUCION DONDE SE ATENDIO EL PARTO],"BAJA")</f>
        <v>#REF!</v>
      </c>
      <c r="C109" s="184" t="e">
        <f>COUNTIFS(#REF!,$B$4,#REF!,C6,Tabla1[SALE DEL PROGRAMA POR],"PARTO",Tabla1[DILIGENCIAMIENTO DE PARTOGRAMA (NO APLICA EN EXPULSIVO)],"SI",Tabla1[NIVEL DE COMPLEJIDAD DE LA ATENCION DE LA INSTITUCION DONDE SE ATENDIO EL PARTO],"BAJA")</f>
        <v>#REF!</v>
      </c>
      <c r="D109" s="184" t="e">
        <f>COUNTIFS(#REF!,$B$4,#REF!,D6,Tabla1[SALE DEL PROGRAMA POR],"PARTO",Tabla1[DILIGENCIAMIENTO DE PARTOGRAMA (NO APLICA EN EXPULSIVO)],"SI",Tabla1[NIVEL DE COMPLEJIDAD DE LA ATENCION DE LA INSTITUCION DONDE SE ATENDIO EL PARTO],"BAJA")</f>
        <v>#REF!</v>
      </c>
      <c r="E109" s="184" t="e">
        <f>COUNTIFS(#REF!,$B$4,#REF!,E6,Tabla1[SALE DEL PROGRAMA POR],"PARTO",Tabla1[DILIGENCIAMIENTO DE PARTOGRAMA (NO APLICA EN EXPULSIVO)],"SI",Tabla1[NIVEL DE COMPLEJIDAD DE LA ATENCION DE LA INSTITUCION DONDE SE ATENDIO EL PARTO],"BAJA")</f>
        <v>#REF!</v>
      </c>
      <c r="F109" s="184" t="e">
        <f>COUNTIFS(#REF!,$B$4,#REF!,F6,Tabla1[SALE DEL PROGRAMA POR],"PARTO",Tabla1[DILIGENCIAMIENTO DE PARTOGRAMA (NO APLICA EN EXPULSIVO)],"SI",Tabla1[NIVEL DE COMPLEJIDAD DE LA ATENCION DE LA INSTITUCION DONDE SE ATENDIO EL PARTO],"BAJA")</f>
        <v>#REF!</v>
      </c>
      <c r="G109" s="184" t="e">
        <f>COUNTIFS(#REF!,$B$4,#REF!,G6,Tabla1[SALE DEL PROGRAMA POR],"PARTO",Tabla1[DILIGENCIAMIENTO DE PARTOGRAMA (NO APLICA EN EXPULSIVO)],"SI",Tabla1[NIVEL DE COMPLEJIDAD DE LA ATENCION DE LA INSTITUCION DONDE SE ATENDIO EL PARTO],"BAJA")</f>
        <v>#REF!</v>
      </c>
      <c r="H109" s="184" t="e">
        <f>COUNTIFS(#REF!,$B$4,#REF!,H6,Tabla1[SALE DEL PROGRAMA POR],"PARTO",Tabla1[DILIGENCIAMIENTO DE PARTOGRAMA (NO APLICA EN EXPULSIVO)],"SI",Tabla1[NIVEL DE COMPLEJIDAD DE LA ATENCION DE LA INSTITUCION DONDE SE ATENDIO EL PARTO],"BAJA")</f>
        <v>#REF!</v>
      </c>
      <c r="I109" s="184" t="e">
        <f>COUNTIFS(#REF!,$B$4,#REF!,I6,Tabla1[SALE DEL PROGRAMA POR],"PARTO",Tabla1[DILIGENCIAMIENTO DE PARTOGRAMA (NO APLICA EN EXPULSIVO)],"SI",Tabla1[NIVEL DE COMPLEJIDAD DE LA ATENCION DE LA INSTITUCION DONDE SE ATENDIO EL PARTO],"BAJA")</f>
        <v>#REF!</v>
      </c>
      <c r="J109" s="184" t="e">
        <f>COUNTIFS(#REF!,$B$4,#REF!,J6,Tabla1[SALE DEL PROGRAMA POR],"PARTO",Tabla1[DILIGENCIAMIENTO DE PARTOGRAMA (NO APLICA EN EXPULSIVO)],"SI",Tabla1[NIVEL DE COMPLEJIDAD DE LA ATENCION DE LA INSTITUCION DONDE SE ATENDIO EL PARTO],"BAJA")</f>
        <v>#REF!</v>
      </c>
      <c r="K109" s="184" t="e">
        <f>COUNTIFS(#REF!,$B$4,#REF!,K6,Tabla1[SALE DEL PROGRAMA POR],"PARTO",Tabla1[DILIGENCIAMIENTO DE PARTOGRAMA (NO APLICA EN EXPULSIVO)],"SI",Tabla1[NIVEL DE COMPLEJIDAD DE LA ATENCION DE LA INSTITUCION DONDE SE ATENDIO EL PARTO],"BAJA")</f>
        <v>#REF!</v>
      </c>
      <c r="L109" s="184" t="e">
        <f>COUNTIFS(#REF!,$B$4,#REF!,L6,Tabla1[SALE DEL PROGRAMA POR],"PARTO",Tabla1[DILIGENCIAMIENTO DE PARTOGRAMA (NO APLICA EN EXPULSIVO)],"SI",Tabla1[NIVEL DE COMPLEJIDAD DE LA ATENCION DE LA INSTITUCION DONDE SE ATENDIO EL PARTO],"BAJA")</f>
        <v>#REF!</v>
      </c>
      <c r="M109" s="184" t="e">
        <f>COUNTIFS(#REF!,$B$4,#REF!,M6,Tabla1[SALE DEL PROGRAMA POR],"PARTO",Tabla1[DILIGENCIAMIENTO DE PARTOGRAMA (NO APLICA EN EXPULSIVO)],"SI",Tabla1[NIVEL DE COMPLEJIDAD DE LA ATENCION DE LA INSTITUCION DONDE SE ATENDIO EL PARTO],"BAJA")</f>
        <v>#REF!</v>
      </c>
      <c r="N109" s="116" t="e">
        <f t="shared" si="36"/>
        <v>#REF!</v>
      </c>
    </row>
    <row r="110" spans="1:14 16384:16384" ht="48" customHeight="1" thickBot="1" x14ac:dyDescent="0.3">
      <c r="A110" s="205" t="s">
        <v>746</v>
      </c>
      <c r="B110" s="184" t="e">
        <f>SUM(COUNTIFS(#REF!,$B$4,#REF!,B6,Tabla1[SALE DEL PROGRAMA POR],"PARTO",Tabla1[NIVEL DE COMPLEJIDAD DE LA ATENCION DE LA INSTITUCION DONDE SE ATENDIO EL PARTO],"BAJA")-COUNTIFS(#REF!,$B$4,#REF!,B6,Tabla1[SALE DEL PROGRAMA POR],"PARTO",Tabla1[DILIGENCIAMIENTO DE PARTOGRAMA (NO APLICA EN EXPULSIVO)],"NO APLICA",Tabla1[NIVEL DE COMPLEJIDAD DE LA ATENCION DE LA INSTITUCION DONDE SE ATENDIO EL PARTO],"BAJA"))</f>
        <v>#REF!</v>
      </c>
      <c r="C110" s="184" t="e">
        <f>SUM(COUNTIFS(#REF!,$B$4,#REF!,C6,Tabla1[SALE DEL PROGRAMA POR],"PARTO",Tabla1[NIVEL DE COMPLEJIDAD DE LA ATENCION DE LA INSTITUCION DONDE SE ATENDIO EL PARTO],"BAJA")-COUNTIFS(#REF!,$B$4,#REF!,C6,Tabla1[SALE DEL PROGRAMA POR],"PARTO",Tabla1[DILIGENCIAMIENTO DE PARTOGRAMA (NO APLICA EN EXPULSIVO)],"NO APLICA",Tabla1[NIVEL DE COMPLEJIDAD DE LA ATENCION DE LA INSTITUCION DONDE SE ATENDIO EL PARTO],"BAJA"))</f>
        <v>#REF!</v>
      </c>
      <c r="D110" s="184" t="e">
        <f>SUM(COUNTIFS(#REF!,$B$4,#REF!,D6,Tabla1[SALE DEL PROGRAMA POR],"PARTO",Tabla1[NIVEL DE COMPLEJIDAD DE LA ATENCION DE LA INSTITUCION DONDE SE ATENDIO EL PARTO],"BAJA")-COUNTIFS(#REF!,$B$4,#REF!,D6,Tabla1[SALE DEL PROGRAMA POR],"PARTO",Tabla1[DILIGENCIAMIENTO DE PARTOGRAMA (NO APLICA EN EXPULSIVO)],"NO APLICA",Tabla1[NIVEL DE COMPLEJIDAD DE LA ATENCION DE LA INSTITUCION DONDE SE ATENDIO EL PARTO],"BAJA"))</f>
        <v>#REF!</v>
      </c>
      <c r="E110" s="184" t="e">
        <f>SUM(COUNTIFS(#REF!,$B$4,#REF!,E6,Tabla1[SALE DEL PROGRAMA POR],"PARTO",Tabla1[NIVEL DE COMPLEJIDAD DE LA ATENCION DE LA INSTITUCION DONDE SE ATENDIO EL PARTO],"BAJA")-COUNTIFS(#REF!,$B$4,#REF!,E6,Tabla1[SALE DEL PROGRAMA POR],"PARTO",Tabla1[DILIGENCIAMIENTO DE PARTOGRAMA (NO APLICA EN EXPULSIVO)],"NO APLICA",Tabla1[NIVEL DE COMPLEJIDAD DE LA ATENCION DE LA INSTITUCION DONDE SE ATENDIO EL PARTO],"BAJA"))</f>
        <v>#REF!</v>
      </c>
      <c r="F110" s="184" t="e">
        <f>SUM(COUNTIFS(#REF!,$B$4,#REF!,F6,Tabla1[SALE DEL PROGRAMA POR],"PARTO",Tabla1[NIVEL DE COMPLEJIDAD DE LA ATENCION DE LA INSTITUCION DONDE SE ATENDIO EL PARTO],"BAJA")-COUNTIFS(#REF!,$B$4,#REF!,F6,Tabla1[SALE DEL PROGRAMA POR],"PARTO",Tabla1[DILIGENCIAMIENTO DE PARTOGRAMA (NO APLICA EN EXPULSIVO)],"NO APLICA",Tabla1[NIVEL DE COMPLEJIDAD DE LA ATENCION DE LA INSTITUCION DONDE SE ATENDIO EL PARTO],"BAJA"))</f>
        <v>#REF!</v>
      </c>
      <c r="G110" s="184" t="e">
        <f>SUM(COUNTIFS(#REF!,$B$4,#REF!,G6,Tabla1[SALE DEL PROGRAMA POR],"PARTO",Tabla1[NIVEL DE COMPLEJIDAD DE LA ATENCION DE LA INSTITUCION DONDE SE ATENDIO EL PARTO],"BAJA")-COUNTIFS(#REF!,$B$4,#REF!,G6,Tabla1[SALE DEL PROGRAMA POR],"PARTO",Tabla1[DILIGENCIAMIENTO DE PARTOGRAMA (NO APLICA EN EXPULSIVO)],"NO APLICA",Tabla1[NIVEL DE COMPLEJIDAD DE LA ATENCION DE LA INSTITUCION DONDE SE ATENDIO EL PARTO],"BAJA"))</f>
        <v>#REF!</v>
      </c>
      <c r="H110" s="184" t="e">
        <f>SUM(COUNTIFS(#REF!,$B$4,#REF!,H6,Tabla1[SALE DEL PROGRAMA POR],"PARTO",Tabla1[NIVEL DE COMPLEJIDAD DE LA ATENCION DE LA INSTITUCION DONDE SE ATENDIO EL PARTO],"BAJA")-COUNTIFS(#REF!,$B$4,#REF!,H6,Tabla1[SALE DEL PROGRAMA POR],"PARTO",Tabla1[DILIGENCIAMIENTO DE PARTOGRAMA (NO APLICA EN EXPULSIVO)],"NO APLICA",Tabla1[NIVEL DE COMPLEJIDAD DE LA ATENCION DE LA INSTITUCION DONDE SE ATENDIO EL PARTO],"BAJA"))</f>
        <v>#REF!</v>
      </c>
      <c r="I110" s="184" t="e">
        <f>SUM(COUNTIFS(#REF!,$B$4,#REF!,I6,Tabla1[SALE DEL PROGRAMA POR],"PARTO",Tabla1[NIVEL DE COMPLEJIDAD DE LA ATENCION DE LA INSTITUCION DONDE SE ATENDIO EL PARTO],"BAJA")-COUNTIFS(#REF!,$B$4,#REF!,I6,Tabla1[SALE DEL PROGRAMA POR],"PARTO",Tabla1[DILIGENCIAMIENTO DE PARTOGRAMA (NO APLICA EN EXPULSIVO)],"NO APLICA",Tabla1[NIVEL DE COMPLEJIDAD DE LA ATENCION DE LA INSTITUCION DONDE SE ATENDIO EL PARTO],"BAJA"))</f>
        <v>#REF!</v>
      </c>
      <c r="J110" s="184" t="e">
        <f>SUM(COUNTIFS(#REF!,$B$4,#REF!,J6,Tabla1[SALE DEL PROGRAMA POR],"PARTO",Tabla1[NIVEL DE COMPLEJIDAD DE LA ATENCION DE LA INSTITUCION DONDE SE ATENDIO EL PARTO],"BAJA")-COUNTIFS(#REF!,$B$4,#REF!,J6,Tabla1[SALE DEL PROGRAMA POR],"PARTO",Tabla1[DILIGENCIAMIENTO DE PARTOGRAMA (NO APLICA EN EXPULSIVO)],"NO APLICA",Tabla1[NIVEL DE COMPLEJIDAD DE LA ATENCION DE LA INSTITUCION DONDE SE ATENDIO EL PARTO],"BAJA"))</f>
        <v>#REF!</v>
      </c>
      <c r="K110" s="184" t="e">
        <f>SUM(COUNTIFS(#REF!,$B$4,#REF!,K6,Tabla1[SALE DEL PROGRAMA POR],"PARTO",Tabla1[NIVEL DE COMPLEJIDAD DE LA ATENCION DE LA INSTITUCION DONDE SE ATENDIO EL PARTO],"BAJA")-COUNTIFS(#REF!,$B$4,#REF!,K6,Tabla1[SALE DEL PROGRAMA POR],"PARTO",Tabla1[DILIGENCIAMIENTO DE PARTOGRAMA (NO APLICA EN EXPULSIVO)],"NO APLICA",Tabla1[NIVEL DE COMPLEJIDAD DE LA ATENCION DE LA INSTITUCION DONDE SE ATENDIO EL PARTO],"BAJA"))</f>
        <v>#REF!</v>
      </c>
      <c r="L110" s="184" t="e">
        <f>SUM(COUNTIFS(#REF!,$B$4,#REF!,L6,Tabla1[SALE DEL PROGRAMA POR],"PARTO",Tabla1[NIVEL DE COMPLEJIDAD DE LA ATENCION DE LA INSTITUCION DONDE SE ATENDIO EL PARTO],"BAJA")-COUNTIFS(#REF!,$B$4,#REF!,L6,Tabla1[SALE DEL PROGRAMA POR],"PARTO",Tabla1[DILIGENCIAMIENTO DE PARTOGRAMA (NO APLICA EN EXPULSIVO)],"NO APLICA",Tabla1[NIVEL DE COMPLEJIDAD DE LA ATENCION DE LA INSTITUCION DONDE SE ATENDIO EL PARTO],"BAJA"))</f>
        <v>#REF!</v>
      </c>
      <c r="M110" s="184" t="e">
        <f>SUM(COUNTIFS(#REF!,$B$4,#REF!,M6,Tabla1[SALE DEL PROGRAMA POR],"PARTO",Tabla1[NIVEL DE COMPLEJIDAD DE LA ATENCION DE LA INSTITUCION DONDE SE ATENDIO EL PARTO],"BAJA")-COUNTIFS(#REF!,$B$4,#REF!,M6,Tabla1[SALE DEL PROGRAMA POR],"PARTO",Tabla1[DILIGENCIAMIENTO DE PARTOGRAMA (NO APLICA EN EXPULSIVO)],"NO APLICA",Tabla1[NIVEL DE COMPLEJIDAD DE LA ATENCION DE LA INSTITUCION DONDE SE ATENDIO EL PARTO],"BAJA"))</f>
        <v>#REF!</v>
      </c>
      <c r="N110" s="116" t="e">
        <f t="shared" si="36"/>
        <v>#REF!</v>
      </c>
    </row>
    <row r="111" spans="1:14 16384:16384" ht="42.75" customHeight="1" thickBot="1" x14ac:dyDescent="0.3">
      <c r="A111" s="197" t="s">
        <v>747</v>
      </c>
      <c r="B111" s="117" t="e">
        <f>IF(B$110=0,"",SUM(B109/B$110))</f>
        <v>#REF!</v>
      </c>
      <c r="C111" s="118" t="e">
        <f>IF(C$110=0,"",SUM(C109/C$110))</f>
        <v>#REF!</v>
      </c>
      <c r="D111" s="118" t="e">
        <f>IF(D$110=0,"",SUM(D109/D$110))</f>
        <v>#REF!</v>
      </c>
      <c r="E111" s="118" t="e">
        <f>IF(E$110=0,"",SUM(E109/E$110))</f>
        <v>#REF!</v>
      </c>
      <c r="F111" s="118" t="e">
        <f>IF(F$110=0,"",SUM(F109/F$110))</f>
        <v>#REF!</v>
      </c>
      <c r="G111" s="118" t="e">
        <f>IF(G$110=0,"",SUM(G109/G$110))</f>
        <v>#REF!</v>
      </c>
      <c r="H111" s="118" t="e">
        <f>IF(H$110=0,"",SUM(H109/H$110))</f>
        <v>#REF!</v>
      </c>
      <c r="I111" s="118" t="e">
        <f>IF(I$110=0,"",SUM(I109/I$110))</f>
        <v>#REF!</v>
      </c>
      <c r="J111" s="118" t="e">
        <f>IF(J$110=0,"",SUM(J109/J$110))</f>
        <v>#REF!</v>
      </c>
      <c r="K111" s="118" t="e">
        <f>IF(K$110=0,"",SUM(K109/K$110))</f>
        <v>#REF!</v>
      </c>
      <c r="L111" s="118" t="e">
        <f>IF(L$110=0,"",SUM(L109/L$110))</f>
        <v>#REF!</v>
      </c>
      <c r="M111" s="118" t="e">
        <f>IF(M$110=0,"",SUM(M109/M$110))</f>
        <v>#REF!</v>
      </c>
      <c r="N111" s="119" t="e">
        <f>IF(N$110=0,"",SUM(N109/N$110))</f>
        <v>#REF!</v>
      </c>
    </row>
    <row r="112" spans="1:14 16384:16384" ht="33.75" customHeight="1" x14ac:dyDescent="0.25">
      <c r="A112" s="78" t="s">
        <v>748</v>
      </c>
      <c r="B112" s="184" t="e">
        <f>SUM(COUNTIFS(#REF!,$B$4,#REF!,B6,Tabla1[SALE DEL PROGRAMA POR],"PARTO",Tabla1[DILIGENCIAMIENTO DE PARTOGRAMA (NO APLICA EN EXPULSIVO)],"SI",Tabla1[NIVEL DE COMPLEJIDAD DE LA ATENCION DE LA INSTITUCION DONDE SE ATENDIO EL PARTO],"MEDIANA"),COUNTIFS(#REF!,$B$4,#REF!,B6,Tabla1[SALE DEL PROGRAMA POR],"PARTO",Tabla1[DILIGENCIAMIENTO DE PARTOGRAMA (NO APLICA EN EXPULSIVO)],"SI",Tabla1[NIVEL DE COMPLEJIDAD DE LA ATENCION DE LA INSTITUCION DONDE SE ATENDIO EL PARTO],"ALTA"),COUNTIFS(#REF!,$B$4,#REF!,B6,Tabla1[SALE DEL PROGRAMA POR],"CESAREA",Tabla1[DILIGENCIAMIENTO DE PARTOGRAMA (NO APLICA EN EXPULSIVO)],"SI",Tabla1[NIVEL DE COMPLEJIDAD DE LA ATENCION DE LA INSTITUCION DONDE SE ATENDIO EL PARTO],"MEDIANA"),COUNTIFS(#REF!,$B$4,#REF!,B6,Tabla1[SALE DEL PROGRAMA POR],"CESAREA",Tabla1[DILIGENCIAMIENTO DE PARTOGRAMA (NO APLICA EN EXPULSIVO)],"SI",Tabla1[NIVEL DE COMPLEJIDAD DE LA ATENCION DE LA INSTITUCION DONDE SE ATENDIO EL PARTO],"ALTA"))</f>
        <v>#REF!</v>
      </c>
      <c r="C112" s="184" t="e">
        <f>SUM(COUNTIFS(#REF!,$B$4,#REF!,C6,Tabla1[SALE DEL PROGRAMA POR],"PARTO",Tabla1[DILIGENCIAMIENTO DE PARTOGRAMA (NO APLICA EN EXPULSIVO)],"SI",Tabla1[NIVEL DE COMPLEJIDAD DE LA ATENCION DE LA INSTITUCION DONDE SE ATENDIO EL PARTO],"MEDIANA"),COUNTIFS(#REF!,$B$4,#REF!,C6,Tabla1[SALE DEL PROGRAMA POR],"PARTO",Tabla1[DILIGENCIAMIENTO DE PARTOGRAMA (NO APLICA EN EXPULSIVO)],"SI",Tabla1[NIVEL DE COMPLEJIDAD DE LA ATENCION DE LA INSTITUCION DONDE SE ATENDIO EL PARTO],"ALTA"),COUNTIFS(#REF!,$B$4,#REF!,C6,Tabla1[SALE DEL PROGRAMA POR],"CESAREA",Tabla1[DILIGENCIAMIENTO DE PARTOGRAMA (NO APLICA EN EXPULSIVO)],"SI",Tabla1[NIVEL DE COMPLEJIDAD DE LA ATENCION DE LA INSTITUCION DONDE SE ATENDIO EL PARTO],"MEDIANA"),COUNTIFS(#REF!,$B$4,#REF!,C6,Tabla1[SALE DEL PROGRAMA POR],"CESAREA",Tabla1[DILIGENCIAMIENTO DE PARTOGRAMA (NO APLICA EN EXPULSIVO)],"SI",Tabla1[NIVEL DE COMPLEJIDAD DE LA ATENCION DE LA INSTITUCION DONDE SE ATENDIO EL PARTO],"ALTA"))</f>
        <v>#REF!</v>
      </c>
      <c r="D112" s="184" t="e">
        <f>SUM(COUNTIFS(#REF!,$B$4,#REF!,D6,Tabla1[SALE DEL PROGRAMA POR],"PARTO",Tabla1[DILIGENCIAMIENTO DE PARTOGRAMA (NO APLICA EN EXPULSIVO)],"SI",Tabla1[NIVEL DE COMPLEJIDAD DE LA ATENCION DE LA INSTITUCION DONDE SE ATENDIO EL PARTO],"MEDIANA"),COUNTIFS(#REF!,$B$4,#REF!,D6,Tabla1[SALE DEL PROGRAMA POR],"PARTO",Tabla1[DILIGENCIAMIENTO DE PARTOGRAMA (NO APLICA EN EXPULSIVO)],"SI",Tabla1[NIVEL DE COMPLEJIDAD DE LA ATENCION DE LA INSTITUCION DONDE SE ATENDIO EL PARTO],"ALTA"),COUNTIFS(#REF!,$B$4,#REF!,D6,Tabla1[SALE DEL PROGRAMA POR],"CESAREA",Tabla1[DILIGENCIAMIENTO DE PARTOGRAMA (NO APLICA EN EXPULSIVO)],"SI",Tabla1[NIVEL DE COMPLEJIDAD DE LA ATENCION DE LA INSTITUCION DONDE SE ATENDIO EL PARTO],"MEDIANA"),COUNTIFS(#REF!,$B$4,#REF!,D6,Tabla1[SALE DEL PROGRAMA POR],"CESAREA",Tabla1[DILIGENCIAMIENTO DE PARTOGRAMA (NO APLICA EN EXPULSIVO)],"SI",Tabla1[NIVEL DE COMPLEJIDAD DE LA ATENCION DE LA INSTITUCION DONDE SE ATENDIO EL PARTO],"ALTA"))</f>
        <v>#REF!</v>
      </c>
      <c r="E112" s="184" t="e">
        <f>SUM(COUNTIFS(#REF!,$B$4,#REF!,E6,Tabla1[SALE DEL PROGRAMA POR],"PARTO",Tabla1[DILIGENCIAMIENTO DE PARTOGRAMA (NO APLICA EN EXPULSIVO)],"SI",Tabla1[NIVEL DE COMPLEJIDAD DE LA ATENCION DE LA INSTITUCION DONDE SE ATENDIO EL PARTO],"MEDIANA"),COUNTIFS(#REF!,$B$4,#REF!,E6,Tabla1[SALE DEL PROGRAMA POR],"PARTO",Tabla1[DILIGENCIAMIENTO DE PARTOGRAMA (NO APLICA EN EXPULSIVO)],"SI",Tabla1[NIVEL DE COMPLEJIDAD DE LA ATENCION DE LA INSTITUCION DONDE SE ATENDIO EL PARTO],"ALTA"),COUNTIFS(#REF!,$B$4,#REF!,E6,Tabla1[SALE DEL PROGRAMA POR],"CESAREA",Tabla1[DILIGENCIAMIENTO DE PARTOGRAMA (NO APLICA EN EXPULSIVO)],"SI",Tabla1[NIVEL DE COMPLEJIDAD DE LA ATENCION DE LA INSTITUCION DONDE SE ATENDIO EL PARTO],"MEDIANA"),COUNTIFS(#REF!,$B$4,#REF!,E6,Tabla1[SALE DEL PROGRAMA POR],"CESAREA",Tabla1[DILIGENCIAMIENTO DE PARTOGRAMA (NO APLICA EN EXPULSIVO)],"SI",Tabla1[NIVEL DE COMPLEJIDAD DE LA ATENCION DE LA INSTITUCION DONDE SE ATENDIO EL PARTO],"ALTA"))</f>
        <v>#REF!</v>
      </c>
      <c r="F112" s="184" t="e">
        <f>SUM(COUNTIFS(#REF!,$B$4,#REF!,F6,Tabla1[SALE DEL PROGRAMA POR],"PARTO",Tabla1[DILIGENCIAMIENTO DE PARTOGRAMA (NO APLICA EN EXPULSIVO)],"SI",Tabla1[NIVEL DE COMPLEJIDAD DE LA ATENCION DE LA INSTITUCION DONDE SE ATENDIO EL PARTO],"MEDIANA"),COUNTIFS(#REF!,$B$4,#REF!,F6,Tabla1[SALE DEL PROGRAMA POR],"PARTO",Tabla1[DILIGENCIAMIENTO DE PARTOGRAMA (NO APLICA EN EXPULSIVO)],"SI",Tabla1[NIVEL DE COMPLEJIDAD DE LA ATENCION DE LA INSTITUCION DONDE SE ATENDIO EL PARTO],"ALTA"),COUNTIFS(#REF!,$B$4,#REF!,F6,Tabla1[SALE DEL PROGRAMA POR],"CESAREA",Tabla1[DILIGENCIAMIENTO DE PARTOGRAMA (NO APLICA EN EXPULSIVO)],"SI",Tabla1[NIVEL DE COMPLEJIDAD DE LA ATENCION DE LA INSTITUCION DONDE SE ATENDIO EL PARTO],"MEDIANA"),COUNTIFS(#REF!,$B$4,#REF!,F6,Tabla1[SALE DEL PROGRAMA POR],"CESAREA",Tabla1[DILIGENCIAMIENTO DE PARTOGRAMA (NO APLICA EN EXPULSIVO)],"SI",Tabla1[NIVEL DE COMPLEJIDAD DE LA ATENCION DE LA INSTITUCION DONDE SE ATENDIO EL PARTO],"ALTA"))</f>
        <v>#REF!</v>
      </c>
      <c r="G112" s="184" t="e">
        <f>SUM(COUNTIFS(#REF!,$B$4,#REF!,G6,Tabla1[SALE DEL PROGRAMA POR],"PARTO",Tabla1[DILIGENCIAMIENTO DE PARTOGRAMA (NO APLICA EN EXPULSIVO)],"SI",Tabla1[NIVEL DE COMPLEJIDAD DE LA ATENCION DE LA INSTITUCION DONDE SE ATENDIO EL PARTO],"MEDIANA"),COUNTIFS(#REF!,$B$4,#REF!,G6,Tabla1[SALE DEL PROGRAMA POR],"PARTO",Tabla1[DILIGENCIAMIENTO DE PARTOGRAMA (NO APLICA EN EXPULSIVO)],"SI",Tabla1[NIVEL DE COMPLEJIDAD DE LA ATENCION DE LA INSTITUCION DONDE SE ATENDIO EL PARTO],"ALTA"),COUNTIFS(#REF!,$B$4,#REF!,G6,Tabla1[SALE DEL PROGRAMA POR],"CESAREA",Tabla1[DILIGENCIAMIENTO DE PARTOGRAMA (NO APLICA EN EXPULSIVO)],"SI",Tabla1[NIVEL DE COMPLEJIDAD DE LA ATENCION DE LA INSTITUCION DONDE SE ATENDIO EL PARTO],"MEDIANA"),COUNTIFS(#REF!,$B$4,#REF!,G6,Tabla1[SALE DEL PROGRAMA POR],"CESAREA",Tabla1[DILIGENCIAMIENTO DE PARTOGRAMA (NO APLICA EN EXPULSIVO)],"SI",Tabla1[NIVEL DE COMPLEJIDAD DE LA ATENCION DE LA INSTITUCION DONDE SE ATENDIO EL PARTO],"ALTA"))</f>
        <v>#REF!</v>
      </c>
      <c r="H112" s="184" t="e">
        <f>SUM(COUNTIFS(#REF!,$B$4,#REF!,H6,Tabla1[SALE DEL PROGRAMA POR],"PARTO",Tabla1[DILIGENCIAMIENTO DE PARTOGRAMA (NO APLICA EN EXPULSIVO)],"SI",Tabla1[NIVEL DE COMPLEJIDAD DE LA ATENCION DE LA INSTITUCION DONDE SE ATENDIO EL PARTO],"MEDIANA"),COUNTIFS(#REF!,$B$4,#REF!,H6,Tabla1[SALE DEL PROGRAMA POR],"PARTO",Tabla1[DILIGENCIAMIENTO DE PARTOGRAMA (NO APLICA EN EXPULSIVO)],"SI",Tabla1[NIVEL DE COMPLEJIDAD DE LA ATENCION DE LA INSTITUCION DONDE SE ATENDIO EL PARTO],"ALTA"),COUNTIFS(#REF!,$B$4,#REF!,H6,Tabla1[SALE DEL PROGRAMA POR],"CESAREA",Tabla1[DILIGENCIAMIENTO DE PARTOGRAMA (NO APLICA EN EXPULSIVO)],"SI",Tabla1[NIVEL DE COMPLEJIDAD DE LA ATENCION DE LA INSTITUCION DONDE SE ATENDIO EL PARTO],"MEDIANA"),COUNTIFS(#REF!,$B$4,#REF!,H6,Tabla1[SALE DEL PROGRAMA POR],"CESAREA",Tabla1[DILIGENCIAMIENTO DE PARTOGRAMA (NO APLICA EN EXPULSIVO)],"SI",Tabla1[NIVEL DE COMPLEJIDAD DE LA ATENCION DE LA INSTITUCION DONDE SE ATENDIO EL PARTO],"ALTA"))</f>
        <v>#REF!</v>
      </c>
      <c r="I112" s="184" t="e">
        <f>SUM(COUNTIFS(#REF!,$B$4,#REF!,I6,Tabla1[SALE DEL PROGRAMA POR],"PARTO",Tabla1[DILIGENCIAMIENTO DE PARTOGRAMA (NO APLICA EN EXPULSIVO)],"SI",Tabla1[NIVEL DE COMPLEJIDAD DE LA ATENCION DE LA INSTITUCION DONDE SE ATENDIO EL PARTO],"MEDIANA"),COUNTIFS(#REF!,$B$4,#REF!,I6,Tabla1[SALE DEL PROGRAMA POR],"PARTO",Tabla1[DILIGENCIAMIENTO DE PARTOGRAMA (NO APLICA EN EXPULSIVO)],"SI",Tabla1[NIVEL DE COMPLEJIDAD DE LA ATENCION DE LA INSTITUCION DONDE SE ATENDIO EL PARTO],"ALTA"),COUNTIFS(#REF!,$B$4,#REF!,I6,Tabla1[SALE DEL PROGRAMA POR],"CESAREA",Tabla1[DILIGENCIAMIENTO DE PARTOGRAMA (NO APLICA EN EXPULSIVO)],"SI",Tabla1[NIVEL DE COMPLEJIDAD DE LA ATENCION DE LA INSTITUCION DONDE SE ATENDIO EL PARTO],"MEDIANA"),COUNTIFS(#REF!,$B$4,#REF!,I6,Tabla1[SALE DEL PROGRAMA POR],"CESAREA",Tabla1[DILIGENCIAMIENTO DE PARTOGRAMA (NO APLICA EN EXPULSIVO)],"SI",Tabla1[NIVEL DE COMPLEJIDAD DE LA ATENCION DE LA INSTITUCION DONDE SE ATENDIO EL PARTO],"ALTA"))</f>
        <v>#REF!</v>
      </c>
      <c r="J112" s="184" t="e">
        <f>SUM(COUNTIFS(#REF!,$B$4,#REF!,J6,Tabla1[SALE DEL PROGRAMA POR],"PARTO",Tabla1[DILIGENCIAMIENTO DE PARTOGRAMA (NO APLICA EN EXPULSIVO)],"SI",Tabla1[NIVEL DE COMPLEJIDAD DE LA ATENCION DE LA INSTITUCION DONDE SE ATENDIO EL PARTO],"MEDIANA"),COUNTIFS(#REF!,$B$4,#REF!,J6,Tabla1[SALE DEL PROGRAMA POR],"PARTO",Tabla1[DILIGENCIAMIENTO DE PARTOGRAMA (NO APLICA EN EXPULSIVO)],"SI",Tabla1[NIVEL DE COMPLEJIDAD DE LA ATENCION DE LA INSTITUCION DONDE SE ATENDIO EL PARTO],"ALTA"),COUNTIFS(#REF!,$B$4,#REF!,J6,Tabla1[SALE DEL PROGRAMA POR],"CESAREA",Tabla1[DILIGENCIAMIENTO DE PARTOGRAMA (NO APLICA EN EXPULSIVO)],"SI",Tabla1[NIVEL DE COMPLEJIDAD DE LA ATENCION DE LA INSTITUCION DONDE SE ATENDIO EL PARTO],"MEDIANA"),COUNTIFS(#REF!,$B$4,#REF!,J6,Tabla1[SALE DEL PROGRAMA POR],"CESAREA",Tabla1[DILIGENCIAMIENTO DE PARTOGRAMA (NO APLICA EN EXPULSIVO)],"SI",Tabla1[NIVEL DE COMPLEJIDAD DE LA ATENCION DE LA INSTITUCION DONDE SE ATENDIO EL PARTO],"ALTA"))</f>
        <v>#REF!</v>
      </c>
      <c r="K112" s="184" t="e">
        <f>SUM(COUNTIFS(#REF!,$B$4,#REF!,K6,Tabla1[SALE DEL PROGRAMA POR],"PARTO",Tabla1[DILIGENCIAMIENTO DE PARTOGRAMA (NO APLICA EN EXPULSIVO)],"SI",Tabla1[NIVEL DE COMPLEJIDAD DE LA ATENCION DE LA INSTITUCION DONDE SE ATENDIO EL PARTO],"MEDIANA"),COUNTIFS(#REF!,$B$4,#REF!,K6,Tabla1[SALE DEL PROGRAMA POR],"PARTO",Tabla1[DILIGENCIAMIENTO DE PARTOGRAMA (NO APLICA EN EXPULSIVO)],"SI",Tabla1[NIVEL DE COMPLEJIDAD DE LA ATENCION DE LA INSTITUCION DONDE SE ATENDIO EL PARTO],"ALTA"),COUNTIFS(#REF!,$B$4,#REF!,K6,Tabla1[SALE DEL PROGRAMA POR],"CESAREA",Tabla1[DILIGENCIAMIENTO DE PARTOGRAMA (NO APLICA EN EXPULSIVO)],"SI",Tabla1[NIVEL DE COMPLEJIDAD DE LA ATENCION DE LA INSTITUCION DONDE SE ATENDIO EL PARTO],"MEDIANA"),COUNTIFS(#REF!,$B$4,#REF!,K6,Tabla1[SALE DEL PROGRAMA POR],"CESAREA",Tabla1[DILIGENCIAMIENTO DE PARTOGRAMA (NO APLICA EN EXPULSIVO)],"SI",Tabla1[NIVEL DE COMPLEJIDAD DE LA ATENCION DE LA INSTITUCION DONDE SE ATENDIO EL PARTO],"ALTA"))</f>
        <v>#REF!</v>
      </c>
      <c r="L112" s="184" t="e">
        <f>SUM(COUNTIFS(#REF!,$B$4,#REF!,L6,Tabla1[SALE DEL PROGRAMA POR],"PARTO",Tabla1[DILIGENCIAMIENTO DE PARTOGRAMA (NO APLICA EN EXPULSIVO)],"SI",Tabla1[NIVEL DE COMPLEJIDAD DE LA ATENCION DE LA INSTITUCION DONDE SE ATENDIO EL PARTO],"MEDIANA"),COUNTIFS(#REF!,$B$4,#REF!,L6,Tabla1[SALE DEL PROGRAMA POR],"PARTO",Tabla1[DILIGENCIAMIENTO DE PARTOGRAMA (NO APLICA EN EXPULSIVO)],"SI",Tabla1[NIVEL DE COMPLEJIDAD DE LA ATENCION DE LA INSTITUCION DONDE SE ATENDIO EL PARTO],"ALTA"),COUNTIFS(#REF!,$B$4,#REF!,L6,Tabla1[SALE DEL PROGRAMA POR],"CESAREA",Tabla1[DILIGENCIAMIENTO DE PARTOGRAMA (NO APLICA EN EXPULSIVO)],"SI",Tabla1[NIVEL DE COMPLEJIDAD DE LA ATENCION DE LA INSTITUCION DONDE SE ATENDIO EL PARTO],"MEDIANA"),COUNTIFS(#REF!,$B$4,#REF!,L6,Tabla1[SALE DEL PROGRAMA POR],"CESAREA",Tabla1[DILIGENCIAMIENTO DE PARTOGRAMA (NO APLICA EN EXPULSIVO)],"SI",Tabla1[NIVEL DE COMPLEJIDAD DE LA ATENCION DE LA INSTITUCION DONDE SE ATENDIO EL PARTO],"ALTA"))</f>
        <v>#REF!</v>
      </c>
      <c r="M112" s="184" t="e">
        <f>SUM(COUNTIFS(#REF!,$B$4,#REF!,M6,Tabla1[SALE DEL PROGRAMA POR],"PARTO",Tabla1[DILIGENCIAMIENTO DE PARTOGRAMA (NO APLICA EN EXPULSIVO)],"SI",Tabla1[NIVEL DE COMPLEJIDAD DE LA ATENCION DE LA INSTITUCION DONDE SE ATENDIO EL PARTO],"MEDIANA"),COUNTIFS(#REF!,$B$4,#REF!,M6,Tabla1[SALE DEL PROGRAMA POR],"PARTO",Tabla1[DILIGENCIAMIENTO DE PARTOGRAMA (NO APLICA EN EXPULSIVO)],"SI",Tabla1[NIVEL DE COMPLEJIDAD DE LA ATENCION DE LA INSTITUCION DONDE SE ATENDIO EL PARTO],"ALTA"),COUNTIFS(#REF!,$B$4,#REF!,M6,Tabla1[SALE DEL PROGRAMA POR],"CESAREA",Tabla1[DILIGENCIAMIENTO DE PARTOGRAMA (NO APLICA EN EXPULSIVO)],"SI",Tabla1[NIVEL DE COMPLEJIDAD DE LA ATENCION DE LA INSTITUCION DONDE SE ATENDIO EL PARTO],"MEDIANA"),COUNTIFS(#REF!,$B$4,#REF!,M6,Tabla1[SALE DEL PROGRAMA POR],"CESAREA",Tabla1[DILIGENCIAMIENTO DE PARTOGRAMA (NO APLICA EN EXPULSIVO)],"SI",Tabla1[NIVEL DE COMPLEJIDAD DE LA ATENCION DE LA INSTITUCION DONDE SE ATENDIO EL PARTO],"ALTA"))</f>
        <v>#REF!</v>
      </c>
      <c r="N112" s="116" t="e">
        <f>SUM(B112:M112)</f>
        <v>#REF!</v>
      </c>
    </row>
    <row r="113" spans="1:14" ht="40.5" customHeight="1" thickBot="1" x14ac:dyDescent="0.3">
      <c r="A113" s="205" t="s">
        <v>749</v>
      </c>
      <c r="B113" s="184" t="e">
        <f>SUM(SUM(COUNTIFS(#REF!,$B$4,#REF!,B6,Tabla1[SALE DEL PROGRAMA POR],"PARTO",Tabla1[NIVEL DE COMPLEJIDAD DE LA ATENCION DE LA INSTITUCION DONDE SE ATENDIO EL PARTO],"MEDIANA"),COUNTIFS(#REF!,$B$4,#REF!,B6,Tabla1[SALE DEL PROGRAMA POR],"PARTO",Tabla1[NIVEL DE COMPLEJIDAD DE LA ATENCION DE LA INSTITUCION DONDE SE ATENDIO EL PARTO],"ALTA"),COUNTIFS(#REF!,$B$4,#REF!,B6,Tabla1[SALE DEL PROGRAMA POR],"CESAREA",Tabla1[NIVEL DE COMPLEJIDAD DE LA ATENCION DE LA INSTITUCION DONDE SE ATENDIO EL PARTO],"MEDIANA"),COUNTIFS(#REF!,$B$4,#REF!,B6,Tabla1[SALE DEL PROGRAMA POR],"CESAREA",Tabla1[NIVEL DE COMPLEJIDAD DE LA ATENCION DE LA INSTITUCION DONDE SE ATENDIO EL PARTO],"ALTA"))-SUM(COUNTIFS(#REF!,$B$4,#REF!,B6,Tabla1[SALE DEL PROGRAMA POR],"PARTO",Tabla1[DILIGENCIAMIENTO DE PARTOGRAMA (NO APLICA EN EXPULSIVO)],"NO APLICA",Tabla1[NIVEL DE COMPLEJIDAD DE LA ATENCION DE LA INSTITUCION DONDE SE ATENDIO EL PARTO],"MEDIANA"),COUNTIFS(#REF!,$B$4,#REF!,B6,Tabla1[SALE DEL PROGRAMA POR],"PARTO",Tabla1[DILIGENCIAMIENTO DE PARTOGRAMA (NO APLICA EN EXPULSIVO)],"NO APLICA",Tabla1[NIVEL DE COMPLEJIDAD DE LA ATENCION DE LA INSTITUCION DONDE SE ATENDIO EL PARTO],"ALTA"),COUNTIFS(#REF!,$B$4,#REF!,B6,Tabla1[SALE DEL PROGRAMA POR],"CESAREA",Tabla1[DILIGENCIAMIENTO DE PARTOGRAMA (NO APLICA EN EXPULSIVO)],"NO APLICA",Tabla1[NIVEL DE COMPLEJIDAD DE LA ATENCION DE LA INSTITUCION DONDE SE ATENDIO EL PARTO],"MEDIANA"),COUNTIFS(#REF!,$B$4,#REF!,B6,Tabla1[SALE DEL PROGRAMA POR],"CESAREA",Tabla1[DILIGENCIAMIENTO DE PARTOGRAMA (NO APLICA EN EXPULSIVO)],"NO APLICA",Tabla1[NIVEL DE COMPLEJIDAD DE LA ATENCION DE LA INSTITUCION DONDE SE ATENDIO EL PARTO],"ALTA")))</f>
        <v>#REF!</v>
      </c>
      <c r="C113" s="184" t="e">
        <f>SUM(SUM(COUNTIFS(#REF!,$B$4,#REF!,C6,Tabla1[SALE DEL PROGRAMA POR],"PARTO",Tabla1[NIVEL DE COMPLEJIDAD DE LA ATENCION DE LA INSTITUCION DONDE SE ATENDIO EL PARTO],"MEDIANA"),COUNTIFS(#REF!,$B$4,#REF!,C6,Tabla1[SALE DEL PROGRAMA POR],"PARTO",Tabla1[NIVEL DE COMPLEJIDAD DE LA ATENCION DE LA INSTITUCION DONDE SE ATENDIO EL PARTO],"ALTA"),COUNTIFS(#REF!,$B$4,#REF!,C6,Tabla1[SALE DEL PROGRAMA POR],"CESAREA",Tabla1[NIVEL DE COMPLEJIDAD DE LA ATENCION DE LA INSTITUCION DONDE SE ATENDIO EL PARTO],"MEDIANA"),COUNTIFS(#REF!,$B$4,#REF!,C6,Tabla1[SALE DEL PROGRAMA POR],"CESAREA",Tabla1[NIVEL DE COMPLEJIDAD DE LA ATENCION DE LA INSTITUCION DONDE SE ATENDIO EL PARTO],"ALTA"))-SUM(COUNTIFS(#REF!,$B$4,#REF!,C6,Tabla1[SALE DEL PROGRAMA POR],"PARTO",Tabla1[DILIGENCIAMIENTO DE PARTOGRAMA (NO APLICA EN EXPULSIVO)],"NO APLICA",Tabla1[NIVEL DE COMPLEJIDAD DE LA ATENCION DE LA INSTITUCION DONDE SE ATENDIO EL PARTO],"MEDIANA"),COUNTIFS(#REF!,$B$4,#REF!,C6,Tabla1[SALE DEL PROGRAMA POR],"PARTO",Tabla1[DILIGENCIAMIENTO DE PARTOGRAMA (NO APLICA EN EXPULSIVO)],"NO APLICA",Tabla1[NIVEL DE COMPLEJIDAD DE LA ATENCION DE LA INSTITUCION DONDE SE ATENDIO EL PARTO],"ALTA"),COUNTIFS(#REF!,$B$4,#REF!,C6,Tabla1[SALE DEL PROGRAMA POR],"CESAREA",Tabla1[DILIGENCIAMIENTO DE PARTOGRAMA (NO APLICA EN EXPULSIVO)],"NO APLICA",Tabla1[NIVEL DE COMPLEJIDAD DE LA ATENCION DE LA INSTITUCION DONDE SE ATENDIO EL PARTO],"MEDIANA"),COUNTIFS(#REF!,$B$4,#REF!,C6,Tabla1[SALE DEL PROGRAMA POR],"CESAREA",Tabla1[DILIGENCIAMIENTO DE PARTOGRAMA (NO APLICA EN EXPULSIVO)],"NO APLICA",Tabla1[NIVEL DE COMPLEJIDAD DE LA ATENCION DE LA INSTITUCION DONDE SE ATENDIO EL PARTO],"ALTA")))</f>
        <v>#REF!</v>
      </c>
      <c r="D113" s="184" t="e">
        <f>SUM(SUM(COUNTIFS(#REF!,$B$4,#REF!,D6,Tabla1[SALE DEL PROGRAMA POR],"PARTO",Tabla1[NIVEL DE COMPLEJIDAD DE LA ATENCION DE LA INSTITUCION DONDE SE ATENDIO EL PARTO],"MEDIANA"),COUNTIFS(#REF!,$B$4,#REF!,D6,Tabla1[SALE DEL PROGRAMA POR],"PARTO",Tabla1[NIVEL DE COMPLEJIDAD DE LA ATENCION DE LA INSTITUCION DONDE SE ATENDIO EL PARTO],"ALTA"),COUNTIFS(#REF!,$B$4,#REF!,D6,Tabla1[SALE DEL PROGRAMA POR],"CESAREA",Tabla1[NIVEL DE COMPLEJIDAD DE LA ATENCION DE LA INSTITUCION DONDE SE ATENDIO EL PARTO],"MEDIANA"),COUNTIFS(#REF!,$B$4,#REF!,D6,Tabla1[SALE DEL PROGRAMA POR],"CESAREA",Tabla1[NIVEL DE COMPLEJIDAD DE LA ATENCION DE LA INSTITUCION DONDE SE ATENDIO EL PARTO],"ALTA"))-SUM(COUNTIFS(#REF!,$B$4,#REF!,D6,Tabla1[SALE DEL PROGRAMA POR],"PARTO",Tabla1[DILIGENCIAMIENTO DE PARTOGRAMA (NO APLICA EN EXPULSIVO)],"NO APLICA",Tabla1[NIVEL DE COMPLEJIDAD DE LA ATENCION DE LA INSTITUCION DONDE SE ATENDIO EL PARTO],"MEDIANA"),COUNTIFS(#REF!,$B$4,#REF!,D6,Tabla1[SALE DEL PROGRAMA POR],"PARTO",Tabla1[DILIGENCIAMIENTO DE PARTOGRAMA (NO APLICA EN EXPULSIVO)],"NO APLICA",Tabla1[NIVEL DE COMPLEJIDAD DE LA ATENCION DE LA INSTITUCION DONDE SE ATENDIO EL PARTO],"ALTA"),COUNTIFS(#REF!,$B$4,#REF!,D6,Tabla1[SALE DEL PROGRAMA POR],"CESAREA",Tabla1[DILIGENCIAMIENTO DE PARTOGRAMA (NO APLICA EN EXPULSIVO)],"NO APLICA",Tabla1[NIVEL DE COMPLEJIDAD DE LA ATENCION DE LA INSTITUCION DONDE SE ATENDIO EL PARTO],"MEDIANA"),COUNTIFS(#REF!,$B$4,#REF!,D6,Tabla1[SALE DEL PROGRAMA POR],"CESAREA",Tabla1[DILIGENCIAMIENTO DE PARTOGRAMA (NO APLICA EN EXPULSIVO)],"NO APLICA",Tabla1[NIVEL DE COMPLEJIDAD DE LA ATENCION DE LA INSTITUCION DONDE SE ATENDIO EL PARTO],"ALTA")))</f>
        <v>#REF!</v>
      </c>
      <c r="E113" s="184" t="e">
        <f>SUM(SUM(COUNTIFS(#REF!,$B$4,#REF!,E6,Tabla1[SALE DEL PROGRAMA POR],"PARTO",Tabla1[NIVEL DE COMPLEJIDAD DE LA ATENCION DE LA INSTITUCION DONDE SE ATENDIO EL PARTO],"MEDIANA"),COUNTIFS(#REF!,$B$4,#REF!,E6,Tabla1[SALE DEL PROGRAMA POR],"PARTO",Tabla1[NIVEL DE COMPLEJIDAD DE LA ATENCION DE LA INSTITUCION DONDE SE ATENDIO EL PARTO],"ALTA"),COUNTIFS(#REF!,$B$4,#REF!,E6,Tabla1[SALE DEL PROGRAMA POR],"CESAREA",Tabla1[NIVEL DE COMPLEJIDAD DE LA ATENCION DE LA INSTITUCION DONDE SE ATENDIO EL PARTO],"MEDIANA"),COUNTIFS(#REF!,$B$4,#REF!,E6,Tabla1[SALE DEL PROGRAMA POR],"CESAREA",Tabla1[NIVEL DE COMPLEJIDAD DE LA ATENCION DE LA INSTITUCION DONDE SE ATENDIO EL PARTO],"ALTA"))-SUM(COUNTIFS(#REF!,$B$4,#REF!,E6,Tabla1[SALE DEL PROGRAMA POR],"PARTO",Tabla1[DILIGENCIAMIENTO DE PARTOGRAMA (NO APLICA EN EXPULSIVO)],"NO APLICA",Tabla1[NIVEL DE COMPLEJIDAD DE LA ATENCION DE LA INSTITUCION DONDE SE ATENDIO EL PARTO],"MEDIANA"),COUNTIFS(#REF!,$B$4,#REF!,E6,Tabla1[SALE DEL PROGRAMA POR],"PARTO",Tabla1[DILIGENCIAMIENTO DE PARTOGRAMA (NO APLICA EN EXPULSIVO)],"NO APLICA",Tabla1[NIVEL DE COMPLEJIDAD DE LA ATENCION DE LA INSTITUCION DONDE SE ATENDIO EL PARTO],"ALTA"),COUNTIFS(#REF!,$B$4,#REF!,E6,Tabla1[SALE DEL PROGRAMA POR],"CESAREA",Tabla1[DILIGENCIAMIENTO DE PARTOGRAMA (NO APLICA EN EXPULSIVO)],"NO APLICA",Tabla1[NIVEL DE COMPLEJIDAD DE LA ATENCION DE LA INSTITUCION DONDE SE ATENDIO EL PARTO],"MEDIANA"),COUNTIFS(#REF!,$B$4,#REF!,E6,Tabla1[SALE DEL PROGRAMA POR],"CESAREA",Tabla1[DILIGENCIAMIENTO DE PARTOGRAMA (NO APLICA EN EXPULSIVO)],"NO APLICA",Tabla1[NIVEL DE COMPLEJIDAD DE LA ATENCION DE LA INSTITUCION DONDE SE ATENDIO EL PARTO],"ALTA")))</f>
        <v>#REF!</v>
      </c>
      <c r="F113" s="184" t="e">
        <f>SUM(SUM(COUNTIFS(#REF!,$B$4,#REF!,F6,Tabla1[SALE DEL PROGRAMA POR],"PARTO",Tabla1[NIVEL DE COMPLEJIDAD DE LA ATENCION DE LA INSTITUCION DONDE SE ATENDIO EL PARTO],"MEDIANA"),COUNTIFS(#REF!,$B$4,#REF!,F6,Tabla1[SALE DEL PROGRAMA POR],"PARTO",Tabla1[NIVEL DE COMPLEJIDAD DE LA ATENCION DE LA INSTITUCION DONDE SE ATENDIO EL PARTO],"ALTA"),COUNTIFS(#REF!,$B$4,#REF!,F6,Tabla1[SALE DEL PROGRAMA POR],"CESAREA",Tabla1[NIVEL DE COMPLEJIDAD DE LA ATENCION DE LA INSTITUCION DONDE SE ATENDIO EL PARTO],"MEDIANA"),COUNTIFS(#REF!,$B$4,#REF!,F6,Tabla1[SALE DEL PROGRAMA POR],"CESAREA",Tabla1[NIVEL DE COMPLEJIDAD DE LA ATENCION DE LA INSTITUCION DONDE SE ATENDIO EL PARTO],"ALTA"))-SUM(COUNTIFS(#REF!,$B$4,#REF!,F6,Tabla1[SALE DEL PROGRAMA POR],"PARTO",Tabla1[DILIGENCIAMIENTO DE PARTOGRAMA (NO APLICA EN EXPULSIVO)],"NO APLICA",Tabla1[NIVEL DE COMPLEJIDAD DE LA ATENCION DE LA INSTITUCION DONDE SE ATENDIO EL PARTO],"MEDIANA"),COUNTIFS(#REF!,$B$4,#REF!,F6,Tabla1[SALE DEL PROGRAMA POR],"PARTO",Tabla1[DILIGENCIAMIENTO DE PARTOGRAMA (NO APLICA EN EXPULSIVO)],"NO APLICA",Tabla1[NIVEL DE COMPLEJIDAD DE LA ATENCION DE LA INSTITUCION DONDE SE ATENDIO EL PARTO],"ALTA"),COUNTIFS(#REF!,$B$4,#REF!,F6,Tabla1[SALE DEL PROGRAMA POR],"CESAREA",Tabla1[DILIGENCIAMIENTO DE PARTOGRAMA (NO APLICA EN EXPULSIVO)],"NO APLICA",Tabla1[NIVEL DE COMPLEJIDAD DE LA ATENCION DE LA INSTITUCION DONDE SE ATENDIO EL PARTO],"MEDIANA"),COUNTIFS(#REF!,$B$4,#REF!,F6,Tabla1[SALE DEL PROGRAMA POR],"CESAREA",Tabla1[DILIGENCIAMIENTO DE PARTOGRAMA (NO APLICA EN EXPULSIVO)],"NO APLICA",Tabla1[NIVEL DE COMPLEJIDAD DE LA ATENCION DE LA INSTITUCION DONDE SE ATENDIO EL PARTO],"ALTA")))</f>
        <v>#REF!</v>
      </c>
      <c r="G113" s="184" t="e">
        <f>SUM(SUM(COUNTIFS(#REF!,$B$4,#REF!,G6,Tabla1[SALE DEL PROGRAMA POR],"PARTO",Tabla1[NIVEL DE COMPLEJIDAD DE LA ATENCION DE LA INSTITUCION DONDE SE ATENDIO EL PARTO],"MEDIANA"),COUNTIFS(#REF!,$B$4,#REF!,G6,Tabla1[SALE DEL PROGRAMA POR],"PARTO",Tabla1[NIVEL DE COMPLEJIDAD DE LA ATENCION DE LA INSTITUCION DONDE SE ATENDIO EL PARTO],"ALTA"),COUNTIFS(#REF!,$B$4,#REF!,G6,Tabla1[SALE DEL PROGRAMA POR],"CESAREA",Tabla1[NIVEL DE COMPLEJIDAD DE LA ATENCION DE LA INSTITUCION DONDE SE ATENDIO EL PARTO],"MEDIANA"),COUNTIFS(#REF!,$B$4,#REF!,G6,Tabla1[SALE DEL PROGRAMA POR],"CESAREA",Tabla1[NIVEL DE COMPLEJIDAD DE LA ATENCION DE LA INSTITUCION DONDE SE ATENDIO EL PARTO],"ALTA"))-SUM(COUNTIFS(#REF!,$B$4,#REF!,G6,Tabla1[SALE DEL PROGRAMA POR],"PARTO",Tabla1[DILIGENCIAMIENTO DE PARTOGRAMA (NO APLICA EN EXPULSIVO)],"NO APLICA",Tabla1[NIVEL DE COMPLEJIDAD DE LA ATENCION DE LA INSTITUCION DONDE SE ATENDIO EL PARTO],"MEDIANA"),COUNTIFS(#REF!,$B$4,#REF!,G6,Tabla1[SALE DEL PROGRAMA POR],"PARTO",Tabla1[DILIGENCIAMIENTO DE PARTOGRAMA (NO APLICA EN EXPULSIVO)],"NO APLICA",Tabla1[NIVEL DE COMPLEJIDAD DE LA ATENCION DE LA INSTITUCION DONDE SE ATENDIO EL PARTO],"ALTA"),COUNTIFS(#REF!,$B$4,#REF!,G6,Tabla1[SALE DEL PROGRAMA POR],"CESAREA",Tabla1[DILIGENCIAMIENTO DE PARTOGRAMA (NO APLICA EN EXPULSIVO)],"NO APLICA",Tabla1[NIVEL DE COMPLEJIDAD DE LA ATENCION DE LA INSTITUCION DONDE SE ATENDIO EL PARTO],"MEDIANA"),COUNTIFS(#REF!,$B$4,#REF!,G6,Tabla1[SALE DEL PROGRAMA POR],"CESAREA",Tabla1[DILIGENCIAMIENTO DE PARTOGRAMA (NO APLICA EN EXPULSIVO)],"NO APLICA",Tabla1[NIVEL DE COMPLEJIDAD DE LA ATENCION DE LA INSTITUCION DONDE SE ATENDIO EL PARTO],"ALTA")))</f>
        <v>#REF!</v>
      </c>
      <c r="H113" s="184" t="e">
        <f>SUM(SUM(COUNTIFS(#REF!,$B$4,#REF!,H6,Tabla1[SALE DEL PROGRAMA POR],"PARTO",Tabla1[NIVEL DE COMPLEJIDAD DE LA ATENCION DE LA INSTITUCION DONDE SE ATENDIO EL PARTO],"MEDIANA"),COUNTIFS(#REF!,$B$4,#REF!,H6,Tabla1[SALE DEL PROGRAMA POR],"PARTO",Tabla1[NIVEL DE COMPLEJIDAD DE LA ATENCION DE LA INSTITUCION DONDE SE ATENDIO EL PARTO],"ALTA"),COUNTIFS(#REF!,$B$4,#REF!,H6,Tabla1[SALE DEL PROGRAMA POR],"CESAREA",Tabla1[NIVEL DE COMPLEJIDAD DE LA ATENCION DE LA INSTITUCION DONDE SE ATENDIO EL PARTO],"MEDIANA"),COUNTIFS(#REF!,$B$4,#REF!,H6,Tabla1[SALE DEL PROGRAMA POR],"CESAREA",Tabla1[NIVEL DE COMPLEJIDAD DE LA ATENCION DE LA INSTITUCION DONDE SE ATENDIO EL PARTO],"ALTA"))-SUM(COUNTIFS(#REF!,$B$4,#REF!,H6,Tabla1[SALE DEL PROGRAMA POR],"PARTO",Tabla1[DILIGENCIAMIENTO DE PARTOGRAMA (NO APLICA EN EXPULSIVO)],"NO APLICA",Tabla1[NIVEL DE COMPLEJIDAD DE LA ATENCION DE LA INSTITUCION DONDE SE ATENDIO EL PARTO],"MEDIANA"),COUNTIFS(#REF!,$B$4,#REF!,H6,Tabla1[SALE DEL PROGRAMA POR],"PARTO",Tabla1[DILIGENCIAMIENTO DE PARTOGRAMA (NO APLICA EN EXPULSIVO)],"NO APLICA",Tabla1[NIVEL DE COMPLEJIDAD DE LA ATENCION DE LA INSTITUCION DONDE SE ATENDIO EL PARTO],"ALTA"),COUNTIFS(#REF!,$B$4,#REF!,H6,Tabla1[SALE DEL PROGRAMA POR],"CESAREA",Tabla1[DILIGENCIAMIENTO DE PARTOGRAMA (NO APLICA EN EXPULSIVO)],"NO APLICA",Tabla1[NIVEL DE COMPLEJIDAD DE LA ATENCION DE LA INSTITUCION DONDE SE ATENDIO EL PARTO],"MEDIANA"),COUNTIFS(#REF!,$B$4,#REF!,H6,Tabla1[SALE DEL PROGRAMA POR],"CESAREA",Tabla1[DILIGENCIAMIENTO DE PARTOGRAMA (NO APLICA EN EXPULSIVO)],"NO APLICA",Tabla1[NIVEL DE COMPLEJIDAD DE LA ATENCION DE LA INSTITUCION DONDE SE ATENDIO EL PARTO],"ALTA")))</f>
        <v>#REF!</v>
      </c>
      <c r="I113" s="184" t="e">
        <f>SUM(SUM(COUNTIFS(#REF!,$B$4,#REF!,I6,Tabla1[SALE DEL PROGRAMA POR],"PARTO",Tabla1[NIVEL DE COMPLEJIDAD DE LA ATENCION DE LA INSTITUCION DONDE SE ATENDIO EL PARTO],"MEDIANA"),COUNTIFS(#REF!,$B$4,#REF!,I6,Tabla1[SALE DEL PROGRAMA POR],"PARTO",Tabla1[NIVEL DE COMPLEJIDAD DE LA ATENCION DE LA INSTITUCION DONDE SE ATENDIO EL PARTO],"ALTA"),COUNTIFS(#REF!,$B$4,#REF!,I6,Tabla1[SALE DEL PROGRAMA POR],"CESAREA",Tabla1[NIVEL DE COMPLEJIDAD DE LA ATENCION DE LA INSTITUCION DONDE SE ATENDIO EL PARTO],"MEDIANA"),COUNTIFS(#REF!,$B$4,#REF!,I6,Tabla1[SALE DEL PROGRAMA POR],"CESAREA",Tabla1[NIVEL DE COMPLEJIDAD DE LA ATENCION DE LA INSTITUCION DONDE SE ATENDIO EL PARTO],"ALTA"))-SUM(COUNTIFS(#REF!,$B$4,#REF!,I6,Tabla1[SALE DEL PROGRAMA POR],"PARTO",Tabla1[DILIGENCIAMIENTO DE PARTOGRAMA (NO APLICA EN EXPULSIVO)],"NO APLICA",Tabla1[NIVEL DE COMPLEJIDAD DE LA ATENCION DE LA INSTITUCION DONDE SE ATENDIO EL PARTO],"MEDIANA"),COUNTIFS(#REF!,$B$4,#REF!,I6,Tabla1[SALE DEL PROGRAMA POR],"PARTO",Tabla1[DILIGENCIAMIENTO DE PARTOGRAMA (NO APLICA EN EXPULSIVO)],"NO APLICA",Tabla1[NIVEL DE COMPLEJIDAD DE LA ATENCION DE LA INSTITUCION DONDE SE ATENDIO EL PARTO],"ALTA"),COUNTIFS(#REF!,$B$4,#REF!,I6,Tabla1[SALE DEL PROGRAMA POR],"CESAREA",Tabla1[DILIGENCIAMIENTO DE PARTOGRAMA (NO APLICA EN EXPULSIVO)],"NO APLICA",Tabla1[NIVEL DE COMPLEJIDAD DE LA ATENCION DE LA INSTITUCION DONDE SE ATENDIO EL PARTO],"MEDIANA"),COUNTIFS(#REF!,$B$4,#REF!,I6,Tabla1[SALE DEL PROGRAMA POR],"CESAREA",Tabla1[DILIGENCIAMIENTO DE PARTOGRAMA (NO APLICA EN EXPULSIVO)],"NO APLICA",Tabla1[NIVEL DE COMPLEJIDAD DE LA ATENCION DE LA INSTITUCION DONDE SE ATENDIO EL PARTO],"ALTA")))</f>
        <v>#REF!</v>
      </c>
      <c r="J113" s="184" t="e">
        <f>SUM(SUM(COUNTIFS(#REF!,$B$4,#REF!,J6,Tabla1[SALE DEL PROGRAMA POR],"PARTO",Tabla1[NIVEL DE COMPLEJIDAD DE LA ATENCION DE LA INSTITUCION DONDE SE ATENDIO EL PARTO],"MEDIANA"),COUNTIFS(#REF!,$B$4,#REF!,J6,Tabla1[SALE DEL PROGRAMA POR],"PARTO",Tabla1[NIVEL DE COMPLEJIDAD DE LA ATENCION DE LA INSTITUCION DONDE SE ATENDIO EL PARTO],"ALTA"),COUNTIFS(#REF!,$B$4,#REF!,J6,Tabla1[SALE DEL PROGRAMA POR],"CESAREA",Tabla1[NIVEL DE COMPLEJIDAD DE LA ATENCION DE LA INSTITUCION DONDE SE ATENDIO EL PARTO],"MEDIANA"),COUNTIFS(#REF!,$B$4,#REF!,J6,Tabla1[SALE DEL PROGRAMA POR],"CESAREA",Tabla1[NIVEL DE COMPLEJIDAD DE LA ATENCION DE LA INSTITUCION DONDE SE ATENDIO EL PARTO],"ALTA"))-SUM(COUNTIFS(#REF!,$B$4,#REF!,J6,Tabla1[SALE DEL PROGRAMA POR],"PARTO",Tabla1[DILIGENCIAMIENTO DE PARTOGRAMA (NO APLICA EN EXPULSIVO)],"NO APLICA",Tabla1[NIVEL DE COMPLEJIDAD DE LA ATENCION DE LA INSTITUCION DONDE SE ATENDIO EL PARTO],"MEDIANA"),COUNTIFS(#REF!,$B$4,#REF!,J6,Tabla1[SALE DEL PROGRAMA POR],"PARTO",Tabla1[DILIGENCIAMIENTO DE PARTOGRAMA (NO APLICA EN EXPULSIVO)],"NO APLICA",Tabla1[NIVEL DE COMPLEJIDAD DE LA ATENCION DE LA INSTITUCION DONDE SE ATENDIO EL PARTO],"ALTA"),COUNTIFS(#REF!,$B$4,#REF!,J6,Tabla1[SALE DEL PROGRAMA POR],"CESAREA",Tabla1[DILIGENCIAMIENTO DE PARTOGRAMA (NO APLICA EN EXPULSIVO)],"NO APLICA",Tabla1[NIVEL DE COMPLEJIDAD DE LA ATENCION DE LA INSTITUCION DONDE SE ATENDIO EL PARTO],"MEDIANA"),COUNTIFS(#REF!,$B$4,#REF!,J6,Tabla1[SALE DEL PROGRAMA POR],"CESAREA",Tabla1[DILIGENCIAMIENTO DE PARTOGRAMA (NO APLICA EN EXPULSIVO)],"NO APLICA",Tabla1[NIVEL DE COMPLEJIDAD DE LA ATENCION DE LA INSTITUCION DONDE SE ATENDIO EL PARTO],"ALTA")))</f>
        <v>#REF!</v>
      </c>
      <c r="K113" s="184" t="e">
        <f>SUM(SUM(COUNTIFS(#REF!,$B$4,#REF!,K6,Tabla1[SALE DEL PROGRAMA POR],"PARTO",Tabla1[NIVEL DE COMPLEJIDAD DE LA ATENCION DE LA INSTITUCION DONDE SE ATENDIO EL PARTO],"MEDIANA"),COUNTIFS(#REF!,$B$4,#REF!,K6,Tabla1[SALE DEL PROGRAMA POR],"PARTO",Tabla1[NIVEL DE COMPLEJIDAD DE LA ATENCION DE LA INSTITUCION DONDE SE ATENDIO EL PARTO],"ALTA"),COUNTIFS(#REF!,$B$4,#REF!,K6,Tabla1[SALE DEL PROGRAMA POR],"CESAREA",Tabla1[NIVEL DE COMPLEJIDAD DE LA ATENCION DE LA INSTITUCION DONDE SE ATENDIO EL PARTO],"MEDIANA"),COUNTIFS(#REF!,$B$4,#REF!,K6,Tabla1[SALE DEL PROGRAMA POR],"CESAREA",Tabla1[NIVEL DE COMPLEJIDAD DE LA ATENCION DE LA INSTITUCION DONDE SE ATENDIO EL PARTO],"ALTA"))-SUM(COUNTIFS(#REF!,$B$4,#REF!,K6,Tabla1[SALE DEL PROGRAMA POR],"PARTO",Tabla1[DILIGENCIAMIENTO DE PARTOGRAMA (NO APLICA EN EXPULSIVO)],"NO APLICA",Tabla1[NIVEL DE COMPLEJIDAD DE LA ATENCION DE LA INSTITUCION DONDE SE ATENDIO EL PARTO],"MEDIANA"),COUNTIFS(#REF!,$B$4,#REF!,K6,Tabla1[SALE DEL PROGRAMA POR],"PARTO",Tabla1[DILIGENCIAMIENTO DE PARTOGRAMA (NO APLICA EN EXPULSIVO)],"NO APLICA",Tabla1[NIVEL DE COMPLEJIDAD DE LA ATENCION DE LA INSTITUCION DONDE SE ATENDIO EL PARTO],"ALTA"),COUNTIFS(#REF!,$B$4,#REF!,K6,Tabla1[SALE DEL PROGRAMA POR],"CESAREA",Tabla1[DILIGENCIAMIENTO DE PARTOGRAMA (NO APLICA EN EXPULSIVO)],"NO APLICA",Tabla1[NIVEL DE COMPLEJIDAD DE LA ATENCION DE LA INSTITUCION DONDE SE ATENDIO EL PARTO],"MEDIANA"),COUNTIFS(#REF!,$B$4,#REF!,K6,Tabla1[SALE DEL PROGRAMA POR],"CESAREA",Tabla1[DILIGENCIAMIENTO DE PARTOGRAMA (NO APLICA EN EXPULSIVO)],"NO APLICA",Tabla1[NIVEL DE COMPLEJIDAD DE LA ATENCION DE LA INSTITUCION DONDE SE ATENDIO EL PARTO],"ALTA")))</f>
        <v>#REF!</v>
      </c>
      <c r="L113" s="184" t="e">
        <f>SUM(SUM(COUNTIFS(#REF!,$B$4,#REF!,L6,Tabla1[SALE DEL PROGRAMA POR],"PARTO",Tabla1[NIVEL DE COMPLEJIDAD DE LA ATENCION DE LA INSTITUCION DONDE SE ATENDIO EL PARTO],"MEDIANA"),COUNTIFS(#REF!,$B$4,#REF!,L6,Tabla1[SALE DEL PROGRAMA POR],"PARTO",Tabla1[NIVEL DE COMPLEJIDAD DE LA ATENCION DE LA INSTITUCION DONDE SE ATENDIO EL PARTO],"ALTA"),COUNTIFS(#REF!,$B$4,#REF!,L6,Tabla1[SALE DEL PROGRAMA POR],"CESAREA",Tabla1[NIVEL DE COMPLEJIDAD DE LA ATENCION DE LA INSTITUCION DONDE SE ATENDIO EL PARTO],"MEDIANA"),COUNTIFS(#REF!,$B$4,#REF!,L6,Tabla1[SALE DEL PROGRAMA POR],"CESAREA",Tabla1[NIVEL DE COMPLEJIDAD DE LA ATENCION DE LA INSTITUCION DONDE SE ATENDIO EL PARTO],"ALTA"))-SUM(COUNTIFS(#REF!,$B$4,#REF!,L6,Tabla1[SALE DEL PROGRAMA POR],"PARTO",Tabla1[DILIGENCIAMIENTO DE PARTOGRAMA (NO APLICA EN EXPULSIVO)],"NO APLICA",Tabla1[NIVEL DE COMPLEJIDAD DE LA ATENCION DE LA INSTITUCION DONDE SE ATENDIO EL PARTO],"MEDIANA"),COUNTIFS(#REF!,$B$4,#REF!,L6,Tabla1[SALE DEL PROGRAMA POR],"PARTO",Tabla1[DILIGENCIAMIENTO DE PARTOGRAMA (NO APLICA EN EXPULSIVO)],"NO APLICA",Tabla1[NIVEL DE COMPLEJIDAD DE LA ATENCION DE LA INSTITUCION DONDE SE ATENDIO EL PARTO],"ALTA"),COUNTIFS(#REF!,$B$4,#REF!,L6,Tabla1[SALE DEL PROGRAMA POR],"CESAREA",Tabla1[DILIGENCIAMIENTO DE PARTOGRAMA (NO APLICA EN EXPULSIVO)],"NO APLICA",Tabla1[NIVEL DE COMPLEJIDAD DE LA ATENCION DE LA INSTITUCION DONDE SE ATENDIO EL PARTO],"MEDIANA"),COUNTIFS(#REF!,$B$4,#REF!,L6,Tabla1[SALE DEL PROGRAMA POR],"CESAREA",Tabla1[DILIGENCIAMIENTO DE PARTOGRAMA (NO APLICA EN EXPULSIVO)],"NO APLICA",Tabla1[NIVEL DE COMPLEJIDAD DE LA ATENCION DE LA INSTITUCION DONDE SE ATENDIO EL PARTO],"ALTA")))</f>
        <v>#REF!</v>
      </c>
      <c r="M113" s="184" t="e">
        <f>SUM(SUM(COUNTIFS(#REF!,$B$4,#REF!,M6,Tabla1[SALE DEL PROGRAMA POR],"PARTO",Tabla1[NIVEL DE COMPLEJIDAD DE LA ATENCION DE LA INSTITUCION DONDE SE ATENDIO EL PARTO],"MEDIANA"),COUNTIFS(#REF!,$B$4,#REF!,M6,Tabla1[SALE DEL PROGRAMA POR],"PARTO",Tabla1[NIVEL DE COMPLEJIDAD DE LA ATENCION DE LA INSTITUCION DONDE SE ATENDIO EL PARTO],"ALTA"),COUNTIFS(#REF!,$B$4,#REF!,M6,Tabla1[SALE DEL PROGRAMA POR],"CESAREA",Tabla1[NIVEL DE COMPLEJIDAD DE LA ATENCION DE LA INSTITUCION DONDE SE ATENDIO EL PARTO],"MEDIANA"),COUNTIFS(#REF!,$B$4,#REF!,M6,Tabla1[SALE DEL PROGRAMA POR],"CESAREA",Tabla1[NIVEL DE COMPLEJIDAD DE LA ATENCION DE LA INSTITUCION DONDE SE ATENDIO EL PARTO],"ALTA"))-SUM(COUNTIFS(#REF!,$B$4,#REF!,M6,Tabla1[SALE DEL PROGRAMA POR],"PARTO",Tabla1[DILIGENCIAMIENTO DE PARTOGRAMA (NO APLICA EN EXPULSIVO)],"NO APLICA",Tabla1[NIVEL DE COMPLEJIDAD DE LA ATENCION DE LA INSTITUCION DONDE SE ATENDIO EL PARTO],"MEDIANA"),COUNTIFS(#REF!,$B$4,#REF!,M6,Tabla1[SALE DEL PROGRAMA POR],"PARTO",Tabla1[DILIGENCIAMIENTO DE PARTOGRAMA (NO APLICA EN EXPULSIVO)],"NO APLICA",Tabla1[NIVEL DE COMPLEJIDAD DE LA ATENCION DE LA INSTITUCION DONDE SE ATENDIO EL PARTO],"ALTA"),COUNTIFS(#REF!,$B$4,#REF!,M6,Tabla1[SALE DEL PROGRAMA POR],"CESAREA",Tabla1[DILIGENCIAMIENTO DE PARTOGRAMA (NO APLICA EN EXPULSIVO)],"NO APLICA",Tabla1[NIVEL DE COMPLEJIDAD DE LA ATENCION DE LA INSTITUCION DONDE SE ATENDIO EL PARTO],"MEDIANA"),COUNTIFS(#REF!,$B$4,#REF!,M6,Tabla1[SALE DEL PROGRAMA POR],"CESAREA",Tabla1[DILIGENCIAMIENTO DE PARTOGRAMA (NO APLICA EN EXPULSIVO)],"NO APLICA",Tabla1[NIVEL DE COMPLEJIDAD DE LA ATENCION DE LA INSTITUCION DONDE SE ATENDIO EL PARTO],"ALTA")))</f>
        <v>#REF!</v>
      </c>
      <c r="N113" s="116" t="e">
        <f>SUM(B113:M113)</f>
        <v>#REF!</v>
      </c>
    </row>
    <row r="114" spans="1:14" ht="39" customHeight="1" thickBot="1" x14ac:dyDescent="0.3">
      <c r="A114" s="188" t="s">
        <v>750</v>
      </c>
      <c r="B114" s="117" t="e">
        <f t="shared" ref="B114:N114" si="37">IF(B$113=0,"",SUM(B112/B$113))</f>
        <v>#REF!</v>
      </c>
      <c r="C114" s="118" t="e">
        <f t="shared" si="37"/>
        <v>#REF!</v>
      </c>
      <c r="D114" s="118" t="e">
        <f t="shared" si="37"/>
        <v>#REF!</v>
      </c>
      <c r="E114" s="118" t="e">
        <f t="shared" si="37"/>
        <v>#REF!</v>
      </c>
      <c r="F114" s="118" t="e">
        <f t="shared" si="37"/>
        <v>#REF!</v>
      </c>
      <c r="G114" s="118" t="e">
        <f t="shared" si="37"/>
        <v>#REF!</v>
      </c>
      <c r="H114" s="118" t="e">
        <f t="shared" si="37"/>
        <v>#REF!</v>
      </c>
      <c r="I114" s="118" t="e">
        <f t="shared" si="37"/>
        <v>#REF!</v>
      </c>
      <c r="J114" s="118" t="e">
        <f t="shared" si="37"/>
        <v>#REF!</v>
      </c>
      <c r="K114" s="118" t="e">
        <f t="shared" si="37"/>
        <v>#REF!</v>
      </c>
      <c r="L114" s="118" t="e">
        <f t="shared" si="37"/>
        <v>#REF!</v>
      </c>
      <c r="M114" s="118" t="e">
        <f t="shared" si="37"/>
        <v>#REF!</v>
      </c>
      <c r="N114" s="189" t="e">
        <f t="shared" si="37"/>
        <v>#REF!</v>
      </c>
    </row>
    <row r="115" spans="1:14" ht="42.75" customHeight="1" thickBot="1" x14ac:dyDescent="0.3">
      <c r="A115" s="172" t="s">
        <v>710</v>
      </c>
      <c r="B115" s="186" t="e">
        <f>COUNTIFS(#REF!,$B$4,#REF!,B6,Tabla1[SALE DEL PROGRAMA POR],"PARTO",Tabla1[NIVEL DE COMPLEJIDAD DE LA ATENCION DE LA INSTITUCION DONDE SE ATENDIO EL PARTO],"BAJA",Tabla1[MANEJO ACTIVO DEL TERCER PERIODO DEL PARTO (USO OXITOCINA,MASAJE UTERINO Y TRACCIÓN SOSTENIDA DE CORDÓN)2],"SI")</f>
        <v>#REF!</v>
      </c>
      <c r="C115" s="173" t="e">
        <f>COUNTIFS(#REF!,$B$4,#REF!,C6,Tabla1[SALE DEL PROGRAMA POR],"PARTO",Tabla1[NIVEL DE COMPLEJIDAD DE LA ATENCION DE LA INSTITUCION DONDE SE ATENDIO EL PARTO],"BAJA",Tabla1[MANEJO ACTIVO DEL TERCER PERIODO DEL PARTO (USO OXITOCINA,MASAJE UTERINO Y TRACCIÓN SOSTENIDA DE CORDÓN)2],"SI")</f>
        <v>#REF!</v>
      </c>
      <c r="D115" s="173" t="e">
        <f>COUNTIFS(#REF!,$B$4,#REF!,D6,Tabla1[SALE DEL PROGRAMA POR],"PARTO",Tabla1[NIVEL DE COMPLEJIDAD DE LA ATENCION DE LA INSTITUCION DONDE SE ATENDIO EL PARTO],"BAJA",Tabla1[MANEJO ACTIVO DEL TERCER PERIODO DEL PARTO (USO OXITOCINA,MASAJE UTERINO Y TRACCIÓN SOSTENIDA DE CORDÓN)2],"SI")</f>
        <v>#REF!</v>
      </c>
      <c r="E115" s="173" t="e">
        <f>COUNTIFS(#REF!,$B$4,#REF!,E6,Tabla1[SALE DEL PROGRAMA POR],"PARTO",Tabla1[NIVEL DE COMPLEJIDAD DE LA ATENCION DE LA INSTITUCION DONDE SE ATENDIO EL PARTO],"BAJA",Tabla1[MANEJO ACTIVO DEL TERCER PERIODO DEL PARTO (USO OXITOCINA,MASAJE UTERINO Y TRACCIÓN SOSTENIDA DE CORDÓN)2],"SI")</f>
        <v>#REF!</v>
      </c>
      <c r="F115" s="173" t="e">
        <f>COUNTIFS(#REF!,$B$4,#REF!,F6,Tabla1[SALE DEL PROGRAMA POR],"PARTO",Tabla1[NIVEL DE COMPLEJIDAD DE LA ATENCION DE LA INSTITUCION DONDE SE ATENDIO EL PARTO],"BAJA",Tabla1[MANEJO ACTIVO DEL TERCER PERIODO DEL PARTO (USO OXITOCINA,MASAJE UTERINO Y TRACCIÓN SOSTENIDA DE CORDÓN)2],"SI")</f>
        <v>#REF!</v>
      </c>
      <c r="G115" s="173" t="e">
        <f>COUNTIFS(#REF!,$B$4,#REF!,G6,Tabla1[SALE DEL PROGRAMA POR],"PARTO",Tabla1[NIVEL DE COMPLEJIDAD DE LA ATENCION DE LA INSTITUCION DONDE SE ATENDIO EL PARTO],"BAJA",Tabla1[MANEJO ACTIVO DEL TERCER PERIODO DEL PARTO (USO OXITOCINA,MASAJE UTERINO Y TRACCIÓN SOSTENIDA DE CORDÓN)2],"SI")</f>
        <v>#REF!</v>
      </c>
      <c r="H115" s="173" t="e">
        <f>COUNTIFS(#REF!,$B$4,#REF!,H6,Tabla1[SALE DEL PROGRAMA POR],"PARTO",Tabla1[NIVEL DE COMPLEJIDAD DE LA ATENCION DE LA INSTITUCION DONDE SE ATENDIO EL PARTO],"BAJA",Tabla1[MANEJO ACTIVO DEL TERCER PERIODO DEL PARTO (USO OXITOCINA,MASAJE UTERINO Y TRACCIÓN SOSTENIDA DE CORDÓN)2],"SI")</f>
        <v>#REF!</v>
      </c>
      <c r="I115" s="173" t="e">
        <f>COUNTIFS(#REF!,$B$4,#REF!,I6,Tabla1[SALE DEL PROGRAMA POR],"PARTO",Tabla1[NIVEL DE COMPLEJIDAD DE LA ATENCION DE LA INSTITUCION DONDE SE ATENDIO EL PARTO],"BAJA",Tabla1[MANEJO ACTIVO DEL TERCER PERIODO DEL PARTO (USO OXITOCINA,MASAJE UTERINO Y TRACCIÓN SOSTENIDA DE CORDÓN)2],"SI")</f>
        <v>#REF!</v>
      </c>
      <c r="J115" s="173" t="e">
        <f>COUNTIFS(#REF!,$B$4,#REF!,J6,Tabla1[SALE DEL PROGRAMA POR],"PARTO",Tabla1[NIVEL DE COMPLEJIDAD DE LA ATENCION DE LA INSTITUCION DONDE SE ATENDIO EL PARTO],"BAJA",Tabla1[MANEJO ACTIVO DEL TERCER PERIODO DEL PARTO (USO OXITOCINA,MASAJE UTERINO Y TRACCIÓN SOSTENIDA DE CORDÓN)2],"SI")</f>
        <v>#REF!</v>
      </c>
      <c r="K115" s="173" t="e">
        <f>COUNTIFS(#REF!,$B$4,#REF!,K6,Tabla1[SALE DEL PROGRAMA POR],"PARTO",Tabla1[NIVEL DE COMPLEJIDAD DE LA ATENCION DE LA INSTITUCION DONDE SE ATENDIO EL PARTO],"BAJA",Tabla1[MANEJO ACTIVO DEL TERCER PERIODO DEL PARTO (USO OXITOCINA,MASAJE UTERINO Y TRACCIÓN SOSTENIDA DE CORDÓN)2],"SI")</f>
        <v>#REF!</v>
      </c>
      <c r="L115" s="173" t="e">
        <f>COUNTIFS(#REF!,$B$4,#REF!,L6,Tabla1[SALE DEL PROGRAMA POR],"PARTO",Tabla1[NIVEL DE COMPLEJIDAD DE LA ATENCION DE LA INSTITUCION DONDE SE ATENDIO EL PARTO],"BAJA",Tabla1[MANEJO ACTIVO DEL TERCER PERIODO DEL PARTO (USO OXITOCINA,MASAJE UTERINO Y TRACCIÓN SOSTENIDA DE CORDÓN)2],"SI")</f>
        <v>#REF!</v>
      </c>
      <c r="M115" s="173" t="e">
        <f>COUNTIFS(#REF!,$B$4,#REF!,M6,Tabla1[SALE DEL PROGRAMA POR],"PARTO",Tabla1[NIVEL DE COMPLEJIDAD DE LA ATENCION DE LA INSTITUCION DONDE SE ATENDIO EL PARTO],"BAJA",Tabla1[MANEJO ACTIVO DEL TERCER PERIODO DEL PARTO (USO OXITOCINA,MASAJE UTERINO Y TRACCIÓN SOSTENIDA DE CORDÓN)2],"SI")</f>
        <v>#REF!</v>
      </c>
      <c r="N115" s="187" t="e">
        <f>SUM(B115:M115)</f>
        <v>#REF!</v>
      </c>
    </row>
    <row r="116" spans="1:14" ht="42.75" customHeight="1" thickBot="1" x14ac:dyDescent="0.3">
      <c r="A116" s="194" t="s">
        <v>726</v>
      </c>
      <c r="B116" s="186" t="e">
        <f>IF(B$102=0,"",SUM(B115/B$102))</f>
        <v>#REF!</v>
      </c>
      <c r="C116" s="173" t="e">
        <f t="shared" ref="C116:N116" si="38">IF(C$102=0,"",SUM(C115/C$102))</f>
        <v>#REF!</v>
      </c>
      <c r="D116" s="173" t="e">
        <f t="shared" si="38"/>
        <v>#REF!</v>
      </c>
      <c r="E116" s="173" t="e">
        <f t="shared" si="38"/>
        <v>#REF!</v>
      </c>
      <c r="F116" s="173" t="e">
        <f t="shared" si="38"/>
        <v>#REF!</v>
      </c>
      <c r="G116" s="173" t="e">
        <f t="shared" si="38"/>
        <v>#REF!</v>
      </c>
      <c r="H116" s="173" t="e">
        <f t="shared" si="38"/>
        <v>#REF!</v>
      </c>
      <c r="I116" s="173" t="e">
        <f t="shared" si="38"/>
        <v>#REF!</v>
      </c>
      <c r="J116" s="173" t="e">
        <f t="shared" si="38"/>
        <v>#REF!</v>
      </c>
      <c r="K116" s="173" t="e">
        <f t="shared" si="38"/>
        <v>#REF!</v>
      </c>
      <c r="L116" s="173" t="e">
        <f t="shared" si="38"/>
        <v>#REF!</v>
      </c>
      <c r="M116" s="173" t="e">
        <f t="shared" si="38"/>
        <v>#REF!</v>
      </c>
      <c r="N116" s="187" t="e">
        <f t="shared" si="38"/>
        <v>#REF!</v>
      </c>
    </row>
    <row r="117" spans="1:14" ht="42.75" customHeight="1" thickBot="1" x14ac:dyDescent="0.3">
      <c r="A117" s="172" t="s">
        <v>711</v>
      </c>
      <c r="B117" s="186" t="e">
        <f>SUM(COUNTIFS(#REF!,$B$4,#REF!,B6,Tabla1[NIVEL DE COMPLEJIDAD DE LA ATENCION DE LA INSTITUCION DONDE SE ATENDIO EL PARTO],"MEDIANA",Tabla1[MANEJO ACTIVO DEL TERCER PERIODO DEL PARTO (USO OXITOCINA,MASAJE UTERINO Y TRACCIÓN SOSTENIDA DE CORDÓN)2],"SI" ),COUNTIFS(#REF!,$B$4,#REF!,B6,Tabla1[NIVEL DE COMPLEJIDAD DE LA ATENCION DE LA INSTITUCION DONDE SE ATENDIO EL PARTO],"ALTA",Tabla1[MANEJO ACTIVO DEL TERCER PERIODO DEL PARTO (USO OXITOCINA,MASAJE UTERINO Y TRACCIÓN SOSTENIDA DE CORDÓN)2],"SI"))</f>
        <v>#REF!</v>
      </c>
      <c r="C117" s="190" t="e">
        <f>SUM(COUNTIFS(#REF!,$B$4,#REF!,C6,Tabla1[NIVEL DE COMPLEJIDAD DE LA ATENCION DE LA INSTITUCION DONDE SE ATENDIO EL PARTO],"MEDIANA",Tabla1[MANEJO ACTIVO DEL TERCER PERIODO DEL PARTO (USO OXITOCINA,MASAJE UTERINO Y TRACCIÓN SOSTENIDA DE CORDÓN)2],"SI" ),COUNTIFS(#REF!,$B$4,#REF!,C6,Tabla1[NIVEL DE COMPLEJIDAD DE LA ATENCION DE LA INSTITUCION DONDE SE ATENDIO EL PARTO],"ALTA",Tabla1[MANEJO ACTIVO DEL TERCER PERIODO DEL PARTO (USO OXITOCINA,MASAJE UTERINO Y TRACCIÓN SOSTENIDA DE CORDÓN)2],"SI"))</f>
        <v>#REF!</v>
      </c>
      <c r="D117" s="190" t="e">
        <f>SUM(COUNTIFS(#REF!,$B$4,#REF!,D6,Tabla1[NIVEL DE COMPLEJIDAD DE LA ATENCION DE LA INSTITUCION DONDE SE ATENDIO EL PARTO],"MEDIANA",Tabla1[MANEJO ACTIVO DEL TERCER PERIODO DEL PARTO (USO OXITOCINA,MASAJE UTERINO Y TRACCIÓN SOSTENIDA DE CORDÓN)2],"SI" ),COUNTIFS(#REF!,$B$4,#REF!,D6,Tabla1[NIVEL DE COMPLEJIDAD DE LA ATENCION DE LA INSTITUCION DONDE SE ATENDIO EL PARTO],"ALTA",Tabla1[MANEJO ACTIVO DEL TERCER PERIODO DEL PARTO (USO OXITOCINA,MASAJE UTERINO Y TRACCIÓN SOSTENIDA DE CORDÓN)2],"SI"))</f>
        <v>#REF!</v>
      </c>
      <c r="E117" s="190" t="e">
        <f>SUM(COUNTIFS(#REF!,$B$4,#REF!,E6,Tabla1[NIVEL DE COMPLEJIDAD DE LA ATENCION DE LA INSTITUCION DONDE SE ATENDIO EL PARTO],"MEDIANA",Tabla1[MANEJO ACTIVO DEL TERCER PERIODO DEL PARTO (USO OXITOCINA,MASAJE UTERINO Y TRACCIÓN SOSTENIDA DE CORDÓN)2],"SI" ),COUNTIFS(#REF!,$B$4,#REF!,E6,Tabla1[NIVEL DE COMPLEJIDAD DE LA ATENCION DE LA INSTITUCION DONDE SE ATENDIO EL PARTO],"ALTA",Tabla1[MANEJO ACTIVO DEL TERCER PERIODO DEL PARTO (USO OXITOCINA,MASAJE UTERINO Y TRACCIÓN SOSTENIDA DE CORDÓN)2],"SI"))</f>
        <v>#REF!</v>
      </c>
      <c r="F117" s="190" t="e">
        <f>SUM(COUNTIFS(#REF!,$B$4,#REF!,F6,Tabla1[NIVEL DE COMPLEJIDAD DE LA ATENCION DE LA INSTITUCION DONDE SE ATENDIO EL PARTO],"MEDIANA",Tabla1[MANEJO ACTIVO DEL TERCER PERIODO DEL PARTO (USO OXITOCINA,MASAJE UTERINO Y TRACCIÓN SOSTENIDA DE CORDÓN)2],"SI" ),COUNTIFS(#REF!,$B$4,#REF!,F6,Tabla1[NIVEL DE COMPLEJIDAD DE LA ATENCION DE LA INSTITUCION DONDE SE ATENDIO EL PARTO],"ALTA",Tabla1[MANEJO ACTIVO DEL TERCER PERIODO DEL PARTO (USO OXITOCINA,MASAJE UTERINO Y TRACCIÓN SOSTENIDA DE CORDÓN)2],"SI"))</f>
        <v>#REF!</v>
      </c>
      <c r="G117" s="190" t="e">
        <f>SUM(COUNTIFS(#REF!,$B$4,#REF!,G6,Tabla1[NIVEL DE COMPLEJIDAD DE LA ATENCION DE LA INSTITUCION DONDE SE ATENDIO EL PARTO],"MEDIANA",Tabla1[MANEJO ACTIVO DEL TERCER PERIODO DEL PARTO (USO OXITOCINA,MASAJE UTERINO Y TRACCIÓN SOSTENIDA DE CORDÓN)2],"SI" ),COUNTIFS(#REF!,$B$4,#REF!,G6,Tabla1[NIVEL DE COMPLEJIDAD DE LA ATENCION DE LA INSTITUCION DONDE SE ATENDIO EL PARTO],"ALTA",Tabla1[MANEJO ACTIVO DEL TERCER PERIODO DEL PARTO (USO OXITOCINA,MASAJE UTERINO Y TRACCIÓN SOSTENIDA DE CORDÓN)2],"SI"))</f>
        <v>#REF!</v>
      </c>
      <c r="H117" s="190" t="e">
        <f>SUM(COUNTIFS(#REF!,$B$4,#REF!,H6,Tabla1[NIVEL DE COMPLEJIDAD DE LA ATENCION DE LA INSTITUCION DONDE SE ATENDIO EL PARTO],"MEDIANA",Tabla1[MANEJO ACTIVO DEL TERCER PERIODO DEL PARTO (USO OXITOCINA,MASAJE UTERINO Y TRACCIÓN SOSTENIDA DE CORDÓN)2],"SI" ),COUNTIFS(#REF!,$B$4,#REF!,H6,Tabla1[NIVEL DE COMPLEJIDAD DE LA ATENCION DE LA INSTITUCION DONDE SE ATENDIO EL PARTO],"ALTA",Tabla1[MANEJO ACTIVO DEL TERCER PERIODO DEL PARTO (USO OXITOCINA,MASAJE UTERINO Y TRACCIÓN SOSTENIDA DE CORDÓN)2],"SI"))</f>
        <v>#REF!</v>
      </c>
      <c r="I117" s="190" t="e">
        <f>SUM(COUNTIFS(#REF!,$B$4,#REF!,I6,Tabla1[NIVEL DE COMPLEJIDAD DE LA ATENCION DE LA INSTITUCION DONDE SE ATENDIO EL PARTO],"MEDIANA",Tabla1[MANEJO ACTIVO DEL TERCER PERIODO DEL PARTO (USO OXITOCINA,MASAJE UTERINO Y TRACCIÓN SOSTENIDA DE CORDÓN)2],"SI" ),COUNTIFS(#REF!,$B$4,#REF!,I6,Tabla1[NIVEL DE COMPLEJIDAD DE LA ATENCION DE LA INSTITUCION DONDE SE ATENDIO EL PARTO],"ALTA",Tabla1[MANEJO ACTIVO DEL TERCER PERIODO DEL PARTO (USO OXITOCINA,MASAJE UTERINO Y TRACCIÓN SOSTENIDA DE CORDÓN)2],"SI"))</f>
        <v>#REF!</v>
      </c>
      <c r="J117" s="190" t="e">
        <f>SUM(COUNTIFS(#REF!,$B$4,#REF!,J6,Tabla1[NIVEL DE COMPLEJIDAD DE LA ATENCION DE LA INSTITUCION DONDE SE ATENDIO EL PARTO],"MEDIANA",Tabla1[MANEJO ACTIVO DEL TERCER PERIODO DEL PARTO (USO OXITOCINA,MASAJE UTERINO Y TRACCIÓN SOSTENIDA DE CORDÓN)2],"SI" ),COUNTIFS(#REF!,$B$4,#REF!,J6,Tabla1[NIVEL DE COMPLEJIDAD DE LA ATENCION DE LA INSTITUCION DONDE SE ATENDIO EL PARTO],"ALTA",Tabla1[MANEJO ACTIVO DEL TERCER PERIODO DEL PARTO (USO OXITOCINA,MASAJE UTERINO Y TRACCIÓN SOSTENIDA DE CORDÓN)2],"SI"))</f>
        <v>#REF!</v>
      </c>
      <c r="K117" s="190" t="e">
        <f>SUM(COUNTIFS(#REF!,$B$4,#REF!,K6,Tabla1[NIVEL DE COMPLEJIDAD DE LA ATENCION DE LA INSTITUCION DONDE SE ATENDIO EL PARTO],"MEDIANA",Tabla1[MANEJO ACTIVO DEL TERCER PERIODO DEL PARTO (USO OXITOCINA,MASAJE UTERINO Y TRACCIÓN SOSTENIDA DE CORDÓN)2],"SI" ),COUNTIFS(#REF!,$B$4,#REF!,K6,Tabla1[NIVEL DE COMPLEJIDAD DE LA ATENCION DE LA INSTITUCION DONDE SE ATENDIO EL PARTO],"ALTA",Tabla1[MANEJO ACTIVO DEL TERCER PERIODO DEL PARTO (USO OXITOCINA,MASAJE UTERINO Y TRACCIÓN SOSTENIDA DE CORDÓN)2],"SI"))</f>
        <v>#REF!</v>
      </c>
      <c r="L117" s="190" t="e">
        <f>SUM(COUNTIFS(#REF!,$B$4,#REF!,L6,Tabla1[NIVEL DE COMPLEJIDAD DE LA ATENCION DE LA INSTITUCION DONDE SE ATENDIO EL PARTO],"MEDIANA",Tabla1[MANEJO ACTIVO DEL TERCER PERIODO DEL PARTO (USO OXITOCINA,MASAJE UTERINO Y TRACCIÓN SOSTENIDA DE CORDÓN)2],"SI" ),COUNTIFS(#REF!,$B$4,#REF!,L6,Tabla1[NIVEL DE COMPLEJIDAD DE LA ATENCION DE LA INSTITUCION DONDE SE ATENDIO EL PARTO],"ALTA",Tabla1[MANEJO ACTIVO DEL TERCER PERIODO DEL PARTO (USO OXITOCINA,MASAJE UTERINO Y TRACCIÓN SOSTENIDA DE CORDÓN)2],"SI"))</f>
        <v>#REF!</v>
      </c>
      <c r="M117" s="190" t="e">
        <f>SUM(COUNTIFS(#REF!,$B$4,#REF!,M6,Tabla1[NIVEL DE COMPLEJIDAD DE LA ATENCION DE LA INSTITUCION DONDE SE ATENDIO EL PARTO],"MEDIANA",Tabla1[MANEJO ACTIVO DEL TERCER PERIODO DEL PARTO (USO OXITOCINA,MASAJE UTERINO Y TRACCIÓN SOSTENIDA DE CORDÓN)2],"SI" ),COUNTIFS(#REF!,$B$4,#REF!,M6,Tabla1[NIVEL DE COMPLEJIDAD DE LA ATENCION DE LA INSTITUCION DONDE SE ATENDIO EL PARTO],"ALTA",Tabla1[MANEJO ACTIVO DEL TERCER PERIODO DEL PARTO (USO OXITOCINA,MASAJE UTERINO Y TRACCIÓN SOSTENIDA DE CORDÓN)2],"SI"))</f>
        <v>#REF!</v>
      </c>
      <c r="N117" s="187" t="e">
        <f>SUM(B117:M117)</f>
        <v>#REF!</v>
      </c>
    </row>
    <row r="118" spans="1:14" ht="42.75" customHeight="1" thickBot="1" x14ac:dyDescent="0.3">
      <c r="A118" s="188" t="s">
        <v>712</v>
      </c>
      <c r="B118" s="186" t="e">
        <f t="shared" ref="B118:N118" si="39">IF(B$107=0,"",SUM(B117/B$107))</f>
        <v>#REF!</v>
      </c>
      <c r="C118" s="173" t="e">
        <f t="shared" si="39"/>
        <v>#REF!</v>
      </c>
      <c r="D118" s="173" t="e">
        <f t="shared" si="39"/>
        <v>#REF!</v>
      </c>
      <c r="E118" s="173" t="e">
        <f t="shared" si="39"/>
        <v>#REF!</v>
      </c>
      <c r="F118" s="173" t="e">
        <f t="shared" si="39"/>
        <v>#REF!</v>
      </c>
      <c r="G118" s="173" t="e">
        <f t="shared" si="39"/>
        <v>#REF!</v>
      </c>
      <c r="H118" s="173" t="e">
        <f t="shared" si="39"/>
        <v>#REF!</v>
      </c>
      <c r="I118" s="173" t="e">
        <f t="shared" si="39"/>
        <v>#REF!</v>
      </c>
      <c r="J118" s="173" t="e">
        <f t="shared" si="39"/>
        <v>#REF!</v>
      </c>
      <c r="K118" s="173" t="e">
        <f t="shared" si="39"/>
        <v>#REF!</v>
      </c>
      <c r="L118" s="173" t="e">
        <f t="shared" si="39"/>
        <v>#REF!</v>
      </c>
      <c r="M118" s="173" t="e">
        <f t="shared" si="39"/>
        <v>#REF!</v>
      </c>
      <c r="N118" s="187" t="e">
        <f t="shared" si="39"/>
        <v>#REF!</v>
      </c>
    </row>
    <row r="119" spans="1:14" ht="42.75" customHeight="1" thickBot="1" x14ac:dyDescent="0.3">
      <c r="A119" s="172" t="s">
        <v>780</v>
      </c>
      <c r="B119" s="186" t="e">
        <f>COUNTIFS(#REF!,$B$4,#REF!,B6,Tabla1[SALE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C119" s="190" t="e">
        <f>COUNTIFS(#REF!,$B$4,#REF!,C6,Tabla1[SALE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D119" s="190" t="e">
        <f>COUNTIFS(#REF!,$B$4,#REF!,D6,Tabla1[SALE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E119" s="190" t="e">
        <f>COUNTIFS(#REF!,$B$4,#REF!,E6,Tabla1[SALE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F119" s="190" t="e">
        <f>COUNTIFS(#REF!,$B$4,#REF!,F6,Tabla1[SALE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G119" s="190" t="e">
        <f>COUNTIFS(#REF!,$B$4,#REF!,G6,Tabla1[SALE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H119" s="190" t="e">
        <f>COUNTIFS(#REF!,$B$4,#REF!,H6,Tabla1[SALE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I119" s="190" t="e">
        <f>COUNTIFS(#REF!,$B$4,#REF!,I6,Tabla1[SALE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J119" s="190" t="e">
        <f>COUNTIFS(#REF!,$B$4,#REF!,J6,Tabla1[SALE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K119" s="190" t="e">
        <f>COUNTIFS(#REF!,$B$4,#REF!,K6,Tabla1[SALE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L119" s="190" t="e">
        <f>COUNTIFS(#REF!,$B$4,#REF!,L6,Tabla1[SALE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M119" s="190" t="e">
        <f>COUNTIFS(#REF!,$B$4,#REF!,M6,Tabla1[SALE DEL PROGRAMA POR],"PARTO",Tabla1[NIVEL DE COMPLEJIDAD DE LA ATENCION DE LA INSTITUCION DONDE SE ATENDIO EL PARTO],"BAJA",Tabla1[MONITORIA CADA 15 MINUTOS DE SIGNOS VITALES DURANTES LAS PRIMERAS DOS HORAS POSTPARTO (SOPORTE EN HC - 8 VALORACIONES EN LAS PRIMERAS 2 HORAS)],"SI")</f>
        <v>#REF!</v>
      </c>
      <c r="N119" s="187" t="e">
        <f>SUM(B119:M119)</f>
        <v>#REF!</v>
      </c>
    </row>
    <row r="120" spans="1:14" ht="42.75" customHeight="1" thickBot="1" x14ac:dyDescent="0.3">
      <c r="A120" s="194" t="s">
        <v>778</v>
      </c>
      <c r="B120" s="186" t="e">
        <f t="shared" ref="B120:N120" si="40">IF(B$102=0,"",SUM(B119/B$102))</f>
        <v>#REF!</v>
      </c>
      <c r="C120" s="173" t="e">
        <f t="shared" si="40"/>
        <v>#REF!</v>
      </c>
      <c r="D120" s="173" t="e">
        <f t="shared" si="40"/>
        <v>#REF!</v>
      </c>
      <c r="E120" s="173" t="e">
        <f t="shared" si="40"/>
        <v>#REF!</v>
      </c>
      <c r="F120" s="173" t="e">
        <f t="shared" si="40"/>
        <v>#REF!</v>
      </c>
      <c r="G120" s="173" t="e">
        <f t="shared" si="40"/>
        <v>#REF!</v>
      </c>
      <c r="H120" s="173" t="e">
        <f t="shared" si="40"/>
        <v>#REF!</v>
      </c>
      <c r="I120" s="173" t="e">
        <f t="shared" si="40"/>
        <v>#REF!</v>
      </c>
      <c r="J120" s="173" t="e">
        <f t="shared" si="40"/>
        <v>#REF!</v>
      </c>
      <c r="K120" s="173" t="e">
        <f t="shared" si="40"/>
        <v>#REF!</v>
      </c>
      <c r="L120" s="173" t="e">
        <f t="shared" si="40"/>
        <v>#REF!</v>
      </c>
      <c r="M120" s="173" t="e">
        <f t="shared" si="40"/>
        <v>#REF!</v>
      </c>
      <c r="N120" s="187" t="e">
        <f t="shared" si="40"/>
        <v>#REF!</v>
      </c>
    </row>
    <row r="121" spans="1:14" ht="42.75" customHeight="1" thickBot="1" x14ac:dyDescent="0.3">
      <c r="A121" s="172" t="s">
        <v>781</v>
      </c>
      <c r="B121" s="186"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C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D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E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F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G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H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I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J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K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L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M121" s="174" t="e">
        <f>SUM(COUNTIFS(#REF!,$B$4,#REF!,B6,Tabla1[NIVEL DE COMPLEJIDAD DE LA ATENCION DE LA INSTITUCION DONDE SE ATENDIO EL PARTO],"MEDIANA",Tabla1[MONITORIA CADA 15 MINUTOS DE SIGNOS VITALES DURANTES LAS PRIMERAS DOS HORAS POSTPARTO (SOPORTE EN HC - 8 VALORACIONES EN LAS PRIMERAS 2 HORAS)],"SI" ),COUNTIFS(#REF!,$B$4,#REF!,B6,Tabla1[NIVEL DE COMPLEJIDAD DE LA ATENCION DE LA INSTITUCION DONDE SE ATENDIO EL PARTO],"ALTA",Tabla1[MONITORIA CADA 15 MINUTOS DE SIGNOS VITALES DURANTES LAS PRIMERAS DOS HORAS POSTPARTO (SOPORTE EN HC - 8 VALORACIONES EN LAS PRIMERAS 2 HORAS)],"SI"))</f>
        <v>#REF!</v>
      </c>
      <c r="N121" s="187" t="e">
        <f>SUM(B121:M121)</f>
        <v>#REF!</v>
      </c>
    </row>
    <row r="122" spans="1:14" ht="42.75" customHeight="1" thickBot="1" x14ac:dyDescent="0.3">
      <c r="A122" s="188" t="s">
        <v>779</v>
      </c>
      <c r="B122" s="186" t="e">
        <f t="shared" ref="B122:N122" si="41">IF(B$107=0,"",SUM(B121/B$107))</f>
        <v>#REF!</v>
      </c>
      <c r="C122" s="173" t="e">
        <f t="shared" si="41"/>
        <v>#REF!</v>
      </c>
      <c r="D122" s="173" t="e">
        <f t="shared" si="41"/>
        <v>#REF!</v>
      </c>
      <c r="E122" s="173" t="e">
        <f t="shared" si="41"/>
        <v>#REF!</v>
      </c>
      <c r="F122" s="173" t="e">
        <f t="shared" si="41"/>
        <v>#REF!</v>
      </c>
      <c r="G122" s="173" t="e">
        <f t="shared" si="41"/>
        <v>#REF!</v>
      </c>
      <c r="H122" s="173" t="e">
        <f t="shared" si="41"/>
        <v>#REF!</v>
      </c>
      <c r="I122" s="173" t="e">
        <f t="shared" si="41"/>
        <v>#REF!</v>
      </c>
      <c r="J122" s="173" t="e">
        <f t="shared" si="41"/>
        <v>#REF!</v>
      </c>
      <c r="K122" s="173" t="e">
        <f t="shared" si="41"/>
        <v>#REF!</v>
      </c>
      <c r="L122" s="173" t="e">
        <f t="shared" si="41"/>
        <v>#REF!</v>
      </c>
      <c r="M122" s="173" t="e">
        <f t="shared" si="41"/>
        <v>#REF!</v>
      </c>
      <c r="N122" s="187" t="e">
        <f t="shared" si="41"/>
        <v>#REF!</v>
      </c>
    </row>
    <row r="123" spans="1:14" ht="49.5" customHeight="1" thickBot="1" x14ac:dyDescent="0.3">
      <c r="A123" s="172" t="s">
        <v>695</v>
      </c>
      <c r="B123" s="174" t="e">
        <f>COUNTIFS(#REF!,B4,#REF!,B6,Tabla1[SALE DEL PROGRAMA POR],"PARTO",Tabla1[NIVEL DE COMPLEJIDAD DE LA ATENCION DE LA INSTITUCION DONDE SE ATENDIO EL PARTO],"BAJA",Tabla1[[PUERPERA SALE CON PLANIFICACIÓN FAMILIAR POST EVENTO OBSTETRICO ]],"SI")</f>
        <v>#REF!</v>
      </c>
      <c r="C123" s="174" t="e">
        <f>COUNTIFS(#REF!,B4,#REF!,C6,Tabla1[SALE DEL PROGRAMA POR],"PARTO",Tabla1[NIVEL DE COMPLEJIDAD DE LA ATENCION DE LA INSTITUCION DONDE SE ATENDIO EL PARTO],"BAJA",Tabla1[[PUERPERA SALE CON PLANIFICACIÓN FAMILIAR POST EVENTO OBSTETRICO ]],"SI")</f>
        <v>#REF!</v>
      </c>
      <c r="D123" s="174" t="e">
        <f>COUNTIFS(#REF!,B4,#REF!,D6,Tabla1[SALE DEL PROGRAMA POR],"PARTO",Tabla1[NIVEL DE COMPLEJIDAD DE LA ATENCION DE LA INSTITUCION DONDE SE ATENDIO EL PARTO],"BAJA",Tabla1[[PUERPERA SALE CON PLANIFICACIÓN FAMILIAR POST EVENTO OBSTETRICO ]],"SI")</f>
        <v>#REF!</v>
      </c>
      <c r="E123" s="174" t="e">
        <f>COUNTIFS(#REF!,B4,#REF!,E6,Tabla1[SALE DEL PROGRAMA POR],"PARTO",Tabla1[NIVEL DE COMPLEJIDAD DE LA ATENCION DE LA INSTITUCION DONDE SE ATENDIO EL PARTO],"BAJA",Tabla1[[PUERPERA SALE CON PLANIFICACIÓN FAMILIAR POST EVENTO OBSTETRICO ]],"SI")</f>
        <v>#REF!</v>
      </c>
      <c r="F123" s="174" t="e">
        <f>COUNTIFS(#REF!,B4,#REF!,F6,Tabla1[SALE DEL PROGRAMA POR],"PARTO",Tabla1[NIVEL DE COMPLEJIDAD DE LA ATENCION DE LA INSTITUCION DONDE SE ATENDIO EL PARTO],"BAJA",Tabla1[[PUERPERA SALE CON PLANIFICACIÓN FAMILIAR POST EVENTO OBSTETRICO ]],"SI")</f>
        <v>#REF!</v>
      </c>
      <c r="G123" s="174" t="e">
        <f>COUNTIFS(#REF!,B4,#REF!,G6,Tabla1[SALE DEL PROGRAMA POR],"PARTO",Tabla1[NIVEL DE COMPLEJIDAD DE LA ATENCION DE LA INSTITUCION DONDE SE ATENDIO EL PARTO],"BAJA",Tabla1[[PUERPERA SALE CON PLANIFICACIÓN FAMILIAR POST EVENTO OBSTETRICO ]],"SI")</f>
        <v>#REF!</v>
      </c>
      <c r="H123" s="174" t="e">
        <f>COUNTIFS(#REF!,B4,#REF!,H6,Tabla1[SALE DEL PROGRAMA POR],"PARTO",Tabla1[NIVEL DE COMPLEJIDAD DE LA ATENCION DE LA INSTITUCION DONDE SE ATENDIO EL PARTO],"BAJA",Tabla1[[PUERPERA SALE CON PLANIFICACIÓN FAMILIAR POST EVENTO OBSTETRICO ]],"SI")</f>
        <v>#REF!</v>
      </c>
      <c r="I123" s="174" t="e">
        <f>COUNTIFS(#REF!,B4,#REF!,I6,Tabla1[SALE DEL PROGRAMA POR],"PARTO",Tabla1[NIVEL DE COMPLEJIDAD DE LA ATENCION DE LA INSTITUCION DONDE SE ATENDIO EL PARTO],"BAJA",Tabla1[[PUERPERA SALE CON PLANIFICACIÓN FAMILIAR POST EVENTO OBSTETRICO ]],"SI")</f>
        <v>#REF!</v>
      </c>
      <c r="J123" s="174" t="e">
        <f>COUNTIFS(#REF!,B4,#REF!,J6,Tabla1[SALE DEL PROGRAMA POR],"PARTO",Tabla1[NIVEL DE COMPLEJIDAD DE LA ATENCION DE LA INSTITUCION DONDE SE ATENDIO EL PARTO],"BAJA",Tabla1[[PUERPERA SALE CON PLANIFICACIÓN FAMILIAR POST EVENTO OBSTETRICO ]],"SI")</f>
        <v>#REF!</v>
      </c>
      <c r="K123" s="174" t="e">
        <f>COUNTIFS(#REF!,B4,#REF!,K6,Tabla1[SALE DEL PROGRAMA POR],"PARTO",Tabla1[NIVEL DE COMPLEJIDAD DE LA ATENCION DE LA INSTITUCION DONDE SE ATENDIO EL PARTO],"BAJA",Tabla1[[PUERPERA SALE CON PLANIFICACIÓN FAMILIAR POST EVENTO OBSTETRICO ]],"SI")</f>
        <v>#REF!</v>
      </c>
      <c r="L123" s="174" t="e">
        <f>COUNTIFS(#REF!,B4,#REF!,L6,Tabla1[SALE DEL PROGRAMA POR],"PARTO",Tabla1[NIVEL DE COMPLEJIDAD DE LA ATENCION DE LA INSTITUCION DONDE SE ATENDIO EL PARTO],"BAJA",Tabla1[[PUERPERA SALE CON PLANIFICACIÓN FAMILIAR POST EVENTO OBSTETRICO ]],"SI")</f>
        <v>#REF!</v>
      </c>
      <c r="M123" s="174" t="e">
        <f>COUNTIFS(#REF!,B4,#REF!,M6,Tabla1[SALE DEL PROGRAMA POR],"PARTO",Tabla1[NIVEL DE COMPLEJIDAD DE LA ATENCION DE LA INSTITUCION DONDE SE ATENDIO EL PARTO],"BAJA",Tabla1[[PUERPERA SALE CON PLANIFICACIÓN FAMILIAR POST EVENTO OBSTETRICO ]],"SI")</f>
        <v>#REF!</v>
      </c>
      <c r="N123" s="175" t="e">
        <f>SUM(B123:M123)</f>
        <v>#REF!</v>
      </c>
    </row>
    <row r="124" spans="1:14" ht="42.75" customHeight="1" thickBot="1" x14ac:dyDescent="0.3">
      <c r="A124" s="194" t="s">
        <v>729</v>
      </c>
      <c r="B124" s="117" t="e">
        <f>IF(B$102=0,"",SUM(B123/B$102))</f>
        <v>#REF!</v>
      </c>
      <c r="C124" s="118" t="e">
        <f>IF(C$102=0,"",SUM(C123/C$102))</f>
        <v>#REF!</v>
      </c>
      <c r="D124" s="118" t="e">
        <f t="shared" ref="D124:L124" si="42">IF(D$102=0,"",SUM(D123/D$102))</f>
        <v>#REF!</v>
      </c>
      <c r="E124" s="118" t="e">
        <f t="shared" si="42"/>
        <v>#REF!</v>
      </c>
      <c r="F124" s="118" t="e">
        <f t="shared" si="42"/>
        <v>#REF!</v>
      </c>
      <c r="G124" s="118" t="e">
        <f t="shared" si="42"/>
        <v>#REF!</v>
      </c>
      <c r="H124" s="118" t="e">
        <f t="shared" si="42"/>
        <v>#REF!</v>
      </c>
      <c r="I124" s="118" t="e">
        <f t="shared" si="42"/>
        <v>#REF!</v>
      </c>
      <c r="J124" s="118" t="e">
        <f t="shared" si="42"/>
        <v>#REF!</v>
      </c>
      <c r="K124" s="118" t="e">
        <f t="shared" si="42"/>
        <v>#REF!</v>
      </c>
      <c r="L124" s="118" t="e">
        <f t="shared" si="42"/>
        <v>#REF!</v>
      </c>
      <c r="M124" s="118" t="e">
        <f>IF(M$102=0,"",SUM(M123/M$102))</f>
        <v>#REF!</v>
      </c>
      <c r="N124" s="119" t="e">
        <f>IF(N$102=0,"",SUM(N123/N$102))</f>
        <v>#REF!</v>
      </c>
    </row>
    <row r="125" spans="1:14" ht="42.75" customHeight="1" thickBot="1" x14ac:dyDescent="0.3">
      <c r="A125" s="167" t="s">
        <v>731</v>
      </c>
      <c r="B125" s="176" t="e">
        <f>SUM(COUNTIFS(#REF!,B4,#REF!,B6,Tabla1[NIVEL DE COMPLEJIDAD DE LA ATENCION DE LA INSTITUCION DONDE SE ATENDIO EL PARTO],"MEDIANA",Tabla1[[PUERPERA SALE CON PLANIFICACIÓN FAMILIAR POST EVENTO OBSTETRICO ]],"SI" ),COUNTIFS(#REF!,B4,#REF!,B6,Tabla1[NIVEL DE COMPLEJIDAD DE LA ATENCION DE LA INSTITUCION DONDE SE ATENDIO EL PARTO],"ALTA",Tabla1[[PUERPERA SALE CON PLANIFICACIÓN FAMILIAR POST EVENTO OBSTETRICO ]],"SI"))</f>
        <v>#REF!</v>
      </c>
      <c r="C125" s="176" t="e">
        <f>SUM(COUNTIFS(#REF!,B4,#REF!,C6,Tabla1[NIVEL DE COMPLEJIDAD DE LA ATENCION DE LA INSTITUCION DONDE SE ATENDIO EL PARTO],"MEDIANA",Tabla1[[PUERPERA SALE CON PLANIFICACIÓN FAMILIAR POST EVENTO OBSTETRICO ]],"SI" ),COUNTIFS(#REF!,B4,#REF!,C6,Tabla1[NIVEL DE COMPLEJIDAD DE LA ATENCION DE LA INSTITUCION DONDE SE ATENDIO EL PARTO],"ALTA",Tabla1[[PUERPERA SALE CON PLANIFICACIÓN FAMILIAR POST EVENTO OBSTETRICO ]],"SI"))</f>
        <v>#REF!</v>
      </c>
      <c r="D125" s="176" t="e">
        <f>SUM(COUNTIFS(#REF!,B4,#REF!,D6,Tabla1[NIVEL DE COMPLEJIDAD DE LA ATENCION DE LA INSTITUCION DONDE SE ATENDIO EL PARTO],"MEDIANA",Tabla1[[PUERPERA SALE CON PLANIFICACIÓN FAMILIAR POST EVENTO OBSTETRICO ]],"SI" ),COUNTIFS(#REF!,B4,#REF!,D6,Tabla1[NIVEL DE COMPLEJIDAD DE LA ATENCION DE LA INSTITUCION DONDE SE ATENDIO EL PARTO],"ALTA",Tabla1[[PUERPERA SALE CON PLANIFICACIÓN FAMILIAR POST EVENTO OBSTETRICO ]],"SI"))</f>
        <v>#REF!</v>
      </c>
      <c r="E125" s="176" t="e">
        <f>SUM(COUNTIFS(#REF!,B4,#REF!,E6,Tabla1[NIVEL DE COMPLEJIDAD DE LA ATENCION DE LA INSTITUCION DONDE SE ATENDIO EL PARTO],"MEDIANA",Tabla1[[PUERPERA SALE CON PLANIFICACIÓN FAMILIAR POST EVENTO OBSTETRICO ]],"SI" ),COUNTIFS(#REF!,B4,#REF!,E6,Tabla1[NIVEL DE COMPLEJIDAD DE LA ATENCION DE LA INSTITUCION DONDE SE ATENDIO EL PARTO],"ALTA",Tabla1[[PUERPERA SALE CON PLANIFICACIÓN FAMILIAR POST EVENTO OBSTETRICO ]],"SI"))</f>
        <v>#REF!</v>
      </c>
      <c r="F125" s="176" t="e">
        <f>SUM(COUNTIFS(#REF!,B4,#REF!,F6,Tabla1[NIVEL DE COMPLEJIDAD DE LA ATENCION DE LA INSTITUCION DONDE SE ATENDIO EL PARTO],"MEDIANA",Tabla1[[PUERPERA SALE CON PLANIFICACIÓN FAMILIAR POST EVENTO OBSTETRICO ]],"SI" ),COUNTIFS(#REF!,B4,#REF!,F6,Tabla1[NIVEL DE COMPLEJIDAD DE LA ATENCION DE LA INSTITUCION DONDE SE ATENDIO EL PARTO],"ALTA",Tabla1[[PUERPERA SALE CON PLANIFICACIÓN FAMILIAR POST EVENTO OBSTETRICO ]],"SI"))</f>
        <v>#REF!</v>
      </c>
      <c r="G125" s="176" t="e">
        <f>SUM(COUNTIFS(#REF!,B4,#REF!,G6,Tabla1[NIVEL DE COMPLEJIDAD DE LA ATENCION DE LA INSTITUCION DONDE SE ATENDIO EL PARTO],"MEDIANA",Tabla1[[PUERPERA SALE CON PLANIFICACIÓN FAMILIAR POST EVENTO OBSTETRICO ]],"SI" ),COUNTIFS(#REF!,B4,#REF!,G6,Tabla1[NIVEL DE COMPLEJIDAD DE LA ATENCION DE LA INSTITUCION DONDE SE ATENDIO EL PARTO],"ALTA",Tabla1[[PUERPERA SALE CON PLANIFICACIÓN FAMILIAR POST EVENTO OBSTETRICO ]],"SI"))</f>
        <v>#REF!</v>
      </c>
      <c r="H125" s="176" t="e">
        <f>SUM(COUNTIFS(#REF!,B4,#REF!,H6,Tabla1[NIVEL DE COMPLEJIDAD DE LA ATENCION DE LA INSTITUCION DONDE SE ATENDIO EL PARTO],"MEDIANA",Tabla1[[PUERPERA SALE CON PLANIFICACIÓN FAMILIAR POST EVENTO OBSTETRICO ]],"SI" ),COUNTIFS(#REF!,B4,#REF!,H6,Tabla1[NIVEL DE COMPLEJIDAD DE LA ATENCION DE LA INSTITUCION DONDE SE ATENDIO EL PARTO],"ALTA",Tabla1[[PUERPERA SALE CON PLANIFICACIÓN FAMILIAR POST EVENTO OBSTETRICO ]],"SI"))</f>
        <v>#REF!</v>
      </c>
      <c r="I125" s="176" t="e">
        <f>SUM(COUNTIFS(#REF!,B4,#REF!,I6,Tabla1[NIVEL DE COMPLEJIDAD DE LA ATENCION DE LA INSTITUCION DONDE SE ATENDIO EL PARTO],"MEDIANA",Tabla1[[PUERPERA SALE CON PLANIFICACIÓN FAMILIAR POST EVENTO OBSTETRICO ]],"SI" ),COUNTIFS(#REF!,B4,#REF!,I6,Tabla1[NIVEL DE COMPLEJIDAD DE LA ATENCION DE LA INSTITUCION DONDE SE ATENDIO EL PARTO],"ALTA",Tabla1[[PUERPERA SALE CON PLANIFICACIÓN FAMILIAR POST EVENTO OBSTETRICO ]],"SI"))</f>
        <v>#REF!</v>
      </c>
      <c r="J125" s="176" t="e">
        <f>SUM(COUNTIFS(#REF!,B4,#REF!,J6,Tabla1[NIVEL DE COMPLEJIDAD DE LA ATENCION DE LA INSTITUCION DONDE SE ATENDIO EL PARTO],"MEDIANA",Tabla1[[PUERPERA SALE CON PLANIFICACIÓN FAMILIAR POST EVENTO OBSTETRICO ]],"SI" ),COUNTIFS(#REF!,B4,#REF!,J6,Tabla1[NIVEL DE COMPLEJIDAD DE LA ATENCION DE LA INSTITUCION DONDE SE ATENDIO EL PARTO],"ALTA",Tabla1[[PUERPERA SALE CON PLANIFICACIÓN FAMILIAR POST EVENTO OBSTETRICO ]],"SI"))</f>
        <v>#REF!</v>
      </c>
      <c r="K125" s="176" t="e">
        <f>SUM(COUNTIFS(#REF!,B4,#REF!,K6,Tabla1[NIVEL DE COMPLEJIDAD DE LA ATENCION DE LA INSTITUCION DONDE SE ATENDIO EL PARTO],"MEDIANA",Tabla1[[PUERPERA SALE CON PLANIFICACIÓN FAMILIAR POST EVENTO OBSTETRICO ]],"SI" ),COUNTIFS(#REF!,B4,#REF!,K6,Tabla1[NIVEL DE COMPLEJIDAD DE LA ATENCION DE LA INSTITUCION DONDE SE ATENDIO EL PARTO],"ALTA",Tabla1[[PUERPERA SALE CON PLANIFICACIÓN FAMILIAR POST EVENTO OBSTETRICO ]],"SI"))</f>
        <v>#REF!</v>
      </c>
      <c r="L125" s="176" t="e">
        <f>SUM(COUNTIFS(#REF!,B4,#REF!,L6,Tabla1[NIVEL DE COMPLEJIDAD DE LA ATENCION DE LA INSTITUCION DONDE SE ATENDIO EL PARTO],"MEDIANA",Tabla1[[PUERPERA SALE CON PLANIFICACIÓN FAMILIAR POST EVENTO OBSTETRICO ]],"SI" ),COUNTIFS(#REF!,B4,#REF!,L6,Tabla1[NIVEL DE COMPLEJIDAD DE LA ATENCION DE LA INSTITUCION DONDE SE ATENDIO EL PARTO],"ALTA",Tabla1[[PUERPERA SALE CON PLANIFICACIÓN FAMILIAR POST EVENTO OBSTETRICO ]],"SI"))</f>
        <v>#REF!</v>
      </c>
      <c r="M125" s="176" t="e">
        <f>SUM(COUNTIFS(#REF!,B4,#REF!,M6,Tabla1[NIVEL DE COMPLEJIDAD DE LA ATENCION DE LA INSTITUCION DONDE SE ATENDIO EL PARTO],"MEDIANA",Tabla1[[PUERPERA SALE CON PLANIFICACIÓN FAMILIAR POST EVENTO OBSTETRICO ]],"SI" ),COUNTIFS(#REF!,B4,#REF!,M6,Tabla1[NIVEL DE COMPLEJIDAD DE LA ATENCION DE LA INSTITUCION DONDE SE ATENDIO EL PARTO],"ALTA",Tabla1[[PUERPERA SALE CON PLANIFICACIÓN FAMILIAR POST EVENTO OBSTETRICO ]],"SI"))</f>
        <v>#REF!</v>
      </c>
      <c r="N125" s="175" t="e">
        <f>SUM(B125:M125)</f>
        <v>#REF!</v>
      </c>
    </row>
    <row r="126" spans="1:14" ht="42.75" customHeight="1" thickBot="1" x14ac:dyDescent="0.3">
      <c r="A126" s="168" t="s">
        <v>755</v>
      </c>
      <c r="B126" s="173" t="e">
        <f>SUM(COUNTIFS(#REF!,B4,#REF!,B6,Tabla1[NIVEL DE COMPLEJIDAD DE LA ATENCION DE LA INSTITUCION DONDE SE ATENDIO EL PARTO],"MEDIANA"),COUNTIFS(#REF!,B4,#REF!,B6,Tabla1[NIVEL DE COMPLEJIDAD DE LA ATENCION DE LA INSTITUCION DONDE SE ATENDIO EL PARTO],"ALTA"))</f>
        <v>#REF!</v>
      </c>
      <c r="C126" s="173" t="e">
        <f>SUM(COUNTIFS(#REF!,B4,#REF!,C6,Tabla1[NIVEL DE COMPLEJIDAD DE LA ATENCION DE LA INSTITUCION DONDE SE ATENDIO EL PARTO],"MEDIANA"),COUNTIFS(#REF!,B4,#REF!,C6,Tabla1[NIVEL DE COMPLEJIDAD DE LA ATENCION DE LA INSTITUCION DONDE SE ATENDIO EL PARTO],"ALTA"))</f>
        <v>#REF!</v>
      </c>
      <c r="D126" s="173" t="e">
        <f>SUM(COUNTIFS(#REF!,B4,#REF!,D6,Tabla1[NIVEL DE COMPLEJIDAD DE LA ATENCION DE LA INSTITUCION DONDE SE ATENDIO EL PARTO],"MEDIANA"),COUNTIFS(#REF!,B4,#REF!,D6,Tabla1[NIVEL DE COMPLEJIDAD DE LA ATENCION DE LA INSTITUCION DONDE SE ATENDIO EL PARTO],"ALTA"))</f>
        <v>#REF!</v>
      </c>
      <c r="E126" s="173" t="e">
        <f>SUM(COUNTIFS(#REF!,B4,#REF!,E6,Tabla1[NIVEL DE COMPLEJIDAD DE LA ATENCION DE LA INSTITUCION DONDE SE ATENDIO EL PARTO],"MEDIANA"),COUNTIFS(#REF!,B4,#REF!,E6,Tabla1[NIVEL DE COMPLEJIDAD DE LA ATENCION DE LA INSTITUCION DONDE SE ATENDIO EL PARTO],"ALTA"))</f>
        <v>#REF!</v>
      </c>
      <c r="F126" s="173" t="e">
        <f>SUM(COUNTIFS(#REF!,B4,#REF!,F6,Tabla1[NIVEL DE COMPLEJIDAD DE LA ATENCION DE LA INSTITUCION DONDE SE ATENDIO EL PARTO],"MEDIANA"),COUNTIFS(#REF!,B4,#REF!,F6,Tabla1[NIVEL DE COMPLEJIDAD DE LA ATENCION DE LA INSTITUCION DONDE SE ATENDIO EL PARTO],"ALTA"))</f>
        <v>#REF!</v>
      </c>
      <c r="G126" s="173" t="e">
        <f>SUM(COUNTIFS(#REF!,B4,#REF!,G6,Tabla1[NIVEL DE COMPLEJIDAD DE LA ATENCION DE LA INSTITUCION DONDE SE ATENDIO EL PARTO],"MEDIANA"),COUNTIFS(#REF!,B4,#REF!,G6,Tabla1[NIVEL DE COMPLEJIDAD DE LA ATENCION DE LA INSTITUCION DONDE SE ATENDIO EL PARTO],"ALTA"))</f>
        <v>#REF!</v>
      </c>
      <c r="H126" s="173" t="e">
        <f>SUM(COUNTIFS(#REF!,B4,#REF!,H6,Tabla1[NIVEL DE COMPLEJIDAD DE LA ATENCION DE LA INSTITUCION DONDE SE ATENDIO EL PARTO],"MEDIANA"),COUNTIFS(#REF!,B4,#REF!,H6,Tabla1[NIVEL DE COMPLEJIDAD DE LA ATENCION DE LA INSTITUCION DONDE SE ATENDIO EL PARTO],"ALTA"))</f>
        <v>#REF!</v>
      </c>
      <c r="I126" s="173" t="e">
        <f>SUM(COUNTIFS(#REF!,B4,#REF!,I6,Tabla1[NIVEL DE COMPLEJIDAD DE LA ATENCION DE LA INSTITUCION DONDE SE ATENDIO EL PARTO],"MEDIANA"),COUNTIFS(#REF!,B4,#REF!,I6,Tabla1[NIVEL DE COMPLEJIDAD DE LA ATENCION DE LA INSTITUCION DONDE SE ATENDIO EL PARTO],"ALTA"))</f>
        <v>#REF!</v>
      </c>
      <c r="J126" s="173" t="e">
        <f>SUM(COUNTIFS(#REF!,B4,#REF!,J6,Tabla1[NIVEL DE COMPLEJIDAD DE LA ATENCION DE LA INSTITUCION DONDE SE ATENDIO EL PARTO],"MEDIANA"),COUNTIFS(#REF!,B4,#REF!,J6,Tabla1[NIVEL DE COMPLEJIDAD DE LA ATENCION DE LA INSTITUCION DONDE SE ATENDIO EL PARTO],"ALTA"))</f>
        <v>#REF!</v>
      </c>
      <c r="K126" s="173" t="e">
        <f>SUM(COUNTIFS(#REF!,B4,#REF!,K6,Tabla1[NIVEL DE COMPLEJIDAD DE LA ATENCION DE LA INSTITUCION DONDE SE ATENDIO EL PARTO],"MEDIANA"),COUNTIFS(#REF!,B4,#REF!,K6,Tabla1[NIVEL DE COMPLEJIDAD DE LA ATENCION DE LA INSTITUCION DONDE SE ATENDIO EL PARTO],"ALTA"))</f>
        <v>#REF!</v>
      </c>
      <c r="L126" s="173" t="e">
        <f>SUM(COUNTIFS(#REF!,B4,#REF!,L6,Tabla1[NIVEL DE COMPLEJIDAD DE LA ATENCION DE LA INSTITUCION DONDE SE ATENDIO EL PARTO],"MEDIANA"),COUNTIFS(#REF!,B4,#REF!,L6,Tabla1[NIVEL DE COMPLEJIDAD DE LA ATENCION DE LA INSTITUCION DONDE SE ATENDIO EL PARTO],"ALTA"))</f>
        <v>#REF!</v>
      </c>
      <c r="M126" s="173" t="e">
        <f>SUM(COUNTIFS(#REF!,B4,#REF!,M6,Tabla1[NIVEL DE COMPLEJIDAD DE LA ATENCION DE LA INSTITUCION DONDE SE ATENDIO EL PARTO],"MEDIANA"),COUNTIFS(#REF!,B4,#REF!,M6,Tabla1[NIVEL DE COMPLEJIDAD DE LA ATENCION DE LA INSTITUCION DONDE SE ATENDIO EL PARTO],"ALTA"))</f>
        <v>#REF!</v>
      </c>
      <c r="N126" s="175" t="e">
        <f>SUM(B126:M126)</f>
        <v>#REF!</v>
      </c>
    </row>
    <row r="127" spans="1:14" ht="42.75" customHeight="1" thickBot="1" x14ac:dyDescent="0.3">
      <c r="A127" s="185" t="s">
        <v>730</v>
      </c>
      <c r="B127" s="117" t="e">
        <f>IF(B$126=0,"",SUM(B125/B$126))</f>
        <v>#REF!</v>
      </c>
      <c r="C127" s="118" t="e">
        <f t="shared" ref="C127:L127" si="43">IF(C$126=0,"",SUM(C125/C$126))</f>
        <v>#REF!</v>
      </c>
      <c r="D127" s="118" t="e">
        <f t="shared" si="43"/>
        <v>#REF!</v>
      </c>
      <c r="E127" s="118" t="e">
        <f t="shared" si="43"/>
        <v>#REF!</v>
      </c>
      <c r="F127" s="118" t="e">
        <f t="shared" si="43"/>
        <v>#REF!</v>
      </c>
      <c r="G127" s="118" t="e">
        <f t="shared" si="43"/>
        <v>#REF!</v>
      </c>
      <c r="H127" s="118" t="e">
        <f t="shared" si="43"/>
        <v>#REF!</v>
      </c>
      <c r="I127" s="118" t="e">
        <f t="shared" si="43"/>
        <v>#REF!</v>
      </c>
      <c r="J127" s="118" t="e">
        <f t="shared" si="43"/>
        <v>#REF!</v>
      </c>
      <c r="K127" s="118" t="e">
        <f t="shared" si="43"/>
        <v>#REF!</v>
      </c>
      <c r="L127" s="118" t="e">
        <f t="shared" si="43"/>
        <v>#REF!</v>
      </c>
      <c r="M127" s="118" t="e">
        <f>IF(M$126=0,"",SUM(M125/M$126))</f>
        <v>#REF!</v>
      </c>
      <c r="N127" s="119" t="e">
        <f>IF(N$126=0,"",SUM(N125/N$126))</f>
        <v>#REF!</v>
      </c>
    </row>
    <row r="128" spans="1:14" x14ac:dyDescent="0.25">
      <c r="A128" s="166" t="s">
        <v>408</v>
      </c>
      <c r="B128" s="115" t="e">
        <f>SUM(COUNTIFS(#REF!,B4,#REF!,B6,Tabla1[NUMERO NACIDOS VIVOS],"&gt;0"),COUNTIFS(#REF!,B4,#REF!,B6,Tabla1[NUMERO NACIDOS VIVOS],"&gt;1"),COUNTIFS(#REF!,B4,#REF!,B6,Tabla1[NUMERO NACIDOS VIVOS],"&gt;2"))</f>
        <v>#REF!</v>
      </c>
      <c r="C128" s="115" t="e">
        <f>SUM(COUNTIFS(#REF!,B4,#REF!,C6,Tabla1[NUMERO NACIDOS VIVOS],"&gt;0"),COUNTIFS(#REF!,B4,#REF!,C6,Tabla1[NUMERO NACIDOS VIVOS],"&gt;1"),COUNTIFS(#REF!,B4,#REF!,C6,Tabla1[NUMERO NACIDOS VIVOS],"&gt;2"))</f>
        <v>#REF!</v>
      </c>
      <c r="D128" s="115" t="e">
        <f>SUM(COUNTIFS(#REF!,B4,#REF!,D6,Tabla1[NUMERO NACIDOS VIVOS],"&gt;0"),COUNTIFS(#REF!,B4,#REF!,D6,Tabla1[NUMERO NACIDOS VIVOS],"&gt;1"),COUNTIFS(#REF!,B4,#REF!,D6,Tabla1[NUMERO NACIDOS VIVOS],"&gt;2"))</f>
        <v>#REF!</v>
      </c>
      <c r="E128" s="115" t="e">
        <f>SUM(COUNTIFS(#REF!,B4,#REF!,E6,Tabla1[NUMERO NACIDOS VIVOS],"&gt;0"),COUNTIFS(#REF!,B4,#REF!,E6,Tabla1[NUMERO NACIDOS VIVOS],"&gt;1"),COUNTIFS(#REF!,B4,#REF!,E6,Tabla1[NUMERO NACIDOS VIVOS],"&gt;2"))</f>
        <v>#REF!</v>
      </c>
      <c r="F128" s="115" t="e">
        <f>SUM(COUNTIFS(#REF!,B4,#REF!,F6,Tabla1[NUMERO NACIDOS VIVOS],"&gt;0"),COUNTIFS(#REF!,B4,#REF!,F6,Tabla1[NUMERO NACIDOS VIVOS],"&gt;1"),COUNTIFS(#REF!,B4,#REF!,F6,Tabla1[NUMERO NACIDOS VIVOS],"&gt;2"))</f>
        <v>#REF!</v>
      </c>
      <c r="G128" s="115" t="e">
        <f>SUM(COUNTIFS(#REF!,B4,#REF!,G6,Tabla1[NUMERO NACIDOS VIVOS],"&gt;0"),COUNTIFS(#REF!,B4,#REF!,G6,Tabla1[NUMERO NACIDOS VIVOS],"&gt;1"),COUNTIFS(#REF!,B4,#REF!,G6,Tabla1[NUMERO NACIDOS VIVOS],"&gt;2"))</f>
        <v>#REF!</v>
      </c>
      <c r="H128" s="115" t="e">
        <f>SUM(COUNTIFS(#REF!,B4,#REF!,H6,Tabla1[NUMERO NACIDOS VIVOS],"&gt;0"),COUNTIFS(#REF!,B4,#REF!,H6,Tabla1[NUMERO NACIDOS VIVOS],"&gt;1"),COUNTIFS(#REF!,B4,#REF!,H6,Tabla1[NUMERO NACIDOS VIVOS],"&gt;2"))</f>
        <v>#REF!</v>
      </c>
      <c r="I128" s="115" t="e">
        <f>SUM(COUNTIFS(#REF!,B4,#REF!,I6,Tabla1[NUMERO NACIDOS VIVOS],"&gt;0"),COUNTIFS(#REF!,B4,#REF!,I6,Tabla1[NUMERO NACIDOS VIVOS],"&gt;1"),COUNTIFS(#REF!,B4,#REF!,I6,Tabla1[NUMERO NACIDOS VIVOS],"&gt;2"))</f>
        <v>#REF!</v>
      </c>
      <c r="J128" s="115" t="e">
        <f>SUM(COUNTIFS(#REF!,B4,#REF!,J6,Tabla1[NUMERO NACIDOS VIVOS],"&gt;0"),COUNTIFS(#REF!,B4,#REF!,J6,Tabla1[NUMERO NACIDOS VIVOS],"&gt;1"),COUNTIFS(#REF!,B4,#REF!,J6,Tabla1[NUMERO NACIDOS VIVOS],"&gt;2"))</f>
        <v>#REF!</v>
      </c>
      <c r="K128" s="115" t="e">
        <f>SUM(COUNTIFS(#REF!,B4,#REF!,K6,Tabla1[NUMERO NACIDOS VIVOS],"&gt;0"),COUNTIFS(#REF!,B4,#REF!,K6,Tabla1[NUMERO NACIDOS VIVOS],"&gt;1"),COUNTIFS(#REF!,B4,#REF!,K6,Tabla1[NUMERO NACIDOS VIVOS],"&gt;2"))</f>
        <v>#REF!</v>
      </c>
      <c r="L128" s="115" t="e">
        <f>SUM(COUNTIFS(#REF!,B4,#REF!,L6,Tabla1[NUMERO NACIDOS VIVOS],"&gt;0"),COUNTIFS(#REF!,B4,#REF!,L6,Tabla1[NUMERO NACIDOS VIVOS],"&gt;1"),COUNTIFS(#REF!,B4,#REF!,L6,Tabla1[NUMERO NACIDOS VIVOS],"&gt;2"))</f>
        <v>#REF!</v>
      </c>
      <c r="M128" s="115" t="e">
        <f>SUM(COUNTIFS(#REF!,B4,#REF!,M6,Tabla1[NUMERO NACIDOS VIVOS],"&gt;0"),COUNTIFS(#REF!,B4,#REF!,M6,Tabla1[NUMERO NACIDOS VIVOS],"&gt;1"),COUNTIFS(#REF!,B4,#REF!,M6,Tabla1[NUMERO NACIDOS VIVOS],"&gt;2"))</f>
        <v>#REF!</v>
      </c>
      <c r="N128" s="124" t="e">
        <f t="shared" si="30"/>
        <v>#REF!</v>
      </c>
    </row>
    <row r="129" spans="1:14" x14ac:dyDescent="0.25">
      <c r="A129" s="131" t="s">
        <v>409</v>
      </c>
      <c r="B129" s="68" t="e">
        <f>SUM(COUNTIFS(#REF!,B4,#REF!,B6,Tabla1[NUMERO NACIDOS VIVOS],"&gt;0",Tabla1[EDAD GESTACIONAL SALIDA PROGRAMA],"&gt;=37"),COUNTIFS(#REF!,B4,#REF!,B6,Tabla1[NUMERO NACIDOS VIVOS],"&gt;1",Tabla1[EDAD GESTACIONAL SALIDA PROGRAMA],"&gt;=37"),COUNTIFS(#REF!,B4,#REF!,B6,Tabla1[NUMERO NACIDOS VIVOS],"&gt;2",Tabla1[EDAD GESTACIONAL SALIDA PROGRAMA],"&gt;=37"))</f>
        <v>#REF!</v>
      </c>
      <c r="C129" s="68" t="e">
        <f>SUM(COUNTIFS(#REF!,B4,#REF!,C6,Tabla1[NUMERO NACIDOS VIVOS],"&gt;0",Tabla1[EDAD GESTACIONAL SALIDA PROGRAMA],"&gt;=37"),COUNTIFS(#REF!,B4,#REF!,C6,Tabla1[NUMERO NACIDOS VIVOS],"&gt;1",Tabla1[EDAD GESTACIONAL SALIDA PROGRAMA],"&gt;=37"),COUNTIFS(#REF!,B4,#REF!,C6,Tabla1[NUMERO NACIDOS VIVOS],"&gt;2",Tabla1[EDAD GESTACIONAL SALIDA PROGRAMA],"&gt;=37"))</f>
        <v>#REF!</v>
      </c>
      <c r="D129" s="68" t="e">
        <f>SUM(COUNTIFS(#REF!,B4,#REF!,D6,Tabla1[NUMERO NACIDOS VIVOS],"&gt;0",Tabla1[EDAD GESTACIONAL SALIDA PROGRAMA],"&gt;=37"),COUNTIFS(#REF!,B4,#REF!,D6,Tabla1[NUMERO NACIDOS VIVOS],"&gt;1",Tabla1[EDAD GESTACIONAL SALIDA PROGRAMA],"&gt;=37"),COUNTIFS(#REF!,B4,#REF!,D6,Tabla1[NUMERO NACIDOS VIVOS],"&gt;2",Tabla1[EDAD GESTACIONAL SALIDA PROGRAMA],"&gt;=37"))</f>
        <v>#REF!</v>
      </c>
      <c r="E129" s="68" t="e">
        <f>SUM(COUNTIFS(#REF!,B4,#REF!,E6,Tabla1[NUMERO NACIDOS VIVOS],"&gt;0",Tabla1[EDAD GESTACIONAL SALIDA PROGRAMA],"&gt;=37"),COUNTIFS(#REF!,B4,#REF!,E6,Tabla1[NUMERO NACIDOS VIVOS],"&gt;1",Tabla1[EDAD GESTACIONAL SALIDA PROGRAMA],"&gt;=37"),COUNTIFS(#REF!,B4,#REF!,E6,Tabla1[NUMERO NACIDOS VIVOS],"&gt;2",Tabla1[EDAD GESTACIONAL SALIDA PROGRAMA],"&gt;=37"))</f>
        <v>#REF!</v>
      </c>
      <c r="F129" s="68" t="e">
        <f>SUM(COUNTIFS(#REF!,B4,#REF!,F6,Tabla1[NUMERO NACIDOS VIVOS],"&gt;0",Tabla1[EDAD GESTACIONAL SALIDA PROGRAMA],"&gt;=37"),COUNTIFS(#REF!,B4,#REF!,F6,Tabla1[NUMERO NACIDOS VIVOS],"&gt;1",Tabla1[EDAD GESTACIONAL SALIDA PROGRAMA],"&gt;=37"),COUNTIFS(#REF!,B4,#REF!,F6,Tabla1[NUMERO NACIDOS VIVOS],"&gt;2",Tabla1[EDAD GESTACIONAL SALIDA PROGRAMA],"&gt;=37"))</f>
        <v>#REF!</v>
      </c>
      <c r="G129" s="68" t="e">
        <f>SUM(COUNTIFS(#REF!,B4,#REF!,G6,Tabla1[NUMERO NACIDOS VIVOS],"&gt;0",Tabla1[EDAD GESTACIONAL SALIDA PROGRAMA],"&gt;=37"),COUNTIFS(#REF!,B4,#REF!,G6,Tabla1[NUMERO NACIDOS VIVOS],"&gt;1",Tabla1[EDAD GESTACIONAL SALIDA PROGRAMA],"&gt;=37"),COUNTIFS(#REF!,B4,#REF!,G6,Tabla1[NUMERO NACIDOS VIVOS],"&gt;2",Tabla1[EDAD GESTACIONAL SALIDA PROGRAMA],"&gt;=37"))</f>
        <v>#REF!</v>
      </c>
      <c r="H129" s="68" t="e">
        <f>SUM(COUNTIFS(#REF!,B4,#REF!,H6,Tabla1[NUMERO NACIDOS VIVOS],"&gt;0",Tabla1[EDAD GESTACIONAL SALIDA PROGRAMA],"&gt;=37"),COUNTIFS(#REF!,B4,#REF!,H6,Tabla1[NUMERO NACIDOS VIVOS],"&gt;1",Tabla1[EDAD GESTACIONAL SALIDA PROGRAMA],"&gt;=37"),COUNTIFS(#REF!,B4,#REF!,H6,Tabla1[NUMERO NACIDOS VIVOS],"&gt;2",Tabla1[EDAD GESTACIONAL SALIDA PROGRAMA],"&gt;=37"))</f>
        <v>#REF!</v>
      </c>
      <c r="I129" s="68" t="e">
        <f>SUM(COUNTIFS(#REF!,B4,#REF!,I6,Tabla1[NUMERO NACIDOS VIVOS],"&gt;0",Tabla1[EDAD GESTACIONAL SALIDA PROGRAMA],"&gt;=37"),COUNTIFS(#REF!,B4,#REF!,I6,Tabla1[NUMERO NACIDOS VIVOS],"&gt;1",Tabla1[EDAD GESTACIONAL SALIDA PROGRAMA],"&gt;=37"),COUNTIFS(#REF!,B4,#REF!,I6,Tabla1[NUMERO NACIDOS VIVOS],"&gt;2",Tabla1[EDAD GESTACIONAL SALIDA PROGRAMA],"&gt;=37"))</f>
        <v>#REF!</v>
      </c>
      <c r="J129" s="68" t="e">
        <f>SUM(COUNTIFS(#REF!,B4,#REF!,J6,Tabla1[NUMERO NACIDOS VIVOS],"&gt;0",Tabla1[EDAD GESTACIONAL SALIDA PROGRAMA],"&gt;=37"),COUNTIFS(#REF!,B4,#REF!,J6,Tabla1[NUMERO NACIDOS VIVOS],"&gt;1",Tabla1[EDAD GESTACIONAL SALIDA PROGRAMA],"&gt;=37"),COUNTIFS(#REF!,B4,#REF!,J6,Tabla1[NUMERO NACIDOS VIVOS],"&gt;2",Tabla1[EDAD GESTACIONAL SALIDA PROGRAMA],"&gt;=37"))</f>
        <v>#REF!</v>
      </c>
      <c r="K129" s="68" t="e">
        <f>SUM(COUNTIFS(#REF!,B4,#REF!,K6,Tabla1[NUMERO NACIDOS VIVOS],"&gt;0",Tabla1[EDAD GESTACIONAL SALIDA PROGRAMA],"&gt;=37"),COUNTIFS(#REF!,B4,#REF!,K6,Tabla1[NUMERO NACIDOS VIVOS],"&gt;1",Tabla1[EDAD GESTACIONAL SALIDA PROGRAMA],"&gt;=37"),COUNTIFS(#REF!,B4,#REF!,K6,Tabla1[NUMERO NACIDOS VIVOS],"&gt;2",Tabla1[EDAD GESTACIONAL SALIDA PROGRAMA],"&gt;=37"))</f>
        <v>#REF!</v>
      </c>
      <c r="L129" s="68" t="e">
        <f>SUM(COUNTIFS(#REF!,B4,#REF!,L6,Tabla1[NUMERO NACIDOS VIVOS],"&gt;0",Tabla1[EDAD GESTACIONAL SALIDA PROGRAMA],"&gt;=37"),COUNTIFS(#REF!,B4,#REF!,L6,Tabla1[NUMERO NACIDOS VIVOS],"&gt;1",Tabla1[EDAD GESTACIONAL SALIDA PROGRAMA],"&gt;=37"),COUNTIFS(#REF!,B4,#REF!,L6,Tabla1[NUMERO NACIDOS VIVOS],"&gt;2",Tabla1[EDAD GESTACIONAL SALIDA PROGRAMA],"&gt;=37"))</f>
        <v>#REF!</v>
      </c>
      <c r="M129" s="68" t="e">
        <f>SUM(COUNTIFS(#REF!,B4,#REF!,M6,Tabla1[NUMERO NACIDOS VIVOS],"&gt;0",Tabla1[EDAD GESTACIONAL SALIDA PROGRAMA],"&gt;=37"),COUNTIFS(#REF!,B4,#REF!,M6,Tabla1[NUMERO NACIDOS VIVOS],"&gt;1",Tabla1[EDAD GESTACIONAL SALIDA PROGRAMA],"&gt;=37"),COUNTIFS(#REF!,B4,#REF!,M6,Tabla1[NUMERO NACIDOS VIVOS],"&gt;2",Tabla1[EDAD GESTACIONAL SALIDA PROGRAMA],"&gt;=37"))</f>
        <v>#REF!</v>
      </c>
      <c r="N129" s="128" t="e">
        <f t="shared" si="30"/>
        <v>#REF!</v>
      </c>
    </row>
    <row r="130" spans="1:14" ht="26.25" thickBot="1" x14ac:dyDescent="0.3">
      <c r="A130" s="141" t="s">
        <v>410</v>
      </c>
      <c r="B130" s="142" t="e">
        <f>SUM(COUNTIFS(#REF!,B4,#REF!,B6,Tabla1[PESO RN  EN GRAMOS],"&lt;2500",Tabla1[EDAD GESTACIONAL SALIDA PROGRAMA],"&gt;=37"),COUNTIFS(#REF!,B4,#REF!,B6,Tabla1[PESO RN 2 EN GRAMOS2],"&lt;2500",Tabla1[EDAD GESTACIONAL SALIDA PROGRAMA],"&gt;=37"))</f>
        <v>#REF!</v>
      </c>
      <c r="C130" s="142" t="e">
        <f>SUM(COUNTIFS(#REF!,B4,#REF!,C6,Tabla1[PESO RN  EN GRAMOS],"&lt;2500",Tabla1[EDAD GESTACIONAL SALIDA PROGRAMA],"&gt;=37"),COUNTIFS(#REF!,B4,#REF!,C6,Tabla1[PESO RN 2 EN GRAMOS2],"&lt;2500",Tabla1[EDAD GESTACIONAL SALIDA PROGRAMA],"&gt;=37"))</f>
        <v>#REF!</v>
      </c>
      <c r="D130" s="142" t="e">
        <f>SUM(COUNTIFS(#REF!,B4,#REF!,D6,Tabla1[PESO RN  EN GRAMOS],"&lt;2500",Tabla1[EDAD GESTACIONAL SALIDA PROGRAMA],"&gt;=37"),COUNTIFS(#REF!,B4,#REF!,D6,Tabla1[PESO RN 2 EN GRAMOS2],"&lt;2500",Tabla1[EDAD GESTACIONAL SALIDA PROGRAMA],"&gt;=37"))</f>
        <v>#REF!</v>
      </c>
      <c r="E130" s="142" t="e">
        <f>SUM(COUNTIFS(#REF!,B4,#REF!,E6,Tabla1[PESO RN  EN GRAMOS],"&lt;2500",Tabla1[EDAD GESTACIONAL SALIDA PROGRAMA],"&gt;=37"),COUNTIFS(#REF!,B4,#REF!,E6,Tabla1[PESO RN 2 EN GRAMOS2],"&lt;2500",Tabla1[EDAD GESTACIONAL SALIDA PROGRAMA],"&gt;=37"))</f>
        <v>#REF!</v>
      </c>
      <c r="F130" s="142" t="e">
        <f>SUM(COUNTIFS(#REF!,B4,#REF!,F6,Tabla1[PESO RN  EN GRAMOS],"&lt;2500",Tabla1[EDAD GESTACIONAL SALIDA PROGRAMA],"&gt;=37"),COUNTIFS(#REF!,B4,#REF!,F6,Tabla1[PESO RN 2 EN GRAMOS2],"&lt;2500",Tabla1[EDAD GESTACIONAL SALIDA PROGRAMA],"&gt;=37"))</f>
        <v>#REF!</v>
      </c>
      <c r="G130" s="142" t="e">
        <f>SUM(COUNTIFS(#REF!,B4,#REF!,G6,Tabla1[PESO RN  EN GRAMOS],"&lt;2500",Tabla1[EDAD GESTACIONAL SALIDA PROGRAMA],"&gt;=37"),COUNTIFS(#REF!,B4,#REF!,G6,Tabla1[PESO RN 2 EN GRAMOS2],"&lt;2500",Tabla1[EDAD GESTACIONAL SALIDA PROGRAMA],"&gt;=37"))</f>
        <v>#REF!</v>
      </c>
      <c r="H130" s="142" t="e">
        <f>SUM(COUNTIFS(#REF!,B4,#REF!,H6,Tabla1[PESO RN  EN GRAMOS],"&lt;2500",Tabla1[EDAD GESTACIONAL SALIDA PROGRAMA],"&gt;=37"),COUNTIFS(#REF!,B4,#REF!,H6,Tabla1[PESO RN 2 EN GRAMOS2],"&lt;2500",Tabla1[EDAD GESTACIONAL SALIDA PROGRAMA],"&gt;=37"))</f>
        <v>#REF!</v>
      </c>
      <c r="I130" s="142" t="e">
        <f>SUM(COUNTIFS(#REF!,B4,#REF!,I6,Tabla1[PESO RN  EN GRAMOS],"&lt;2500",Tabla1[EDAD GESTACIONAL SALIDA PROGRAMA],"&gt;=37"),COUNTIFS(#REF!,B4,#REF!,I6,Tabla1[PESO RN 2 EN GRAMOS2],"&lt;2500",Tabla1[EDAD GESTACIONAL SALIDA PROGRAMA],"&gt;=37"))</f>
        <v>#REF!</v>
      </c>
      <c r="J130" s="142" t="e">
        <f>SUM(COUNTIFS(#REF!,B4,#REF!,J6,Tabla1[PESO RN  EN GRAMOS],"&lt;2500",Tabla1[EDAD GESTACIONAL SALIDA PROGRAMA],"&gt;=37"),COUNTIFS(#REF!,B4,#REF!,J6,Tabla1[PESO RN 2 EN GRAMOS2],"&lt;2500",Tabla1[EDAD GESTACIONAL SALIDA PROGRAMA],"&gt;=37"))</f>
        <v>#REF!</v>
      </c>
      <c r="K130" s="142" t="e">
        <f>SUM(COUNTIFS(#REF!,B4,#REF!,K6,Tabla1[PESO RN  EN GRAMOS],"&lt;2500",Tabla1[EDAD GESTACIONAL SALIDA PROGRAMA],"&gt;=37"),COUNTIFS(#REF!,B4,#REF!,K6,Tabla1[PESO RN 2 EN GRAMOS2],"&lt;2500",Tabla1[EDAD GESTACIONAL SALIDA PROGRAMA],"&gt;=37"))</f>
        <v>#REF!</v>
      </c>
      <c r="L130" s="142" t="e">
        <f>SUM(COUNTIFS(#REF!,B4,#REF!,L6,Tabla1[PESO RN  EN GRAMOS],"&lt;2500",Tabla1[EDAD GESTACIONAL SALIDA PROGRAMA],"&gt;=37"),COUNTIFS(#REF!,B4,#REF!,L6,Tabla1[PESO RN 2 EN GRAMOS2],"&lt;2500",Tabla1[EDAD GESTACIONAL SALIDA PROGRAMA],"&gt;=37"))</f>
        <v>#REF!</v>
      </c>
      <c r="M130" s="142" t="e">
        <f>SUM(COUNTIFS(#REF!,B4,#REF!,M6,Tabla1[PESO RN  EN GRAMOS],"&lt;2500",Tabla1[EDAD GESTACIONAL SALIDA PROGRAMA],"&gt;=37"),COUNTIFS(#REF!,B4,#REF!,M6,Tabla1[PESO RN 2 EN GRAMOS2],"&lt;2500",Tabla1[EDAD GESTACIONAL SALIDA PROGRAMA],"&gt;=37"))</f>
        <v>#REF!</v>
      </c>
      <c r="N130" s="135" t="e">
        <f t="shared" si="30"/>
        <v>#REF!</v>
      </c>
    </row>
    <row r="131" spans="1:14" ht="15.75" thickBot="1" x14ac:dyDescent="0.3">
      <c r="A131" s="66" t="s">
        <v>411</v>
      </c>
      <c r="B131" s="117" t="e">
        <f>IF(B129=0,"",SUM(B130/B129))</f>
        <v>#REF!</v>
      </c>
      <c r="C131" s="118" t="e">
        <f t="shared" ref="C131:N131" si="44">IF(C129=0,"",SUM(C130/C129))</f>
        <v>#REF!</v>
      </c>
      <c r="D131" s="118" t="e">
        <f t="shared" si="44"/>
        <v>#REF!</v>
      </c>
      <c r="E131" s="118" t="e">
        <f t="shared" si="44"/>
        <v>#REF!</v>
      </c>
      <c r="F131" s="118" t="e">
        <f t="shared" si="44"/>
        <v>#REF!</v>
      </c>
      <c r="G131" s="118" t="e">
        <f t="shared" si="44"/>
        <v>#REF!</v>
      </c>
      <c r="H131" s="118" t="e">
        <f t="shared" si="44"/>
        <v>#REF!</v>
      </c>
      <c r="I131" s="118" t="e">
        <f t="shared" si="44"/>
        <v>#REF!</v>
      </c>
      <c r="J131" s="118" t="e">
        <f t="shared" si="44"/>
        <v>#REF!</v>
      </c>
      <c r="K131" s="118" t="e">
        <f t="shared" si="44"/>
        <v>#REF!</v>
      </c>
      <c r="L131" s="118" t="e">
        <f t="shared" si="44"/>
        <v>#REF!</v>
      </c>
      <c r="M131" s="118" t="e">
        <f t="shared" si="44"/>
        <v>#REF!</v>
      </c>
      <c r="N131" s="119" t="e">
        <f t="shared" si="44"/>
        <v>#REF!</v>
      </c>
    </row>
    <row r="132" spans="1:14" ht="26.25" thickBot="1" x14ac:dyDescent="0.3">
      <c r="A132" s="132" t="s">
        <v>698</v>
      </c>
      <c r="B132" s="115" t="e">
        <f>SUM(COUNTIFS(#REF!,B4,#REF!,B6,Tabla1[[ EVENTO DE INTERES EN SALUD PÚBLICA DEL RECIÉN NACIDO2]],"MUERTE PERINATAL O NEONATAL TEMPRANA"),COUNTIFS(#REF!,B4,#REF!,B6,Tabla1[[ EVENTO DE INTERES EN SALUD PÚBLICA DEL RECIÉN NACIDO2]],"MUERTE NEONATAL TARDÍA"))</f>
        <v>#REF!</v>
      </c>
      <c r="C132" s="115" t="e">
        <f>SUM(COUNTIFS(#REF!,B4,#REF!,C6,Tabla1[[ EVENTO DE INTERES EN SALUD PÚBLICA DEL RECIÉN NACIDO2]],"MUERTE PERINATAL O NEONATAL TEMPRANA"),COUNTIFS(#REF!,B4,#REF!,C6,Tabla1[[ EVENTO DE INTERES EN SALUD PÚBLICA DEL RECIÉN NACIDO2]],"MUERTE NEONATAL TARDÍA"))</f>
        <v>#REF!</v>
      </c>
      <c r="D132" s="115" t="e">
        <f>SUM(COUNTIFS(#REF!,B4,#REF!,D6,Tabla1[[ EVENTO DE INTERES EN SALUD PÚBLICA DEL RECIÉN NACIDO2]],"MUERTE PERINATAL O NEONATAL TEMPRANA"),COUNTIFS(#REF!,B4,#REF!,D6,Tabla1[[ EVENTO DE INTERES EN SALUD PÚBLICA DEL RECIÉN NACIDO2]],"MUERTE NEONATAL TARDÍA"))</f>
        <v>#REF!</v>
      </c>
      <c r="E132" s="115" t="e">
        <f>SUM(COUNTIFS(#REF!,B4,#REF!,E6,Tabla1[[ EVENTO DE INTERES EN SALUD PÚBLICA DEL RECIÉN NACIDO2]],"MUERTE PERINATAL O NEONATAL TEMPRANA"),COUNTIFS(#REF!,B4,#REF!,E6,Tabla1[[ EVENTO DE INTERES EN SALUD PÚBLICA DEL RECIÉN NACIDO2]],"MUERTE NEONATAL TARDÍA"))</f>
        <v>#REF!</v>
      </c>
      <c r="F132" s="115" t="e">
        <f>SUM(COUNTIFS(#REF!,B4,#REF!,F6,Tabla1[[ EVENTO DE INTERES EN SALUD PÚBLICA DEL RECIÉN NACIDO2]],"MUERTE PERINATAL O NEONATAL TEMPRANA"),COUNTIFS(#REF!,B4,#REF!,F6,Tabla1[[ EVENTO DE INTERES EN SALUD PÚBLICA DEL RECIÉN NACIDO2]],"MUERTE NEONATAL TARDÍA"))</f>
        <v>#REF!</v>
      </c>
      <c r="G132" s="115" t="e">
        <f>SUM(COUNTIFS(#REF!,B4,#REF!,G6,Tabla1[[ EVENTO DE INTERES EN SALUD PÚBLICA DEL RECIÉN NACIDO2]],"MUERTE PERINATAL O NEONATAL TEMPRANA"),COUNTIFS(#REF!,B4,#REF!,G6,Tabla1[[ EVENTO DE INTERES EN SALUD PÚBLICA DEL RECIÉN NACIDO2]],"MUERTE NEONATAL TARDÍA"))</f>
        <v>#REF!</v>
      </c>
      <c r="H132" s="115" t="e">
        <f>SUM(COUNTIFS(#REF!,B4,#REF!,H6,Tabla1[[ EVENTO DE INTERES EN SALUD PÚBLICA DEL RECIÉN NACIDO2]],"MUERTE PERINATAL O NEONATAL TEMPRANA"),COUNTIFS(#REF!,B4,#REF!,H6,Tabla1[[ EVENTO DE INTERES EN SALUD PÚBLICA DEL RECIÉN NACIDO2]],"MUERTE NEONATAL TARDÍA"))</f>
        <v>#REF!</v>
      </c>
      <c r="I132" s="115" t="e">
        <f>SUM(COUNTIFS(#REF!,B4,#REF!,I6,Tabla1[[ EVENTO DE INTERES EN SALUD PÚBLICA DEL RECIÉN NACIDO2]],"MUERTE PERINATAL O NEONATAL TEMPRANA"),COUNTIFS(#REF!,B4,#REF!,I6,Tabla1[[ EVENTO DE INTERES EN SALUD PÚBLICA DEL RECIÉN NACIDO2]],"MUERTE NEONATAL TARDÍA"))</f>
        <v>#REF!</v>
      </c>
      <c r="J132" s="115" t="e">
        <f>SUM(COUNTIFS(#REF!,B4,#REF!,J6,Tabla1[[ EVENTO DE INTERES EN SALUD PÚBLICA DEL RECIÉN NACIDO2]],"MUERTE PERINATAL O NEONATAL TEMPRANA"),COUNTIFS(#REF!,B4,#REF!,J6,Tabla1[[ EVENTO DE INTERES EN SALUD PÚBLICA DEL RECIÉN NACIDO2]],"MUERTE NEONATAL TARDÍA"))</f>
        <v>#REF!</v>
      </c>
      <c r="K132" s="115" t="e">
        <f>SUM(COUNTIFS(#REF!,B4,#REF!,K6,Tabla1[[ EVENTO DE INTERES EN SALUD PÚBLICA DEL RECIÉN NACIDO2]],"MUERTE PERINATAL O NEONATAL TEMPRANA"),COUNTIFS(#REF!,B4,#REF!,K6,Tabla1[[ EVENTO DE INTERES EN SALUD PÚBLICA DEL RECIÉN NACIDO2]],"MUERTE NEONATAL TARDÍA"))</f>
        <v>#REF!</v>
      </c>
      <c r="L132" s="115" t="e">
        <f>SUM(COUNTIFS(#REF!,B4,#REF!,L6,Tabla1[[ EVENTO DE INTERES EN SALUD PÚBLICA DEL RECIÉN NACIDO2]],"MUERTE PERINATAL O NEONATAL TEMPRANA"),COUNTIFS(#REF!,B4,#REF!,L6,Tabla1[[ EVENTO DE INTERES EN SALUD PÚBLICA DEL RECIÉN NACIDO2]],"MUERTE NEONATAL TARDÍA"))</f>
        <v>#REF!</v>
      </c>
      <c r="M132" s="115" t="e">
        <f>SUM(COUNTIFS(#REF!,B4,#REF!,M6,Tabla1[[ EVENTO DE INTERES EN SALUD PÚBLICA DEL RECIÉN NACIDO2]],"MUERTE PERINATAL O NEONATAL TEMPRANA"),COUNTIFS(#REF!,B4,#REF!,M6,Tabla1[[ EVENTO DE INTERES EN SALUD PÚBLICA DEL RECIÉN NACIDO2]],"MUERTE NEONATAL TARDÍA"))</f>
        <v>#REF!</v>
      </c>
      <c r="N132" s="126" t="e">
        <f t="shared" si="30"/>
        <v>#REF!</v>
      </c>
    </row>
    <row r="133" spans="1:14" ht="15.75" thickBot="1" x14ac:dyDescent="0.3">
      <c r="A133" s="133" t="s">
        <v>412</v>
      </c>
      <c r="B133" s="223"/>
      <c r="C133" s="224"/>
      <c r="D133" s="224"/>
      <c r="E133" s="224"/>
      <c r="F133" s="224"/>
      <c r="G133" s="224"/>
      <c r="H133" s="224"/>
      <c r="I133" s="224"/>
      <c r="J133" s="224"/>
      <c r="K133" s="224"/>
      <c r="L133" s="224"/>
      <c r="M133" s="224"/>
      <c r="N133" s="183" t="e">
        <f>IF(N$128=0,"",SUM((N132/N$128)*1000))</f>
        <v>#REF!</v>
      </c>
    </row>
    <row r="134" spans="1:14" ht="15.75" thickBot="1" x14ac:dyDescent="0.3">
      <c r="A134" s="132" t="s">
        <v>413</v>
      </c>
      <c r="B134" s="68" t="e">
        <f>SUM(COUNTIFS(#REF!,B4,#REF!,B6,Tabla1[[ EVENTO DE INTERES EN SALUD PÚBLICA DE LA MADRE]],"MORBILIDAD MATERNA EXTREMA"),COUNTIFS(#REF!,B4,#REF!,B6,Tabla1[[ EVENTO DE INTERES EN SALUD PÚBLICA DE LA MADRE]],"MUERTE Y MORBILIDAD MATERNA EXTREMA"))</f>
        <v>#REF!</v>
      </c>
      <c r="C134" s="68" t="e">
        <f>SUM(COUNTIFS(#REF!,B4,#REF!,C6,Tabla1[[ EVENTO DE INTERES EN SALUD PÚBLICA DE LA MADRE]],"MORBILIDAD MATERNA EXTREMA"),COUNTIFS(#REF!,B4,#REF!,C6,Tabla1[[ EVENTO DE INTERES EN SALUD PÚBLICA DE LA MADRE]],"MUERTE Y MORBILIDAD MATERNA EXTREMA"))</f>
        <v>#REF!</v>
      </c>
      <c r="D134" s="68" t="e">
        <f>SUM(COUNTIFS(#REF!,B4,#REF!,D6,Tabla1[[ EVENTO DE INTERES EN SALUD PÚBLICA DE LA MADRE]],"MORBILIDAD MATERNA EXTREMA"),COUNTIFS(#REF!,B4,#REF!,D6,Tabla1[[ EVENTO DE INTERES EN SALUD PÚBLICA DE LA MADRE]],"MUERTE Y MORBILIDAD MATERNA EXTREMA"))</f>
        <v>#REF!</v>
      </c>
      <c r="E134" s="68" t="e">
        <f>SUM(COUNTIFS(#REF!,B4,#REF!,E6,Tabla1[[ EVENTO DE INTERES EN SALUD PÚBLICA DE LA MADRE]],"MORBILIDAD MATERNA EXTREMA"),COUNTIFS(#REF!,B4,#REF!,E6,Tabla1[[ EVENTO DE INTERES EN SALUD PÚBLICA DE LA MADRE]],"MUERTE Y MORBILIDAD MATERNA EXTREMA"))</f>
        <v>#REF!</v>
      </c>
      <c r="F134" s="68" t="e">
        <f>SUM(COUNTIFS(#REF!,B4,#REF!,F6,Tabla1[[ EVENTO DE INTERES EN SALUD PÚBLICA DE LA MADRE]],"MORBILIDAD MATERNA EXTREMA"),COUNTIFS(#REF!,B4,#REF!,F6,Tabla1[[ EVENTO DE INTERES EN SALUD PÚBLICA DE LA MADRE]],"MUERTE Y MORBILIDAD MATERNA EXTREMA"))</f>
        <v>#REF!</v>
      </c>
      <c r="G134" s="68" t="e">
        <f>SUM(COUNTIFS(#REF!,B4,#REF!,G6,Tabla1[[ EVENTO DE INTERES EN SALUD PÚBLICA DE LA MADRE]],"MORBILIDAD MATERNA EXTREMA"),COUNTIFS(#REF!,B4,#REF!,G6,Tabla1[[ EVENTO DE INTERES EN SALUD PÚBLICA DE LA MADRE]],"MUERTE Y MORBILIDAD MATERNA EXTREMA"))</f>
        <v>#REF!</v>
      </c>
      <c r="H134" s="68" t="e">
        <f>SUM(COUNTIFS(#REF!,B4,#REF!,H6,Tabla1[[ EVENTO DE INTERES EN SALUD PÚBLICA DE LA MADRE]],"MORBILIDAD MATERNA EXTREMA"),COUNTIFS(#REF!,B4,#REF!,H6,Tabla1[[ EVENTO DE INTERES EN SALUD PÚBLICA DE LA MADRE]],"MUERTE Y MORBILIDAD MATERNA EXTREMA"))</f>
        <v>#REF!</v>
      </c>
      <c r="I134" s="68" t="e">
        <f>SUM(COUNTIFS(#REF!,B4,#REF!,I6,Tabla1[[ EVENTO DE INTERES EN SALUD PÚBLICA DE LA MADRE]],"MORBILIDAD MATERNA EXTREMA"),COUNTIFS(#REF!,B4,#REF!,I6,Tabla1[[ EVENTO DE INTERES EN SALUD PÚBLICA DE LA MADRE]],"MUERTE Y MORBILIDAD MATERNA EXTREMA"))</f>
        <v>#REF!</v>
      </c>
      <c r="J134" s="68" t="e">
        <f>SUM(COUNTIFS(#REF!,B4,#REF!,J6,Tabla1[[ EVENTO DE INTERES EN SALUD PÚBLICA DE LA MADRE]],"MORBILIDAD MATERNA EXTREMA"),COUNTIFS(#REF!,B4,#REF!,J6,Tabla1[[ EVENTO DE INTERES EN SALUD PÚBLICA DE LA MADRE]],"MUERTE Y MORBILIDAD MATERNA EXTREMA"))</f>
        <v>#REF!</v>
      </c>
      <c r="K134" s="68" t="e">
        <f>SUM(COUNTIFS(#REF!,B4,#REF!,K6,Tabla1[[ EVENTO DE INTERES EN SALUD PÚBLICA DE LA MADRE]],"MORBILIDAD MATERNA EXTREMA"),COUNTIFS(#REF!,B4,#REF!,K6,Tabla1[[ EVENTO DE INTERES EN SALUD PÚBLICA DE LA MADRE]],"MUERTE Y MORBILIDAD MATERNA EXTREMA"))</f>
        <v>#REF!</v>
      </c>
      <c r="L134" s="68" t="e">
        <f>SUM(COUNTIFS(#REF!,B4,#REF!,L6,Tabla1[[ EVENTO DE INTERES EN SALUD PÚBLICA DE LA MADRE]],"MORBILIDAD MATERNA EXTREMA"),COUNTIFS(#REF!,B4,#REF!,L6,Tabla1[[ EVENTO DE INTERES EN SALUD PÚBLICA DE LA MADRE]],"MUERTE Y MORBILIDAD MATERNA EXTREMA"))</f>
        <v>#REF!</v>
      </c>
      <c r="M134" s="68" t="e">
        <f>SUM(COUNTIFS(#REF!,B4,#REF!,M6,Tabla1[[ EVENTO DE INTERES EN SALUD PÚBLICA DE LA MADRE]],"MORBILIDAD MATERNA EXTREMA"),COUNTIFS(#REF!,B4,#REF!,M6,Tabla1[[ EVENTO DE INTERES EN SALUD PÚBLICA DE LA MADRE]],"MUERTE Y MORBILIDAD MATERNA EXTREMA"))</f>
        <v>#REF!</v>
      </c>
      <c r="N134" s="126" t="e">
        <f t="shared" si="30"/>
        <v>#REF!</v>
      </c>
    </row>
    <row r="135" spans="1:14" ht="26.25" thickBot="1" x14ac:dyDescent="0.3">
      <c r="A135" s="133" t="s">
        <v>414</v>
      </c>
      <c r="B135" s="223"/>
      <c r="C135" s="224"/>
      <c r="D135" s="224"/>
      <c r="E135" s="224"/>
      <c r="F135" s="224"/>
      <c r="G135" s="224"/>
      <c r="H135" s="224"/>
      <c r="I135" s="224"/>
      <c r="J135" s="224"/>
      <c r="K135" s="224"/>
      <c r="L135" s="224"/>
      <c r="M135" s="224"/>
      <c r="N135" s="183" t="e">
        <f>IF(N$128=0,"",SUM((N134/N$128)*1000))</f>
        <v>#REF!</v>
      </c>
    </row>
    <row r="136" spans="1:14" ht="15.75" thickBot="1" x14ac:dyDescent="0.3">
      <c r="A136" s="132" t="s">
        <v>705</v>
      </c>
      <c r="B136" s="68" t="e">
        <f>SUM(COUNTIFS(#REF!,B4,#REF!,B6,Tabla1[[ EVENTO DE INTERES EN SALUD PÚBLICA DE LA MADRE]],"MUERTE MATERNA"),COUNTIFS(#REF!,B4,#REF!,B6,Tabla1[[ EVENTO DE INTERES EN SALUD PÚBLICA DE LA MADRE]],"MUERTE Y MORBILIDAD MATERNA EXTREMA"))</f>
        <v>#REF!</v>
      </c>
      <c r="C136" s="68" t="e">
        <f>SUM(COUNTIFS(#REF!,B4,#REF!,C6,Tabla1[[ EVENTO DE INTERES EN SALUD PÚBLICA DE LA MADRE]],"MUERTE MATERNA"),COUNTIFS(#REF!,B4,#REF!,C6,Tabla1[[ EVENTO DE INTERES EN SALUD PÚBLICA DE LA MADRE]],"MUERTE Y MORBILIDAD MATERNA EXTREMA"))</f>
        <v>#REF!</v>
      </c>
      <c r="D136" s="68" t="e">
        <f>SUM(COUNTIFS(#REF!,B4,#REF!,D6,Tabla1[[ EVENTO DE INTERES EN SALUD PÚBLICA DE LA MADRE]],"MUERTE MATERNA"),COUNTIFS(#REF!,B4,#REF!,D6,Tabla1[[ EVENTO DE INTERES EN SALUD PÚBLICA DE LA MADRE]],"MUERTE Y MORBILIDAD MATERNA EXTREMA"))</f>
        <v>#REF!</v>
      </c>
      <c r="E136" s="68" t="e">
        <f>SUM(COUNTIFS(#REF!,B4,#REF!,E6,Tabla1[[ EVENTO DE INTERES EN SALUD PÚBLICA DE LA MADRE]],"MUERTE MATERNA"),COUNTIFS(#REF!,B4,#REF!,E6,Tabla1[[ EVENTO DE INTERES EN SALUD PÚBLICA DE LA MADRE]],"MUERTE Y MORBILIDAD MATERNA EXTREMA"))</f>
        <v>#REF!</v>
      </c>
      <c r="F136" s="68" t="e">
        <f>SUM(COUNTIFS(#REF!,B4,#REF!,F6,Tabla1[[ EVENTO DE INTERES EN SALUD PÚBLICA DE LA MADRE]],"MUERTE MATERNA"),COUNTIFS(#REF!,B4,#REF!,F6,Tabla1[[ EVENTO DE INTERES EN SALUD PÚBLICA DE LA MADRE]],"MUERTE Y MORBILIDAD MATERNA EXTREMA"))</f>
        <v>#REF!</v>
      </c>
      <c r="G136" s="68" t="e">
        <f>SUM(COUNTIFS(#REF!,B4,#REF!,G6,Tabla1[[ EVENTO DE INTERES EN SALUD PÚBLICA DE LA MADRE]],"MUERTE MATERNA"),COUNTIFS(#REF!,B4,#REF!,G6,Tabla1[[ EVENTO DE INTERES EN SALUD PÚBLICA DE LA MADRE]],"MUERTE Y MORBILIDAD MATERNA EXTREMA"))</f>
        <v>#REF!</v>
      </c>
      <c r="H136" s="68" t="e">
        <f>SUM(COUNTIFS(#REF!,B4,#REF!,H6,Tabla1[[ EVENTO DE INTERES EN SALUD PÚBLICA DE LA MADRE]],"MUERTE MATERNA"),COUNTIFS(#REF!,B4,#REF!,H6,Tabla1[[ EVENTO DE INTERES EN SALUD PÚBLICA DE LA MADRE]],"MUERTE Y MORBILIDAD MATERNA EXTREMA"))</f>
        <v>#REF!</v>
      </c>
      <c r="I136" s="68" t="e">
        <f>SUM(COUNTIFS(#REF!,B4,#REF!,I6,Tabla1[[ EVENTO DE INTERES EN SALUD PÚBLICA DE LA MADRE]],"MUERTE MATERNA"),COUNTIFS(#REF!,B4,#REF!,I6,Tabla1[[ EVENTO DE INTERES EN SALUD PÚBLICA DE LA MADRE]],"MUERTE Y MORBILIDAD MATERNA EXTREMA"))</f>
        <v>#REF!</v>
      </c>
      <c r="J136" s="68" t="e">
        <f>SUM(COUNTIFS(#REF!,B4,#REF!,J6,Tabla1[[ EVENTO DE INTERES EN SALUD PÚBLICA DE LA MADRE]],"MUERTE MATERNA"),COUNTIFS(#REF!,B4,#REF!,J6,Tabla1[[ EVENTO DE INTERES EN SALUD PÚBLICA DE LA MADRE]],"MUERTE Y MORBILIDAD MATERNA EXTREMA"))</f>
        <v>#REF!</v>
      </c>
      <c r="K136" s="68" t="e">
        <f>SUM(COUNTIFS(#REF!,B4,#REF!,K6,Tabla1[[ EVENTO DE INTERES EN SALUD PÚBLICA DE LA MADRE]],"MUERTE MATERNA"),COUNTIFS(#REF!,B4,#REF!,K6,Tabla1[[ EVENTO DE INTERES EN SALUD PÚBLICA DE LA MADRE]],"MUERTE Y MORBILIDAD MATERNA EXTREMA"))</f>
        <v>#REF!</v>
      </c>
      <c r="L136" s="68" t="e">
        <f>SUM(COUNTIFS(#REF!,B4,#REF!,L6,Tabla1[[ EVENTO DE INTERES EN SALUD PÚBLICA DE LA MADRE]],"MUERTE MATERNA"),COUNTIFS(#REF!,B4,#REF!,L6,Tabla1[[ EVENTO DE INTERES EN SALUD PÚBLICA DE LA MADRE]],"MUERTE Y MORBILIDAD MATERNA EXTREMA"))</f>
        <v>#REF!</v>
      </c>
      <c r="M136" s="68" t="e">
        <f>SUM(COUNTIFS(#REF!,B4,#REF!,M6,Tabla1[[ EVENTO DE INTERES EN SALUD PÚBLICA DE LA MADRE]],"MUERTE MATERNA"),COUNTIFS(#REF!,B4,#REF!,M6,Tabla1[[ EVENTO DE INTERES EN SALUD PÚBLICA DE LA MADRE]],"MUERTE Y MORBILIDAD MATERNA EXTREMA"))</f>
        <v>#REF!</v>
      </c>
      <c r="N136" s="126" t="e">
        <f t="shared" si="30"/>
        <v>#REF!</v>
      </c>
    </row>
    <row r="137" spans="1:14" ht="15.75" thickBot="1" x14ac:dyDescent="0.3">
      <c r="A137" s="134" t="s">
        <v>435</v>
      </c>
      <c r="B137" s="225"/>
      <c r="C137" s="226"/>
      <c r="D137" s="226"/>
      <c r="E137" s="226"/>
      <c r="F137" s="226"/>
      <c r="G137" s="226"/>
      <c r="H137" s="226"/>
      <c r="I137" s="226"/>
      <c r="J137" s="226"/>
      <c r="K137" s="226"/>
      <c r="L137" s="226"/>
      <c r="M137" s="226"/>
      <c r="N137" s="183" t="e">
        <f>IF(N$128=0,"",SUM((N136/N$128)*100000))</f>
        <v>#REF!</v>
      </c>
    </row>
    <row r="138" spans="1:14" ht="26.25" thickBot="1" x14ac:dyDescent="0.3">
      <c r="A138" s="179" t="s">
        <v>703</v>
      </c>
      <c r="B138" s="225" t="e">
        <f t="shared" ref="B138:N138" si="45">IF(B$136=0,"",SUM(B134/B136))</f>
        <v>#REF!</v>
      </c>
      <c r="C138" s="226" t="e">
        <f t="shared" si="45"/>
        <v>#REF!</v>
      </c>
      <c r="D138" s="226" t="e">
        <f t="shared" si="45"/>
        <v>#REF!</v>
      </c>
      <c r="E138" s="226" t="e">
        <f t="shared" si="45"/>
        <v>#REF!</v>
      </c>
      <c r="F138" s="226" t="e">
        <f t="shared" si="45"/>
        <v>#REF!</v>
      </c>
      <c r="G138" s="226" t="e">
        <f t="shared" si="45"/>
        <v>#REF!</v>
      </c>
      <c r="H138" s="226" t="e">
        <f t="shared" si="45"/>
        <v>#REF!</v>
      </c>
      <c r="I138" s="226" t="e">
        <f t="shared" si="45"/>
        <v>#REF!</v>
      </c>
      <c r="J138" s="226" t="e">
        <f t="shared" si="45"/>
        <v>#REF!</v>
      </c>
      <c r="K138" s="226" t="e">
        <f t="shared" si="45"/>
        <v>#REF!</v>
      </c>
      <c r="L138" s="226" t="e">
        <f t="shared" si="45"/>
        <v>#REF!</v>
      </c>
      <c r="M138" s="226" t="e">
        <f t="shared" si="45"/>
        <v>#REF!</v>
      </c>
      <c r="N138" s="182" t="e">
        <f t="shared" si="45"/>
        <v>#REF!</v>
      </c>
    </row>
    <row r="139" spans="1:14" ht="26.25" thickBot="1" x14ac:dyDescent="0.3">
      <c r="A139" s="67" t="s">
        <v>706</v>
      </c>
      <c r="B139" s="68" t="e">
        <f>SUM(COUNTIFS(#REF!,$B$4,#REF!,B6,Tabla1[[ EVENTO DE INTERES EN SALUD PÚBLICA DE LA MADRE]],"MUERTE MATERNA"),COUNTIFS(#REF!,$B$4,#REF!,B6,Tabla1[[ EVENTO DE INTERES EN SALUD PÚBLICA DE LA MADRE]],"MUERTE Y MORBILIDAD MATERNA EXTREMA"),COUNTIFS(#REF!,$B$4,#REF!,B6,Tabla1[[ EVENTO DE INTERES EN SALUD PÚBLICA DE LA MADRE]],"MORBILIDAD MATERNA EXTREMA"))</f>
        <v>#REF!</v>
      </c>
      <c r="C139" s="68" t="e">
        <f>SUM(COUNTIFS(#REF!,$B$4,#REF!,C6,Tabla1[[ EVENTO DE INTERES EN SALUD PÚBLICA DE LA MADRE]],"MUERTE MATERNA"),COUNTIFS(#REF!,$B$4,#REF!,C6,Tabla1[[ EVENTO DE INTERES EN SALUD PÚBLICA DE LA MADRE]],"MUERTE Y MORBILIDAD MATERNA EXTREMA"),COUNTIFS(#REF!,$B$4,#REF!,C6,Tabla1[[ EVENTO DE INTERES EN SALUD PÚBLICA DE LA MADRE]],"MORBILIDAD MATERNA EXTREMA"))</f>
        <v>#REF!</v>
      </c>
      <c r="D139" s="68" t="e">
        <f>SUM(COUNTIFS(#REF!,$B$4,#REF!,D6,Tabla1[[ EVENTO DE INTERES EN SALUD PÚBLICA DE LA MADRE]],"MUERTE MATERNA"),COUNTIFS(#REF!,$B$4,#REF!,D6,Tabla1[[ EVENTO DE INTERES EN SALUD PÚBLICA DE LA MADRE]],"MUERTE Y MORBILIDAD MATERNA EXTREMA"),COUNTIFS(#REF!,$B$4,#REF!,D6,Tabla1[[ EVENTO DE INTERES EN SALUD PÚBLICA DE LA MADRE]],"MORBILIDAD MATERNA EXTREMA"))</f>
        <v>#REF!</v>
      </c>
      <c r="E139" s="68" t="e">
        <f>SUM(COUNTIFS(#REF!,$B$4,#REF!,E6,Tabla1[[ EVENTO DE INTERES EN SALUD PÚBLICA DE LA MADRE]],"MUERTE MATERNA"),COUNTIFS(#REF!,$B$4,#REF!,E6,Tabla1[[ EVENTO DE INTERES EN SALUD PÚBLICA DE LA MADRE]],"MUERTE Y MORBILIDAD MATERNA EXTREMA"),COUNTIFS(#REF!,$B$4,#REF!,E6,Tabla1[[ EVENTO DE INTERES EN SALUD PÚBLICA DE LA MADRE]],"MORBILIDAD MATERNA EXTREMA"))</f>
        <v>#REF!</v>
      </c>
      <c r="F139" s="68" t="e">
        <f>SUM(COUNTIFS(#REF!,$B$4,#REF!,F6,Tabla1[[ EVENTO DE INTERES EN SALUD PÚBLICA DE LA MADRE]],"MUERTE MATERNA"),COUNTIFS(#REF!,$B$4,#REF!,F6,Tabla1[[ EVENTO DE INTERES EN SALUD PÚBLICA DE LA MADRE]],"MUERTE Y MORBILIDAD MATERNA EXTREMA"),COUNTIFS(#REF!,$B$4,#REF!,F6,Tabla1[[ EVENTO DE INTERES EN SALUD PÚBLICA DE LA MADRE]],"MORBILIDAD MATERNA EXTREMA"))</f>
        <v>#REF!</v>
      </c>
      <c r="G139" s="68" t="e">
        <f>SUM(COUNTIFS(#REF!,$B$4,#REF!,G6,Tabla1[[ EVENTO DE INTERES EN SALUD PÚBLICA DE LA MADRE]],"MUERTE MATERNA"),COUNTIFS(#REF!,$B$4,#REF!,G6,Tabla1[[ EVENTO DE INTERES EN SALUD PÚBLICA DE LA MADRE]],"MUERTE Y MORBILIDAD MATERNA EXTREMA"),COUNTIFS(#REF!,$B$4,#REF!,G6,Tabla1[[ EVENTO DE INTERES EN SALUD PÚBLICA DE LA MADRE]],"MORBILIDAD MATERNA EXTREMA"))</f>
        <v>#REF!</v>
      </c>
      <c r="H139" s="68" t="e">
        <f>SUM(COUNTIFS(#REF!,$B$4,#REF!,H6,Tabla1[[ EVENTO DE INTERES EN SALUD PÚBLICA DE LA MADRE]],"MUERTE MATERNA"),COUNTIFS(#REF!,$B$4,#REF!,H6,Tabla1[[ EVENTO DE INTERES EN SALUD PÚBLICA DE LA MADRE]],"MUERTE Y MORBILIDAD MATERNA EXTREMA"),COUNTIFS(#REF!,$B$4,#REF!,H6,Tabla1[[ EVENTO DE INTERES EN SALUD PÚBLICA DE LA MADRE]],"MORBILIDAD MATERNA EXTREMA"))</f>
        <v>#REF!</v>
      </c>
      <c r="I139" s="68" t="e">
        <f>SUM(COUNTIFS(#REF!,$B$4,#REF!,I6,Tabla1[[ EVENTO DE INTERES EN SALUD PÚBLICA DE LA MADRE]],"MUERTE MATERNA"),COUNTIFS(#REF!,$B$4,#REF!,I6,Tabla1[[ EVENTO DE INTERES EN SALUD PÚBLICA DE LA MADRE]],"MUERTE Y MORBILIDAD MATERNA EXTREMA"),COUNTIFS(#REF!,$B$4,#REF!,I6,Tabla1[[ EVENTO DE INTERES EN SALUD PÚBLICA DE LA MADRE]],"MORBILIDAD MATERNA EXTREMA"))</f>
        <v>#REF!</v>
      </c>
      <c r="J139" s="68" t="e">
        <f>SUM(COUNTIFS(#REF!,$B$4,#REF!,J6,Tabla1[[ EVENTO DE INTERES EN SALUD PÚBLICA DE LA MADRE]],"MUERTE MATERNA"),COUNTIFS(#REF!,$B$4,#REF!,J6,Tabla1[[ EVENTO DE INTERES EN SALUD PÚBLICA DE LA MADRE]],"MUERTE Y MORBILIDAD MATERNA EXTREMA"),COUNTIFS(#REF!,$B$4,#REF!,J6,Tabla1[[ EVENTO DE INTERES EN SALUD PÚBLICA DE LA MADRE]],"MORBILIDAD MATERNA EXTREMA"))</f>
        <v>#REF!</v>
      </c>
      <c r="K139" s="68" t="e">
        <f>SUM(COUNTIFS(#REF!,$B$4,#REF!,K6,Tabla1[[ EVENTO DE INTERES EN SALUD PÚBLICA DE LA MADRE]],"MUERTE MATERNA"),COUNTIFS(#REF!,$B$4,#REF!,K6,Tabla1[[ EVENTO DE INTERES EN SALUD PÚBLICA DE LA MADRE]],"MUERTE Y MORBILIDAD MATERNA EXTREMA"),COUNTIFS(#REF!,$B$4,#REF!,K6,Tabla1[[ EVENTO DE INTERES EN SALUD PÚBLICA DE LA MADRE]],"MORBILIDAD MATERNA EXTREMA"))</f>
        <v>#REF!</v>
      </c>
      <c r="L139" s="68" t="e">
        <f>SUM(COUNTIFS(#REF!,$B$4,#REF!,L6,Tabla1[[ EVENTO DE INTERES EN SALUD PÚBLICA DE LA MADRE]],"MUERTE MATERNA"),COUNTIFS(#REF!,$B$4,#REF!,L6,Tabla1[[ EVENTO DE INTERES EN SALUD PÚBLICA DE LA MADRE]],"MUERTE Y MORBILIDAD MATERNA EXTREMA"),COUNTIFS(#REF!,$B$4,#REF!,L6,Tabla1[[ EVENTO DE INTERES EN SALUD PÚBLICA DE LA MADRE]],"MORBILIDAD MATERNA EXTREMA"))</f>
        <v>#REF!</v>
      </c>
      <c r="M139" s="68" t="e">
        <f>SUM(COUNTIFS(#REF!,$B$4,#REF!,M6,Tabla1[[ EVENTO DE INTERES EN SALUD PÚBLICA DE LA MADRE]],"MUERTE MATERNA"),COUNTIFS(#REF!,$B$4,#REF!,M6,Tabla1[[ EVENTO DE INTERES EN SALUD PÚBLICA DE LA MADRE]],"MUERTE Y MORBILIDAD MATERNA EXTREMA"),COUNTIFS(#REF!,$B$4,#REF!,M6,Tabla1[[ EVENTO DE INTERES EN SALUD PÚBLICA DE LA MADRE]],"MORBILIDAD MATERNA EXTREMA"))</f>
        <v>#REF!</v>
      </c>
      <c r="N139" s="102" t="e">
        <f>SUM(B139:M139)</f>
        <v>#REF!</v>
      </c>
    </row>
    <row r="140" spans="1:14" ht="15.75" thickBot="1" x14ac:dyDescent="0.3">
      <c r="A140" s="180" t="s">
        <v>704</v>
      </c>
      <c r="B140" s="219" t="e">
        <f>IF(B$139=0,"",SUM(B136/B139))</f>
        <v>#REF!</v>
      </c>
      <c r="C140" s="220"/>
      <c r="D140" s="220"/>
      <c r="E140" s="220"/>
      <c r="F140" s="220"/>
      <c r="G140" s="220"/>
      <c r="H140" s="220"/>
      <c r="I140" s="220"/>
      <c r="J140" s="220"/>
      <c r="K140" s="220"/>
      <c r="L140" s="220"/>
      <c r="M140" s="220"/>
      <c r="N140" s="181" t="e">
        <f>IF(N$139=0,"",SUM(N136/N139))</f>
        <v>#REF!</v>
      </c>
    </row>
    <row r="141" spans="1:14" x14ac:dyDescent="0.25">
      <c r="A141" s="69"/>
    </row>
    <row r="143" spans="1:14" x14ac:dyDescent="0.25">
      <c r="A143" s="69" t="s">
        <v>420</v>
      </c>
      <c r="B143" s="68" t="s">
        <v>379</v>
      </c>
      <c r="C143" s="68" t="s">
        <v>380</v>
      </c>
      <c r="D143" s="68" t="s">
        <v>381</v>
      </c>
      <c r="E143" s="68" t="s">
        <v>382</v>
      </c>
      <c r="F143" s="68" t="s">
        <v>383</v>
      </c>
      <c r="G143" s="68" t="s">
        <v>384</v>
      </c>
      <c r="H143" s="68" t="s">
        <v>385</v>
      </c>
      <c r="I143" s="68" t="s">
        <v>386</v>
      </c>
      <c r="J143" s="68" t="s">
        <v>387</v>
      </c>
      <c r="K143" s="68" t="s">
        <v>388</v>
      </c>
      <c r="L143" s="68" t="s">
        <v>389</v>
      </c>
      <c r="M143" s="68" t="s">
        <v>390</v>
      </c>
      <c r="N143" s="79" t="s">
        <v>434</v>
      </c>
    </row>
    <row r="144" spans="1:14" ht="38.25" x14ac:dyDescent="0.25">
      <c r="A144" s="78" t="s">
        <v>426</v>
      </c>
      <c r="B144" s="68" t="e">
        <f>COUNTIFS(#REF!,B4,#REF!,B6,#REF!,"&gt;0")</f>
        <v>#REF!</v>
      </c>
      <c r="C144" s="68" t="e">
        <f>COUNTIFS(#REF!,B4,#REF!,C6,#REF!,"&gt;0")</f>
        <v>#REF!</v>
      </c>
      <c r="D144" s="68" t="e">
        <f>COUNTIFS(#REF!,B4,#REF!,D6,#REF!,"&gt;0")</f>
        <v>#REF!</v>
      </c>
      <c r="E144" s="68" t="e">
        <f>COUNTIFS(#REF!,B4,#REF!,E6,#REF!,"&gt;0")</f>
        <v>#REF!</v>
      </c>
      <c r="F144" s="68" t="e">
        <f>COUNTIFS(#REF!,B4,#REF!,F6,#REF!,"&gt;0")</f>
        <v>#REF!</v>
      </c>
      <c r="G144" s="68" t="e">
        <f>COUNTIFS(#REF!,B4,#REF!,G6,#REF!,"&gt;0")</f>
        <v>#REF!</v>
      </c>
      <c r="H144" s="68" t="e">
        <f>COUNTIFS(#REF!,B4,#REF!,H6,#REF!,"&gt;0")</f>
        <v>#REF!</v>
      </c>
      <c r="I144" s="68" t="e">
        <f>COUNTIFS(#REF!,B4,#REF!,I6,#REF!,"&gt;0")</f>
        <v>#REF!</v>
      </c>
      <c r="J144" s="68" t="e">
        <f>COUNTIFS(#REF!,B4,#REF!,J6,#REF!,"&gt;0")</f>
        <v>#REF!</v>
      </c>
      <c r="K144" s="68" t="e">
        <f>COUNTIFS(#REF!,B4,#REF!,K6,#REF!,"&gt;0")</f>
        <v>#REF!</v>
      </c>
      <c r="L144" s="68" t="e">
        <f>COUNTIFS(#REF!,B4,#REF!,L6,#REF!,"&gt;0")</f>
        <v>#REF!</v>
      </c>
      <c r="M144" s="68" t="e">
        <f>COUNTIFS(#REF!,B4,#REF!,M6,#REF!,"&gt;0")</f>
        <v>#REF!</v>
      </c>
      <c r="N144" s="68" t="e">
        <f>SUM(B144:M144)</f>
        <v>#REF!</v>
      </c>
    </row>
    <row r="145" spans="1:14" ht="28.5" customHeight="1" x14ac:dyDescent="0.25">
      <c r="A145" s="76" t="s">
        <v>429</v>
      </c>
      <c r="B145" s="71" t="e">
        <f>IF(B$40=0,"",SUM(B144/B$40))</f>
        <v>#REF!</v>
      </c>
      <c r="C145" s="71" t="e">
        <f t="shared" ref="C145:N145" si="46">IF(C40=0,"",SUM(C144/C40))</f>
        <v>#REF!</v>
      </c>
      <c r="D145" s="71" t="e">
        <f t="shared" si="46"/>
        <v>#REF!</v>
      </c>
      <c r="E145" s="71" t="e">
        <f t="shared" si="46"/>
        <v>#REF!</v>
      </c>
      <c r="F145" s="71" t="e">
        <f t="shared" si="46"/>
        <v>#REF!</v>
      </c>
      <c r="G145" s="71" t="e">
        <f t="shared" si="46"/>
        <v>#REF!</v>
      </c>
      <c r="H145" s="71" t="e">
        <f t="shared" si="46"/>
        <v>#REF!</v>
      </c>
      <c r="I145" s="71" t="e">
        <f t="shared" si="46"/>
        <v>#REF!</v>
      </c>
      <c r="J145" s="71" t="e">
        <f t="shared" si="46"/>
        <v>#REF!</v>
      </c>
      <c r="K145" s="71" t="e">
        <f t="shared" si="46"/>
        <v>#REF!</v>
      </c>
      <c r="L145" s="71" t="e">
        <f t="shared" si="46"/>
        <v>#REF!</v>
      </c>
      <c r="M145" s="71" t="e">
        <f t="shared" si="46"/>
        <v>#REF!</v>
      </c>
      <c r="N145" s="71" t="e">
        <f t="shared" si="46"/>
        <v>#REF!</v>
      </c>
    </row>
    <row r="146" spans="1:14" ht="38.25" x14ac:dyDescent="0.25">
      <c r="A146" s="78" t="s">
        <v>427</v>
      </c>
      <c r="B146" s="68" t="e">
        <f>COUNTIFS(#REF!,B4,#REF!,B6,#REF!,"&gt;0")</f>
        <v>#REF!</v>
      </c>
      <c r="C146" s="68" t="e">
        <f>COUNTIFS(#REF!,B4,#REF!,C6,#REF!,"&gt;0")</f>
        <v>#REF!</v>
      </c>
      <c r="D146" s="68" t="e">
        <f>COUNTIFS(#REF!,B4,#REF!,D6,#REF!,"&gt;0")</f>
        <v>#REF!</v>
      </c>
      <c r="E146" s="68" t="e">
        <f>COUNTIFS(#REF!,B4,#REF!,E6,#REF!,"&gt;0")</f>
        <v>#REF!</v>
      </c>
      <c r="F146" s="68" t="e">
        <f>COUNTIFS(#REF!,B4,#REF!,F6,#REF!,"&gt;0")</f>
        <v>#REF!</v>
      </c>
      <c r="G146" s="68" t="e">
        <f>COUNTIFS(#REF!,B4,#REF!,G6,#REF!,"&gt;0")</f>
        <v>#REF!</v>
      </c>
      <c r="H146" s="68" t="e">
        <f>COUNTIFS(#REF!,B4,#REF!,H6,#REF!,"&gt;0")</f>
        <v>#REF!</v>
      </c>
      <c r="I146" s="68" t="e">
        <f>COUNTIFS(#REF!,B4,#REF!,I6,#REF!,"&gt;0")</f>
        <v>#REF!</v>
      </c>
      <c r="J146" s="68" t="e">
        <f>COUNTIFS(#REF!,B4,#REF!,J6,#REF!,"&gt;0")</f>
        <v>#REF!</v>
      </c>
      <c r="K146" s="68" t="e">
        <f>COUNTIFS(#REF!,B4,#REF!,K6,#REF!,"&gt;0")</f>
        <v>#REF!</v>
      </c>
      <c r="L146" s="68" t="e">
        <f>COUNTIFS(#REF!,B4,#REF!,L6,#REF!,"&gt;0")</f>
        <v>#REF!</v>
      </c>
      <c r="M146" s="68" t="e">
        <f>COUNTIFS(#REF!,B4,#REF!,M6,#REF!,"&gt;0")</f>
        <v>#REF!</v>
      </c>
      <c r="N146" s="68" t="e">
        <f>SUM(B146:M146)</f>
        <v>#REF!</v>
      </c>
    </row>
    <row r="147" spans="1:14" ht="30.75" customHeight="1" x14ac:dyDescent="0.25">
      <c r="A147" s="76" t="s">
        <v>430</v>
      </c>
      <c r="B147" s="71" t="e">
        <f>IF(B$40=0,"",SUM(B146/B$40))</f>
        <v>#REF!</v>
      </c>
      <c r="C147" s="71" t="e">
        <f t="shared" ref="C147:N147" si="47">IF(C$40=0,"",SUM(C146/C$40))</f>
        <v>#REF!</v>
      </c>
      <c r="D147" s="71" t="e">
        <f t="shared" si="47"/>
        <v>#REF!</v>
      </c>
      <c r="E147" s="71" t="e">
        <f t="shared" si="47"/>
        <v>#REF!</v>
      </c>
      <c r="F147" s="71" t="e">
        <f t="shared" si="47"/>
        <v>#REF!</v>
      </c>
      <c r="G147" s="71" t="e">
        <f t="shared" si="47"/>
        <v>#REF!</v>
      </c>
      <c r="H147" s="71" t="e">
        <f t="shared" si="47"/>
        <v>#REF!</v>
      </c>
      <c r="I147" s="71" t="e">
        <f t="shared" si="47"/>
        <v>#REF!</v>
      </c>
      <c r="J147" s="71" t="e">
        <f t="shared" si="47"/>
        <v>#REF!</v>
      </c>
      <c r="K147" s="71" t="e">
        <f t="shared" si="47"/>
        <v>#REF!</v>
      </c>
      <c r="L147" s="71" t="e">
        <f t="shared" si="47"/>
        <v>#REF!</v>
      </c>
      <c r="M147" s="71" t="e">
        <f t="shared" si="47"/>
        <v>#REF!</v>
      </c>
      <c r="N147" s="71" t="e">
        <f t="shared" si="47"/>
        <v>#REF!</v>
      </c>
    </row>
    <row r="148" spans="1:14" ht="25.5" x14ac:dyDescent="0.25">
      <c r="A148" s="78" t="s">
        <v>418</v>
      </c>
      <c r="B148" s="68" t="e">
        <f>COUNTIFS(#REF!,B4,#REF!,B6,#REF!,"I TRIM")</f>
        <v>#REF!</v>
      </c>
      <c r="C148" s="68" t="e">
        <f>COUNTIFS(#REF!,B4,#REF!,C6,#REF!,"I TRIM")</f>
        <v>#REF!</v>
      </c>
      <c r="D148" s="68" t="e">
        <f>COUNTIFS(#REF!,B4,#REF!,D6,#REF!,"I TRIM")</f>
        <v>#REF!</v>
      </c>
      <c r="E148" s="68" t="e">
        <f>COUNTIFS(#REF!,B4,#REF!,E6,#REF!,"I TRIM")</f>
        <v>#REF!</v>
      </c>
      <c r="F148" s="68" t="e">
        <f>COUNTIFS(#REF!,B4,#REF!,F6,#REF!,"I TRIM")</f>
        <v>#REF!</v>
      </c>
      <c r="G148" s="68" t="e">
        <f>COUNTIFS(#REF!,B4,#REF!,G6,#REF!,"I TRIM")</f>
        <v>#REF!</v>
      </c>
      <c r="H148" s="68" t="e">
        <f>COUNTIFS(#REF!,B4,#REF!,H6,#REF!,"I TRIM")</f>
        <v>#REF!</v>
      </c>
      <c r="I148" s="68" t="e">
        <f>COUNTIFS(#REF!,B4,#REF!,I6,#REF!,"I TRIM")</f>
        <v>#REF!</v>
      </c>
      <c r="J148" s="68" t="e">
        <f>COUNTIFS(#REF!,B4,#REF!,J6,#REF!,"I TRIM")</f>
        <v>#REF!</v>
      </c>
      <c r="K148" s="68" t="e">
        <f>COUNTIFS(#REF!,B4,#REF!,K6,#REF!,"I TRIM")</f>
        <v>#REF!</v>
      </c>
      <c r="L148" s="68" t="e">
        <f>COUNTIFS(#REF!,B4,#REF!,L6,#REF!,"I TRIM")</f>
        <v>#REF!</v>
      </c>
      <c r="M148" s="68" t="e">
        <f>COUNTIFS(#REF!,B4,#REF!,M6,#REF!,"I TRIM")</f>
        <v>#REF!</v>
      </c>
      <c r="N148" s="68" t="e">
        <f>SUM(B148:M148)</f>
        <v>#REF!</v>
      </c>
    </row>
    <row r="149" spans="1:14" ht="23.25" customHeight="1" x14ac:dyDescent="0.25">
      <c r="A149" s="76" t="s">
        <v>431</v>
      </c>
      <c r="B149" s="71" t="e">
        <f>IF(B$40=0,"",SUM(B148/B$40))</f>
        <v>#REF!</v>
      </c>
      <c r="C149" s="71" t="e">
        <f t="shared" ref="C149:N149" si="48">IF(C$40=0,"",SUM(C148/C$40))</f>
        <v>#REF!</v>
      </c>
      <c r="D149" s="71" t="e">
        <f t="shared" si="48"/>
        <v>#REF!</v>
      </c>
      <c r="E149" s="71" t="e">
        <f t="shared" si="48"/>
        <v>#REF!</v>
      </c>
      <c r="F149" s="71" t="e">
        <f t="shared" si="48"/>
        <v>#REF!</v>
      </c>
      <c r="G149" s="71" t="e">
        <f t="shared" si="48"/>
        <v>#REF!</v>
      </c>
      <c r="H149" s="71" t="e">
        <f t="shared" si="48"/>
        <v>#REF!</v>
      </c>
      <c r="I149" s="71" t="e">
        <f t="shared" si="48"/>
        <v>#REF!</v>
      </c>
      <c r="J149" s="71" t="e">
        <f t="shared" si="48"/>
        <v>#REF!</v>
      </c>
      <c r="K149" s="71" t="e">
        <f t="shared" si="48"/>
        <v>#REF!</v>
      </c>
      <c r="L149" s="71" t="e">
        <f t="shared" si="48"/>
        <v>#REF!</v>
      </c>
      <c r="M149" s="71" t="e">
        <f t="shared" si="48"/>
        <v>#REF!</v>
      </c>
      <c r="N149" s="71" t="e">
        <f t="shared" si="48"/>
        <v>#REF!</v>
      </c>
    </row>
    <row r="150" spans="1:14" ht="25.5" x14ac:dyDescent="0.25">
      <c r="A150" s="78" t="s">
        <v>419</v>
      </c>
      <c r="B150" s="68" t="e">
        <f>COUNTIFS(#REF!,B4,#REF!,B6,#REF!,"II TRIM")</f>
        <v>#REF!</v>
      </c>
      <c r="C150" s="68" t="e">
        <f>COUNTIFS(#REF!,B4,#REF!,C6,#REF!,"II TRIM")</f>
        <v>#REF!</v>
      </c>
      <c r="D150" s="68" t="e">
        <f>COUNTIFS(#REF!,B4,#REF!,D6,#REF!,"II TRIM")</f>
        <v>#REF!</v>
      </c>
      <c r="E150" s="68" t="e">
        <f>COUNTIFS(#REF!,B4,#REF!,E6,#REF!,"II TRIM")</f>
        <v>#REF!</v>
      </c>
      <c r="F150" s="68" t="e">
        <f>COUNTIFS(#REF!,B4,#REF!,F6,#REF!,"II TRIM")</f>
        <v>#REF!</v>
      </c>
      <c r="G150" s="68" t="e">
        <f>COUNTIFS(#REF!,B4,#REF!,G6,#REF!,"II TRIM")</f>
        <v>#REF!</v>
      </c>
      <c r="H150" s="68" t="e">
        <f>COUNTIFS(#REF!,B4,#REF!,H6,#REF!,"II TRIM")</f>
        <v>#REF!</v>
      </c>
      <c r="I150" s="68" t="e">
        <f>COUNTIFS(#REF!,B4,#REF!,I6,#REF!,"II TRIM")</f>
        <v>#REF!</v>
      </c>
      <c r="J150" s="68" t="e">
        <f>COUNTIFS(#REF!,B4,#REF!,J6,#REF!,"II TRIM")</f>
        <v>#REF!</v>
      </c>
      <c r="K150" s="68" t="e">
        <f>COUNTIFS(#REF!,B4,#REF!,K6,#REF!,"II TRIM")</f>
        <v>#REF!</v>
      </c>
      <c r="L150" s="68" t="e">
        <f>COUNTIFS(#REF!,B4,#REF!,L6,#REF!,"II TRIM")</f>
        <v>#REF!</v>
      </c>
      <c r="M150" s="68" t="e">
        <f>COUNTIFS(#REF!,B4,#REF!,M6,#REF!,"II TRIM")</f>
        <v>#REF!</v>
      </c>
      <c r="N150" s="68" t="e">
        <f>SUM(B150:M150)</f>
        <v>#REF!</v>
      </c>
    </row>
    <row r="151" spans="1:14" ht="25.5" x14ac:dyDescent="0.25">
      <c r="A151" s="76" t="s">
        <v>432</v>
      </c>
      <c r="B151" s="71" t="e">
        <f>IF(B$40=0,"",SUM(B150/B$40))</f>
        <v>#REF!</v>
      </c>
      <c r="C151" s="71" t="e">
        <f t="shared" ref="C151:N151" si="49">IF(C$40=0,"",SUM(C150/C$40))</f>
        <v>#REF!</v>
      </c>
      <c r="D151" s="71" t="e">
        <f t="shared" si="49"/>
        <v>#REF!</v>
      </c>
      <c r="E151" s="71" t="e">
        <f t="shared" si="49"/>
        <v>#REF!</v>
      </c>
      <c r="F151" s="71" t="e">
        <f t="shared" si="49"/>
        <v>#REF!</v>
      </c>
      <c r="G151" s="71" t="e">
        <f t="shared" si="49"/>
        <v>#REF!</v>
      </c>
      <c r="H151" s="71" t="e">
        <f t="shared" si="49"/>
        <v>#REF!</v>
      </c>
      <c r="I151" s="71" t="e">
        <f t="shared" si="49"/>
        <v>#REF!</v>
      </c>
      <c r="J151" s="71" t="e">
        <f t="shared" si="49"/>
        <v>#REF!</v>
      </c>
      <c r="K151" s="71" t="e">
        <f t="shared" si="49"/>
        <v>#REF!</v>
      </c>
      <c r="L151" s="71" t="e">
        <f t="shared" si="49"/>
        <v>#REF!</v>
      </c>
      <c r="M151" s="71" t="e">
        <f t="shared" si="49"/>
        <v>#REF!</v>
      </c>
      <c r="N151" s="71" t="e">
        <f t="shared" si="49"/>
        <v>#REF!</v>
      </c>
    </row>
    <row r="152" spans="1:14" ht="25.5" x14ac:dyDescent="0.25">
      <c r="A152" s="78" t="s">
        <v>428</v>
      </c>
      <c r="B152" s="68" t="e">
        <f>COUNTIFS(#REF!,B4,#REF!,B6,#REF!,"III TRIM")</f>
        <v>#REF!</v>
      </c>
      <c r="C152" s="68" t="e">
        <f>COUNTIFS(#REF!,B4,#REF!,C6,#REF!,"III TRIM")</f>
        <v>#REF!</v>
      </c>
      <c r="D152" s="68" t="e">
        <f>COUNTIFS(#REF!,B4,#REF!,D6,#REF!,"III TRIM")</f>
        <v>#REF!</v>
      </c>
      <c r="E152" s="68" t="e">
        <f>COUNTIFS(#REF!,B4,#REF!,E6,#REF!,"III TRIM")</f>
        <v>#REF!</v>
      </c>
      <c r="F152" s="68" t="e">
        <f>COUNTIFS(#REF!,B4,#REF!,F6,#REF!,"III TRIM")</f>
        <v>#REF!</v>
      </c>
      <c r="G152" s="68" t="e">
        <f>COUNTIFS(#REF!,B4,#REF!,G6,#REF!,"III TRIM")</f>
        <v>#REF!</v>
      </c>
      <c r="H152" s="68" t="e">
        <f>COUNTIFS(#REF!,B4,#REF!,H6,#REF!,"III TRIM")</f>
        <v>#REF!</v>
      </c>
      <c r="I152" s="68" t="e">
        <f>COUNTIFS(#REF!,B4,#REF!,I6,#REF!,"III TRIM")</f>
        <v>#REF!</v>
      </c>
      <c r="J152" s="68" t="e">
        <f>COUNTIFS(#REF!,B4,#REF!,J6,#REF!,"III TRIM")</f>
        <v>#REF!</v>
      </c>
      <c r="K152" s="68" t="e">
        <f>COUNTIFS(#REF!,B4,#REF!,K6,#REF!,"III TRIM")</f>
        <v>#REF!</v>
      </c>
      <c r="L152" s="68" t="e">
        <f>COUNTIFS(#REF!,B4,#REF!,L6,#REF!,"III TRIM")</f>
        <v>#REF!</v>
      </c>
      <c r="M152" s="68" t="e">
        <f>COUNTIFS(#REF!,B4,#REF!,M6,#REF!,"III TRIM")</f>
        <v>#REF!</v>
      </c>
      <c r="N152" s="68" t="e">
        <f>SUM(B152:M152)</f>
        <v>#REF!</v>
      </c>
    </row>
    <row r="153" spans="1:14" ht="25.5" x14ac:dyDescent="0.25">
      <c r="A153" s="76" t="s">
        <v>433</v>
      </c>
      <c r="B153" s="71" t="e">
        <f>IF(B$40=0,"",SUM(B152/B$40))</f>
        <v>#REF!</v>
      </c>
      <c r="C153" s="71" t="e">
        <f t="shared" ref="C153:N153" si="50">IF(C$40=0,"",SUM(C152/C$40))</f>
        <v>#REF!</v>
      </c>
      <c r="D153" s="71" t="e">
        <f t="shared" si="50"/>
        <v>#REF!</v>
      </c>
      <c r="E153" s="71" t="e">
        <f t="shared" si="50"/>
        <v>#REF!</v>
      </c>
      <c r="F153" s="71" t="e">
        <f t="shared" si="50"/>
        <v>#REF!</v>
      </c>
      <c r="G153" s="71" t="e">
        <f t="shared" si="50"/>
        <v>#REF!</v>
      </c>
      <c r="H153" s="71" t="e">
        <f t="shared" si="50"/>
        <v>#REF!</v>
      </c>
      <c r="I153" s="71" t="e">
        <f t="shared" si="50"/>
        <v>#REF!</v>
      </c>
      <c r="J153" s="71" t="e">
        <f t="shared" si="50"/>
        <v>#REF!</v>
      </c>
      <c r="K153" s="71" t="e">
        <f t="shared" si="50"/>
        <v>#REF!</v>
      </c>
      <c r="L153" s="71" t="e">
        <f t="shared" si="50"/>
        <v>#REF!</v>
      </c>
      <c r="M153" s="71" t="e">
        <f t="shared" si="50"/>
        <v>#REF!</v>
      </c>
      <c r="N153" s="71" t="e">
        <f t="shared" si="50"/>
        <v>#REF!</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28:C28"/>
    <mergeCell ref="D28:E28"/>
    <mergeCell ref="C29:C30"/>
    <mergeCell ref="E29:E30"/>
    <mergeCell ref="C23:C24"/>
    <mergeCell ref="E23:E24"/>
    <mergeCell ref="B25:C25"/>
    <mergeCell ref="D25:E25"/>
    <mergeCell ref="C26:C27"/>
    <mergeCell ref="E26:E27"/>
    <mergeCell ref="B19:C19"/>
    <mergeCell ref="D19:E19"/>
    <mergeCell ref="C20:C21"/>
    <mergeCell ref="E20:E21"/>
    <mergeCell ref="B22:C22"/>
    <mergeCell ref="D22:E22"/>
    <mergeCell ref="C14:C15"/>
    <mergeCell ref="C17:C18"/>
    <mergeCell ref="E14:E15"/>
    <mergeCell ref="B13:C13"/>
    <mergeCell ref="D13:E13"/>
    <mergeCell ref="E17:E18"/>
    <mergeCell ref="B16:C16"/>
    <mergeCell ref="D16:E16"/>
    <mergeCell ref="B140:M140"/>
    <mergeCell ref="N35:N36"/>
    <mergeCell ref="B133:M133"/>
    <mergeCell ref="B135:M135"/>
    <mergeCell ref="B137:M137"/>
    <mergeCell ref="B138:M138"/>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MP8"/>
  <sheetViews>
    <sheetView tabSelected="1" zoomScale="70" zoomScaleNormal="70" zoomScaleSheetLayoutView="76" workbookViewId="0">
      <pane ySplit="1" topLeftCell="A2" activePane="bottomLeft" state="frozen"/>
      <selection pane="bottomLeft" activeCell="P15" sqref="P15"/>
    </sheetView>
  </sheetViews>
  <sheetFormatPr baseColWidth="10" defaultColWidth="11.42578125" defaultRowHeight="12.7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16384" width="11.42578125" style="1"/>
  </cols>
  <sheetData>
    <row r="1" spans="1:354" ht="93" customHeight="1" x14ac:dyDescent="0.25">
      <c r="A1" s="9" t="s">
        <v>607</v>
      </c>
      <c r="B1" s="8" t="s">
        <v>869</v>
      </c>
      <c r="C1" s="8" t="s">
        <v>32</v>
      </c>
      <c r="D1" s="7" t="s">
        <v>650</v>
      </c>
      <c r="E1" s="8" t="s">
        <v>102</v>
      </c>
      <c r="F1" s="8" t="s">
        <v>21</v>
      </c>
      <c r="G1" s="8" t="s">
        <v>0</v>
      </c>
      <c r="H1" s="8" t="s">
        <v>1</v>
      </c>
      <c r="I1" s="8" t="s">
        <v>2</v>
      </c>
      <c r="J1" s="8" t="s">
        <v>3</v>
      </c>
      <c r="K1" s="8" t="s">
        <v>19</v>
      </c>
      <c r="L1" s="8" t="s">
        <v>20</v>
      </c>
      <c r="M1" s="8" t="s">
        <v>4</v>
      </c>
      <c r="N1" s="8" t="s">
        <v>871</v>
      </c>
      <c r="O1" s="8" t="s">
        <v>309</v>
      </c>
      <c r="P1" s="21" t="s">
        <v>46</v>
      </c>
      <c r="Q1" s="8" t="s">
        <v>614</v>
      </c>
      <c r="R1" s="20" t="s">
        <v>172</v>
      </c>
      <c r="S1" s="7" t="s">
        <v>29</v>
      </c>
      <c r="T1" s="7" t="s">
        <v>6</v>
      </c>
      <c r="U1" s="8" t="s">
        <v>147</v>
      </c>
      <c r="V1" s="7" t="s">
        <v>7</v>
      </c>
      <c r="W1" s="8" t="s">
        <v>52</v>
      </c>
      <c r="X1" s="8" t="s">
        <v>200</v>
      </c>
      <c r="Y1" s="8" t="s">
        <v>649</v>
      </c>
      <c r="Z1" s="8" t="s">
        <v>8</v>
      </c>
      <c r="AA1" s="7" t="s">
        <v>25</v>
      </c>
      <c r="AB1" s="8" t="s">
        <v>344</v>
      </c>
      <c r="AC1" s="7" t="s">
        <v>9</v>
      </c>
      <c r="AD1" s="19" t="s">
        <v>364</v>
      </c>
      <c r="AE1" s="7" t="s">
        <v>151</v>
      </c>
      <c r="AF1" s="7" t="s">
        <v>10</v>
      </c>
      <c r="AG1" s="7" t="s">
        <v>26</v>
      </c>
      <c r="AH1" s="7" t="s">
        <v>150</v>
      </c>
      <c r="AI1" s="8" t="s">
        <v>30</v>
      </c>
      <c r="AJ1" s="8" t="s">
        <v>346</v>
      </c>
      <c r="AK1" s="21" t="s">
        <v>53</v>
      </c>
      <c r="AL1" s="17" t="s">
        <v>448</v>
      </c>
      <c r="AM1" s="17" t="s">
        <v>449</v>
      </c>
      <c r="AN1" s="17" t="s">
        <v>450</v>
      </c>
      <c r="AO1" s="17" t="s">
        <v>451</v>
      </c>
      <c r="AP1" s="17" t="s">
        <v>452</v>
      </c>
      <c r="AQ1" s="17" t="s">
        <v>453</v>
      </c>
      <c r="AR1" s="17" t="s">
        <v>123</v>
      </c>
      <c r="AS1" s="17" t="s">
        <v>454</v>
      </c>
      <c r="AT1" s="17" t="s">
        <v>455</v>
      </c>
      <c r="AU1" s="18" t="s">
        <v>148</v>
      </c>
      <c r="AV1" s="17" t="s">
        <v>469</v>
      </c>
      <c r="AW1" s="17" t="s">
        <v>456</v>
      </c>
      <c r="AX1" s="17" t="s">
        <v>464</v>
      </c>
      <c r="AY1" s="17" t="s">
        <v>458</v>
      </c>
      <c r="AZ1" s="17" t="s">
        <v>459</v>
      </c>
      <c r="BA1" s="7" t="s">
        <v>153</v>
      </c>
      <c r="BB1" s="7" t="s">
        <v>154</v>
      </c>
      <c r="BC1" s="7" t="s">
        <v>155</v>
      </c>
      <c r="BD1" s="7" t="s">
        <v>156</v>
      </c>
      <c r="BE1" s="8" t="s">
        <v>168</v>
      </c>
      <c r="BF1" s="8" t="s">
        <v>350</v>
      </c>
      <c r="BG1" s="7" t="s">
        <v>159</v>
      </c>
      <c r="BH1" s="7" t="s">
        <v>348</v>
      </c>
      <c r="BI1" s="7" t="s">
        <v>158</v>
      </c>
      <c r="BJ1" s="7" t="s">
        <v>345</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696</v>
      </c>
      <c r="BY1" s="58" t="s">
        <v>157</v>
      </c>
      <c r="BZ1" s="8" t="s">
        <v>605</v>
      </c>
      <c r="CA1" s="8" t="s">
        <v>287</v>
      </c>
      <c r="CB1" s="7" t="s">
        <v>122</v>
      </c>
      <c r="CC1" s="21" t="s">
        <v>17</v>
      </c>
      <c r="CD1" s="21" t="s">
        <v>60</v>
      </c>
      <c r="CE1" s="7" t="s">
        <v>61</v>
      </c>
      <c r="CF1" s="8" t="s">
        <v>483</v>
      </c>
      <c r="CG1" s="21" t="s">
        <v>475</v>
      </c>
      <c r="CH1" s="21" t="s">
        <v>474</v>
      </c>
      <c r="CI1" s="21" t="s">
        <v>476</v>
      </c>
      <c r="CJ1" s="10" t="s">
        <v>62</v>
      </c>
      <c r="CK1" s="8" t="s">
        <v>484</v>
      </c>
      <c r="CL1" s="21" t="s">
        <v>477</v>
      </c>
      <c r="CM1" s="21" t="s">
        <v>478</v>
      </c>
      <c r="CN1" s="21" t="s">
        <v>479</v>
      </c>
      <c r="CO1" s="21" t="s">
        <v>480</v>
      </c>
      <c r="CP1" s="7" t="s">
        <v>134</v>
      </c>
      <c r="CQ1" s="7" t="s">
        <v>135</v>
      </c>
      <c r="CR1" s="21" t="s">
        <v>149</v>
      </c>
      <c r="CS1" s="8" t="s">
        <v>165</v>
      </c>
      <c r="CT1" s="7" t="s">
        <v>166</v>
      </c>
      <c r="CU1" s="21" t="s">
        <v>173</v>
      </c>
      <c r="CV1" s="7" t="s">
        <v>141</v>
      </c>
      <c r="CW1" s="7" t="s">
        <v>146</v>
      </c>
      <c r="CX1" s="7" t="s">
        <v>142</v>
      </c>
      <c r="CY1" s="7" t="s">
        <v>143</v>
      </c>
      <c r="CZ1" s="21" t="s">
        <v>174</v>
      </c>
      <c r="DA1" s="8" t="s">
        <v>342</v>
      </c>
      <c r="DB1" s="8" t="s">
        <v>343</v>
      </c>
      <c r="DC1" s="20" t="s">
        <v>63</v>
      </c>
      <c r="DD1" s="20" t="s">
        <v>64</v>
      </c>
      <c r="DE1" s="20" t="s">
        <v>65</v>
      </c>
      <c r="DF1" s="20" t="s">
        <v>66</v>
      </c>
      <c r="DG1" s="20" t="s">
        <v>67</v>
      </c>
      <c r="DH1" s="20" t="s">
        <v>68</v>
      </c>
      <c r="DI1" s="20" t="s">
        <v>69</v>
      </c>
      <c r="DJ1" s="20" t="s">
        <v>70</v>
      </c>
      <c r="DK1" s="20" t="s">
        <v>71</v>
      </c>
      <c r="DL1" s="20" t="s">
        <v>72</v>
      </c>
      <c r="DM1" s="20" t="s">
        <v>314</v>
      </c>
      <c r="DN1" s="20" t="s">
        <v>613</v>
      </c>
      <c r="DO1" s="152" t="s">
        <v>702</v>
      </c>
      <c r="DP1" s="152" t="s">
        <v>688</v>
      </c>
      <c r="DQ1" s="178" t="s">
        <v>697</v>
      </c>
      <c r="DR1" s="21" t="s">
        <v>48</v>
      </c>
      <c r="DS1" s="96" t="s">
        <v>22</v>
      </c>
      <c r="DT1" s="21" t="s">
        <v>315</v>
      </c>
      <c r="DU1" s="21" t="s">
        <v>288</v>
      </c>
      <c r="DV1" s="21" t="s">
        <v>289</v>
      </c>
      <c r="DW1" s="21" t="s">
        <v>43</v>
      </c>
      <c r="DX1" s="21" t="s">
        <v>33</v>
      </c>
      <c r="DY1" s="21" t="s">
        <v>51</v>
      </c>
      <c r="DZ1" s="21" t="s">
        <v>73</v>
      </c>
      <c r="EA1" s="10" t="s">
        <v>74</v>
      </c>
      <c r="EB1" s="10" t="s">
        <v>75</v>
      </c>
      <c r="EC1" s="7" t="s">
        <v>76</v>
      </c>
      <c r="ED1" s="7" t="s">
        <v>77</v>
      </c>
      <c r="EE1" s="20" t="s">
        <v>78</v>
      </c>
      <c r="EF1" s="34" t="s">
        <v>337</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356</v>
      </c>
      <c r="EW1" s="10" t="s">
        <v>152</v>
      </c>
      <c r="EX1" s="21" t="s">
        <v>171</v>
      </c>
      <c r="EY1" s="7" t="s">
        <v>110</v>
      </c>
      <c r="EZ1" s="7" t="s">
        <v>111</v>
      </c>
      <c r="FA1" s="7" t="s">
        <v>112</v>
      </c>
      <c r="FB1" s="21" t="s">
        <v>107</v>
      </c>
      <c r="FC1" s="8" t="s">
        <v>113</v>
      </c>
      <c r="FD1" s="21" t="s">
        <v>139</v>
      </c>
      <c r="FE1" s="24" t="s">
        <v>647</v>
      </c>
      <c r="FF1" s="10" t="s">
        <v>802</v>
      </c>
      <c r="FG1" s="21" t="s">
        <v>651</v>
      </c>
      <c r="FH1" s="24" t="s">
        <v>439</v>
      </c>
      <c r="FI1" s="7" t="s">
        <v>114</v>
      </c>
      <c r="FJ1" s="21" t="s">
        <v>652</v>
      </c>
      <c r="FK1" s="206" t="s">
        <v>440</v>
      </c>
      <c r="FL1" s="7" t="s">
        <v>115</v>
      </c>
      <c r="FM1" s="21" t="s">
        <v>653</v>
      </c>
      <c r="FN1" s="24" t="s">
        <v>441</v>
      </c>
      <c r="FO1" s="7" t="s">
        <v>116</v>
      </c>
      <c r="FP1" s="21" t="s">
        <v>654</v>
      </c>
      <c r="FQ1" s="7" t="s">
        <v>140</v>
      </c>
      <c r="FR1" s="7" t="s">
        <v>137</v>
      </c>
      <c r="FS1" s="21" t="s">
        <v>138</v>
      </c>
      <c r="FT1" s="24" t="s">
        <v>81</v>
      </c>
      <c r="FU1" s="7" t="s">
        <v>82</v>
      </c>
      <c r="FV1" s="21" t="s">
        <v>83</v>
      </c>
      <c r="FW1" s="8" t="s">
        <v>347</v>
      </c>
      <c r="FX1" s="8" t="s">
        <v>351</v>
      </c>
      <c r="FY1" s="32" t="s">
        <v>648</v>
      </c>
      <c r="FZ1" s="191" t="s">
        <v>713</v>
      </c>
      <c r="GA1" s="21" t="s">
        <v>655</v>
      </c>
      <c r="GB1" s="32" t="s">
        <v>329</v>
      </c>
      <c r="GC1" s="20" t="s">
        <v>714</v>
      </c>
      <c r="GD1" s="21" t="s">
        <v>656</v>
      </c>
      <c r="GE1" s="32" t="s">
        <v>352</v>
      </c>
      <c r="GF1" s="8" t="s">
        <v>715</v>
      </c>
      <c r="GG1" s="21" t="s">
        <v>657</v>
      </c>
      <c r="GH1" s="32" t="s">
        <v>438</v>
      </c>
      <c r="GI1" s="8" t="s">
        <v>366</v>
      </c>
      <c r="GJ1" s="61" t="s">
        <v>331</v>
      </c>
      <c r="GK1" s="7" t="s">
        <v>333</v>
      </c>
      <c r="GL1" s="62" t="s">
        <v>334</v>
      </c>
      <c r="GM1" s="8" t="s">
        <v>335</v>
      </c>
      <c r="GN1" s="24" t="s">
        <v>84</v>
      </c>
      <c r="GO1" s="10" t="s">
        <v>85</v>
      </c>
      <c r="GP1" s="21" t="s">
        <v>163</v>
      </c>
      <c r="GQ1" s="24" t="s">
        <v>86</v>
      </c>
      <c r="GR1" s="24" t="s">
        <v>88</v>
      </c>
      <c r="GS1" s="21" t="s">
        <v>119</v>
      </c>
      <c r="GT1" s="10" t="s">
        <v>87</v>
      </c>
      <c r="GU1" s="21" t="s">
        <v>164</v>
      </c>
      <c r="GV1" s="21" t="s">
        <v>170</v>
      </c>
      <c r="GW1" s="8" t="s">
        <v>284</v>
      </c>
      <c r="GX1" s="7" t="s">
        <v>120</v>
      </c>
      <c r="GY1" s="7" t="s">
        <v>24</v>
      </c>
      <c r="GZ1" s="7" t="s">
        <v>332</v>
      </c>
      <c r="HA1" s="21" t="s">
        <v>37</v>
      </c>
      <c r="HB1" s="21" t="s">
        <v>38</v>
      </c>
      <c r="HC1" s="21" t="s">
        <v>36</v>
      </c>
      <c r="HD1" s="24" t="s">
        <v>658</v>
      </c>
      <c r="HE1" s="7" t="s">
        <v>659</v>
      </c>
      <c r="HF1" s="24" t="s">
        <v>660</v>
      </c>
      <c r="HG1" s="7" t="s">
        <v>661</v>
      </c>
      <c r="HH1" s="24" t="s">
        <v>662</v>
      </c>
      <c r="HI1" s="7" t="s">
        <v>663</v>
      </c>
      <c r="HJ1" s="7" t="s">
        <v>636</v>
      </c>
      <c r="HK1" s="87" t="s">
        <v>311</v>
      </c>
      <c r="HL1" s="87" t="s">
        <v>367</v>
      </c>
      <c r="HM1" s="87" t="s">
        <v>365</v>
      </c>
      <c r="HN1" s="87" t="s">
        <v>354</v>
      </c>
      <c r="HO1" s="87" t="s">
        <v>312</v>
      </c>
      <c r="HP1" s="87" t="s">
        <v>353</v>
      </c>
      <c r="HQ1" s="87" t="s">
        <v>361</v>
      </c>
      <c r="HR1" s="87" t="s">
        <v>360</v>
      </c>
      <c r="HS1" s="33" t="s">
        <v>378</v>
      </c>
      <c r="HT1" s="7" t="s">
        <v>313</v>
      </c>
      <c r="HU1" s="8" t="s">
        <v>596</v>
      </c>
      <c r="HV1" s="7" t="s">
        <v>291</v>
      </c>
      <c r="HW1" s="8" t="s">
        <v>597</v>
      </c>
      <c r="HX1" s="7" t="s">
        <v>290</v>
      </c>
      <c r="HY1" s="8" t="s">
        <v>598</v>
      </c>
      <c r="HZ1" s="7" t="s">
        <v>296</v>
      </c>
      <c r="IA1" s="8" t="s">
        <v>539</v>
      </c>
      <c r="IB1" s="7" t="s">
        <v>34</v>
      </c>
      <c r="IC1" s="149" t="s">
        <v>14</v>
      </c>
      <c r="ID1" s="8" t="s">
        <v>724</v>
      </c>
      <c r="IE1" s="9" t="s">
        <v>641</v>
      </c>
      <c r="IF1" s="8" t="s">
        <v>638</v>
      </c>
      <c r="IG1" s="9" t="s">
        <v>643</v>
      </c>
      <c r="IH1" s="8" t="s">
        <v>639</v>
      </c>
      <c r="II1" s="9" t="s">
        <v>644</v>
      </c>
      <c r="IJ1" s="8" t="s">
        <v>642</v>
      </c>
      <c r="IK1" s="150" t="s">
        <v>640</v>
      </c>
      <c r="IL1" s="8" t="s">
        <v>117</v>
      </c>
      <c r="IM1" s="7" t="s">
        <v>118</v>
      </c>
      <c r="IN1" s="21" t="s">
        <v>349</v>
      </c>
      <c r="IO1" s="8" t="s">
        <v>744</v>
      </c>
      <c r="IP1" s="21" t="s">
        <v>359</v>
      </c>
      <c r="IQ1" s="60" t="s">
        <v>357</v>
      </c>
      <c r="IR1" s="21" t="s">
        <v>358</v>
      </c>
      <c r="IS1" s="25" t="s">
        <v>285</v>
      </c>
      <c r="IT1" s="26" t="s">
        <v>23</v>
      </c>
      <c r="IU1" s="26" t="s">
        <v>719</v>
      </c>
      <c r="IV1" s="26" t="s">
        <v>720</v>
      </c>
      <c r="IW1" s="27" t="s">
        <v>550</v>
      </c>
      <c r="IX1" s="26" t="s">
        <v>15</v>
      </c>
      <c r="IY1" s="21" t="s">
        <v>89</v>
      </c>
      <c r="IZ1" s="25" t="s">
        <v>175</v>
      </c>
      <c r="JA1" s="25" t="s">
        <v>437</v>
      </c>
      <c r="JB1" s="25" t="s">
        <v>16</v>
      </c>
      <c r="JC1" s="26" t="s">
        <v>664</v>
      </c>
      <c r="JD1" s="33" t="s">
        <v>338</v>
      </c>
      <c r="JE1" s="33" t="s">
        <v>340</v>
      </c>
      <c r="JF1" s="33" t="s">
        <v>339</v>
      </c>
      <c r="JG1" s="33" t="s">
        <v>707</v>
      </c>
      <c r="JH1" s="33" t="s">
        <v>708</v>
      </c>
      <c r="JI1" s="33" t="s">
        <v>718</v>
      </c>
      <c r="JJ1" s="25" t="s">
        <v>736</v>
      </c>
      <c r="JK1" s="28" t="s">
        <v>39</v>
      </c>
      <c r="JL1" s="28" t="s">
        <v>90</v>
      </c>
      <c r="JM1" s="29" t="s">
        <v>179</v>
      </c>
      <c r="JN1" s="21" t="s">
        <v>44</v>
      </c>
      <c r="JO1" s="29" t="s">
        <v>292</v>
      </c>
      <c r="JP1" s="28" t="s">
        <v>91</v>
      </c>
      <c r="JQ1" s="28" t="s">
        <v>92</v>
      </c>
      <c r="JR1" s="28" t="s">
        <v>41</v>
      </c>
      <c r="JS1" s="28" t="s">
        <v>42</v>
      </c>
      <c r="JT1" s="30" t="s">
        <v>131</v>
      </c>
      <c r="JU1" s="30" t="s">
        <v>105</v>
      </c>
      <c r="JV1" s="28" t="s">
        <v>93</v>
      </c>
      <c r="JW1" s="29" t="s">
        <v>178</v>
      </c>
      <c r="JX1" s="21" t="s">
        <v>94</v>
      </c>
      <c r="JY1" s="29" t="s">
        <v>293</v>
      </c>
      <c r="JZ1" s="28" t="s">
        <v>96</v>
      </c>
      <c r="KA1" s="28" t="s">
        <v>97</v>
      </c>
      <c r="KB1" s="28" t="s">
        <v>98</v>
      </c>
      <c r="KC1" s="28" t="s">
        <v>99</v>
      </c>
      <c r="KD1" s="28" t="s">
        <v>132</v>
      </c>
      <c r="KE1" s="28" t="s">
        <v>106</v>
      </c>
      <c r="KF1" s="30" t="s">
        <v>100</v>
      </c>
      <c r="KG1" s="21" t="s">
        <v>176</v>
      </c>
      <c r="KH1" s="7" t="s">
        <v>101</v>
      </c>
      <c r="KI1" s="21" t="s">
        <v>177</v>
      </c>
      <c r="KJ1" s="33" t="s">
        <v>436</v>
      </c>
      <c r="KK1" s="33" t="s">
        <v>376</v>
      </c>
      <c r="KL1" s="33" t="s">
        <v>377</v>
      </c>
      <c r="KM1" s="8" t="s">
        <v>336</v>
      </c>
      <c r="KN1" s="8" t="s">
        <v>286</v>
      </c>
      <c r="KO1" s="100" t="s">
        <v>603</v>
      </c>
      <c r="KP1" s="17" t="s">
        <v>604</v>
      </c>
      <c r="KQ1" s="63" t="s">
        <v>368</v>
      </c>
      <c r="KR1" s="63" t="s">
        <v>362</v>
      </c>
      <c r="KS1" s="98" t="s">
        <v>363</v>
      </c>
      <c r="KT1" s="63" t="s">
        <v>602</v>
      </c>
      <c r="KU1" s="90" t="s">
        <v>599</v>
      </c>
      <c r="KV1" s="90" t="s">
        <v>600</v>
      </c>
      <c r="KW1" s="90" t="s">
        <v>601</v>
      </c>
      <c r="KX1" s="91" t="s">
        <v>575</v>
      </c>
      <c r="KY1" s="64" t="s">
        <v>371</v>
      </c>
      <c r="KZ1" s="64" t="s">
        <v>373</v>
      </c>
      <c r="LA1" s="64" t="s">
        <v>576</v>
      </c>
      <c r="LB1" s="64" t="s">
        <v>370</v>
      </c>
      <c r="LC1" s="22" t="s">
        <v>297</v>
      </c>
      <c r="LD1" s="22" t="s">
        <v>295</v>
      </c>
      <c r="LE1" s="88" t="s">
        <v>294</v>
      </c>
      <c r="LF1" s="22" t="s">
        <v>318</v>
      </c>
      <c r="LG1" s="23" t="s">
        <v>299</v>
      </c>
      <c r="LH1" s="23" t="s">
        <v>300</v>
      </c>
      <c r="LI1" s="88" t="s">
        <v>317</v>
      </c>
      <c r="LJ1" s="23" t="s">
        <v>319</v>
      </c>
      <c r="LK1" s="22" t="s">
        <v>301</v>
      </c>
      <c r="LL1" s="22" t="s">
        <v>298</v>
      </c>
      <c r="LM1" s="88" t="s">
        <v>320</v>
      </c>
      <c r="LN1" s="22" t="s">
        <v>321</v>
      </c>
      <c r="LO1" s="23" t="s">
        <v>302</v>
      </c>
      <c r="LP1" s="23" t="s">
        <v>303</v>
      </c>
      <c r="LQ1" s="88" t="s">
        <v>322</v>
      </c>
      <c r="LR1" s="23" t="s">
        <v>323</v>
      </c>
      <c r="LS1" s="22" t="s">
        <v>304</v>
      </c>
      <c r="LT1" s="22" t="s">
        <v>305</v>
      </c>
      <c r="LU1" s="88" t="s">
        <v>324</v>
      </c>
      <c r="LV1" s="22" t="s">
        <v>325</v>
      </c>
      <c r="LW1" s="65" t="s">
        <v>316</v>
      </c>
      <c r="LX1" s="65" t="s">
        <v>306</v>
      </c>
      <c r="LY1" s="88" t="s">
        <v>326</v>
      </c>
      <c r="LZ1" s="65" t="s">
        <v>307</v>
      </c>
      <c r="MA1" s="22" t="s">
        <v>355</v>
      </c>
      <c r="MB1" s="22" t="s">
        <v>308</v>
      </c>
      <c r="MC1" s="88" t="s">
        <v>327</v>
      </c>
      <c r="MD1" s="22" t="s">
        <v>328</v>
      </c>
      <c r="ME1" s="65" t="s">
        <v>621</v>
      </c>
      <c r="MF1" s="65" t="s">
        <v>622</v>
      </c>
      <c r="MG1" s="88" t="s">
        <v>623</v>
      </c>
      <c r="MH1" s="65" t="s">
        <v>624</v>
      </c>
      <c r="MI1" s="22" t="s">
        <v>625</v>
      </c>
      <c r="MJ1" s="22" t="s">
        <v>626</v>
      </c>
      <c r="MK1" s="88" t="s">
        <v>627</v>
      </c>
      <c r="ML1" s="22" t="s">
        <v>628</v>
      </c>
      <c r="MM1" s="65" t="s">
        <v>629</v>
      </c>
      <c r="MN1" s="65" t="s">
        <v>630</v>
      </c>
      <c r="MO1" s="88" t="s">
        <v>631</v>
      </c>
      <c r="MP1" s="147" t="s">
        <v>632</v>
      </c>
    </row>
    <row r="2" spans="1:354" ht="42" customHeight="1" x14ac:dyDescent="0.25">
      <c r="A2" s="165" t="s">
        <v>801</v>
      </c>
      <c r="B2" s="68"/>
      <c r="C2" s="68"/>
      <c r="D2" s="165"/>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IF(AND(AE2="",AF2="",AG2="",AH2="",AI2="",AJ2=""),"",IF(AND(OR(O2&gt;0,R2&gt;0),#REF!&gt;=0,#REF!&lt;2),"SIN RIESGO",IF(AND(OR(O2&gt;0,R2&gt;0),#REF!&gt;=2),"CON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IF(BS2&gt;0,SUM(BR2-#REF!),"")</f>
        <v/>
      </c>
      <c r="BO2" s="44" t="str">
        <f t="shared" ref="BO2:BO8" si="3">IF(AND(BL2="Corregida",BK2&gt;0,R2&gt;0,ISBLANK(BS2)),"SIN SEMANAS X ECO",IF(AND(BL2="Corregida",BK2&gt;0,R2&gt;0),SUM(R2-BN2)/7,IF(AND(OR(BL2="SI",BL2="NO"),BK2&gt;0,R2&gt;0),SUM(R2-BK2)/7,"")))</f>
        <v/>
      </c>
      <c r="BP2" s="31" t="str">
        <f t="shared" ref="BP2:BP8" si="4">IF(AND(BO2="",IP2=""),"",IF(AND(BO2="",IP2="DEFINIR FPP POR ECO"),"SIN DATO",IF(BO2&lt;0,"ERROR FUM O INGRESO O ECO",IF(BL2="NO","DEFINIR CON ECO",IF(BO2&lt;12,"I TRIM",IF(BO2&lt;27,"II TRIM",IF(AND(BO2&gt;26,BO2&lt;45),"III TRIM","ERROR FUM O INGRESO O ECO")))))))</f>
        <v/>
      </c>
      <c r="BQ2" s="39" t="str">
        <f t="shared" ref="BQ2:BQ8" ca="1" si="5">IF(SUM((TODAY()-BK2)/7)&gt;43.1,"",IF(AND(BK2&gt;0,OR(BL2="si",BL2="Corregida",BL2="NO")),SUM((TODAY()-BK2)/7),""))</f>
        <v/>
      </c>
      <c r="BR2" s="35"/>
      <c r="BS2" s="43"/>
      <c r="BT2" s="35"/>
      <c r="BU2" s="31"/>
      <c r="BV2" s="40"/>
      <c r="BW2" s="40"/>
      <c r="BX2" s="40"/>
      <c r="BY2" s="40"/>
      <c r="BZ2" s="35"/>
      <c r="CA2" s="31"/>
      <c r="CB2" s="31"/>
      <c r="CC2" s="39" t="str">
        <f t="shared" ref="CC2:CC8" si="6">IF(AND(OR(O2&gt;0,R2&gt;0),CA2=""),"SD",IF(AND(OR(O2="",R2=""),CA2=""),"",IF(AND(OR(O2&gt;0,R2&gt;0),CA2&gt;0,CB2&gt;0),SUM(CB2)/(CA2*CA2),"X")))</f>
        <v/>
      </c>
      <c r="CD2" s="45" t="str">
        <f t="shared" ref="CD2:CD8" si="7">IF(AND(CC2&lt;10,CB2="SD"),"SIN DATO PESO PREGESTACION O I TRIM",IF(AND(OR(R2&gt;0,O2&gt;0),CC2="X"),"INGRESAR DATO DE PESO",IF(CC2="SD","INGRESAR DATO DE TALLA Y PESO",IF(CC2&lt;18.5,"BAJO PESO",IF(CC2&lt;25,"NORMAL",IF(CC2&lt;30,"SOBREPESO",IF(AND(CC2&gt;=30,CC2&lt;50),"OBESIDAD","")))))))</f>
        <v/>
      </c>
      <c r="CE2" s="35"/>
      <c r="CF2" s="31"/>
      <c r="CG2" s="39" t="str">
        <f t="shared" ref="CG2:CG8" si="8">IF(AND(OR(O2&gt;0,R2&gt;0),CA2=""),"SD",IF(AND(OR(O2="",R2=""),CA2=""),"",IF(AND(OR(O2&gt;0,R2&gt;0),CA2&gt;0),SUM(CF2)/(CA2*CA2),"X")))</f>
        <v/>
      </c>
      <c r="CH2" s="31" t="str">
        <f t="shared" ref="CH2:CH8" si="9">IF(AND(CE2="",BK2=""),"",IF(AND(BK2&gt;0,CE2=""),"NA",IF(CE2&lt;BK2,"REVISAR FUM O FECHA PESO",IF(CE2&gt;0,INT(SUM(CE2-BK2)/7)))))</f>
        <v/>
      </c>
      <c r="CI2" s="31" t="str">
        <f>IF(OR(CH2="",CH2="NA"),"",IF(AND(CH2&gt;=29,CH2&lt;=42),"REGISTRAR EN III TRIM",IF(AND(CH2&gt;0,CH2&lt;=13),"REGISTRAR EN I TRIM",IF(CH2="REVISAR FUM O FECHA PESO","REVISAR",IF(CH2&gt;0,HLOOKUP(CH2,#REF!,#REF!),"")))))</f>
        <v/>
      </c>
      <c r="CJ2" s="35"/>
      <c r="CK2" s="31"/>
      <c r="CL2" s="39" t="str">
        <f t="shared" ref="CL2:CL8" si="10">IF(AND(OR(O2&gt;0,R2&gt;0),CA2=""),"SD",IF(AND(OR(O2="",R2=""),CA2=""),"",IF(AND(OR(O2&gt;0,R2&gt;0),CA2&gt;0),SUM(CK2)/(CA2*CA2),"X")))</f>
        <v/>
      </c>
      <c r="CM2" s="31" t="str">
        <f t="shared" ref="CM2:CM8" si="11">IF(AND(CJ2="",BK2=""),"",IF(AND(BK2&gt;0,CJ2=""),"NA",IF(CJ2&lt;BK2,"REVISAR FUM O FECHA PESO",IF(CJ2&gt;0,INT(SUM(CJ2-BK2)/7)))))</f>
        <v/>
      </c>
      <c r="CN2" s="31" t="str">
        <f>IF(OR(CM2="",CM2="NA"),"",IF(AND(CM2&gt;0,CM2&lt;=28),"REGISTRAR EN  TRIM RESPECTIVO",IF(CM2&gt;0,HLOOKUP(CM2,#REF!,#REF!),"")))</f>
        <v/>
      </c>
      <c r="CO2" s="31" t="str">
        <f t="shared" ref="CO2:CO8" si="12">IF(AND(OR(O2&gt;0,R2&gt;0),CD2&lt;&gt;"",CI2&lt;&gt;"",CN2&lt;&gt;""),CN2,IF(AND(OR(O2&gt;0,R2&gt;0),CD2&lt;&gt;"",CI2&lt;&gt;"",CN2=""),CI2,IF(AND(OR(O2&gt;0,R2&gt;0),CD2&lt;&gt;"",CI2="",CN2=""),CD2,IF(AND(OR(O2&gt;0,R2&gt;0),CD2&lt;&gt;"",CI2="",CN2&lt;&gt;""),CN2,""))))</f>
        <v/>
      </c>
      <c r="CP2" s="31"/>
      <c r="CQ2" s="31"/>
      <c r="CR2" s="37" t="str">
        <f t="shared" ref="CR2:CR8" si="13">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4">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5">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6">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7">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2" s="35" t="str">
        <f>IF(R2="","",IF(R2&gt;0,MAX(Tabla1[[#This Row],[FECHA C2]:[FECHA C13]],Tabla1[[#This Row],[FECHA CONSULTA PRIMERA VEZ PROGRAMA CPN ]])))</f>
        <v/>
      </c>
      <c r="DV2" s="31" t="str">
        <f t="shared" ref="DV2:DV8" si="18">IF(AND(DU2="",BK2="",R2=""),"",IF(AND(R2="",BK2&gt;0,DU2=""),"",IF(AND(R2&gt;0,DU2&lt;BK2),"REVISAR FUM O FECHA PESO",IF(AND(R2&gt;0,DU2&gt;0,BK2=""),"SD",IF(AND(R2&gt;0,DU2&gt;0,BK2&gt;0),INT(SUM(DU2-BK2)/7))))))</f>
        <v/>
      </c>
      <c r="DW2" s="43" t="str">
        <f>IF(R2&gt;0,SUM(COUNTA(DC2:DN2)+COUNTA(Tabla1[[#This Row],[FECHA CONSULTA PRIMERA VEZ PROGRAMA CPN ]])),"")</f>
        <v/>
      </c>
      <c r="DX2" s="43" t="str">
        <f t="shared" ref="DX2:DX8" si="19">IF(AND(DW2&gt;=0,DW2&lt;4),"NO",IF(AND(DW2&gt;=4,DW2&lt;12),"SI",""))</f>
        <v/>
      </c>
      <c r="DY2" s="39" t="str">
        <f t="shared" ref="DY2:DY8" si="20">IF(BO2="","",IF(BO2&gt;0,INT(SUM(((40-BO2)/4)+2)),"X"))</f>
        <v/>
      </c>
      <c r="DZ2" s="47" t="str">
        <f t="shared" ref="DZ2:DZ8" si="21">IF(DY2="","",IF(DW2&gt;0,SUM(DW2/DY2),"X"))</f>
        <v/>
      </c>
      <c r="EA2" s="35"/>
      <c r="EB2" s="35"/>
      <c r="EC2" s="35"/>
      <c r="ED2" s="35"/>
      <c r="EE2" s="35"/>
      <c r="EF2" s="35"/>
      <c r="EG2" s="35"/>
      <c r="EH2" s="31"/>
      <c r="EI2" s="31"/>
      <c r="EJ2" s="35"/>
      <c r="EK2" s="43" t="str">
        <f t="shared" ref="EK2:EK8" si="22">IF(AND(BP2="ERROR FUM O INGRESO",EJ2&gt;0),"ERROR FUM O INGRESO",IF(AND(EJ2="",R2="",O2=""),"",IF(OR(AND(EJ2&lt;&gt;"",EJ2&lt;BK2),AND(EJ2&lt;&gt;"",SUM((EJ2-BK2)/7)&gt;40)),"CORREGIR FECHA RESULTADO",IF(AND(EJ2="",OR(O2&gt;0,R2&gt;0)),"TOMAR EXAMEN",IF(EJ2&gt;0,SUM(EJ2-BK2)/7,"")))))</f>
        <v/>
      </c>
      <c r="EL2" s="39" t="str">
        <f t="shared" ref="EL2:EL8" si="23">IF(AND(OR(O2&gt;0,R2&gt;0),EI2=""),"",IF(AND(OR(O2&gt;0,R2&gt;0),EI2&gt;0,EI2&lt;11),"MANEJO MD POR ANEMIA FERROPENICA",IF(AND(OR(O2&gt;0,R2&gt;0),EI2&lt;=14),"NORMAL- SUMINISTRAR SULFATO FERROSO",IF(AND(OR(O2&gt;0,R2&gt;0),EI2&lt;20),"NO DAR SULFATO FERROSO",""))))</f>
        <v/>
      </c>
      <c r="EM2" s="31" t="str">
        <f t="shared" ref="EM2:EM8" si="24">IF(AND(EK2="",BP2=""),"",IF(AND(EK2&lt;&gt;"",BP2="SIN DATO"),"SIN DATO",IF(AND(EK2="",BP2&lt;&gt;""),"",IF(AND(EK2&lt;0,BP2&gt;0),"ERROR FUM O INGRESO",IF(EK2&lt;=13,"I TRIM",IF(EK2&lt;28,"II TRIM",IF(AND(EK2&gt;27,EK2&lt;45),"III TRIM","POR DEFINIR")))))))</f>
        <v/>
      </c>
      <c r="EN2" s="37"/>
      <c r="EO2" s="35"/>
      <c r="EP2" s="44" t="str">
        <f t="shared" ref="EP2:EP8" si="25">IF(AND(BP2="ERROR FUM O INGRESO",EO2&gt;0),"ERROR FUM O INGRESO",IF(AND(EO2="",R2="",O2=""),"",IF(OR(AND(EO2&lt;&gt;"",EO2&lt;BK2),AND(EO2&lt;&gt;"",SUM((EO2-BK2)/7)&gt;40)),"CORREGIR FECHA RESULTADO",IF(AND(EO2="",OR(O2&gt;0,R2&gt;0)),"TOMAR EXAMEN",IF(EO2&gt;0,SUM(EO2-BK2)/7,"")))))</f>
        <v/>
      </c>
      <c r="EQ2" s="39" t="str">
        <f t="shared" ref="EQ2:EQ8" si="26">IF(AND(OR(O2&gt;0,R2&gt;0),EN2=""),"",IF(AND(OR(O2&gt;0,R2&gt;0),EN2&gt;0,EN2&lt;10.5),"MANEJO MD POR ANEMIA FERROPENICA",IF(AND(OR(O2&gt;0,R2&gt;0),EN2&lt;14),"NORMAL- SUMINISTRAR SULFATO FERROSO",IF(AND(OR(O2&gt;0,R2&gt;0),EN2&lt;20),"NO DAR SULFATO FERROSO",""))))</f>
        <v/>
      </c>
      <c r="ER2" s="37"/>
      <c r="ES2" s="35"/>
      <c r="ET2" s="44" t="str">
        <f t="shared" ref="ET2:ET8" si="27">IF(AND(BP2="ERROR FUM O INGRESO",ES2&gt;0),"ERROR FUM O INGRESO",IF(AND(ES2="",R2="",O2=""),"",IF(OR(AND(ES2&lt;&gt;"",ES2&lt;BK2),AND(ES2&lt;&gt;"",SUM((ES2-BK2)/7)&gt;40)),"CORREGIR FECHA RESULTADO",IF(AND(ES2="",OR(O2&gt;0,R2&gt;0)),"TOMAR EXAMEN",IF(ES2&gt;0,SUM(ES2-BK2)/7,"")))))</f>
        <v/>
      </c>
      <c r="EU2" s="39" t="str">
        <f t="shared" ref="EU2:EU8" si="28">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29">IF(AND(BP2="ERROR FUM O INGRESO",EW2&gt;0),"ERROR FUM O INGRESO",IF(AND(EW2="",R2="",O2=""),"",IF(OR(AND(EW2&lt;&gt;"",EW2&lt;BK2),AND(EW2&lt;&gt;"",SUM((EW2-BK2)/7)&gt;40)),"CORREGIR FECHA RESULTADO",IF(AND(EW2="",OR(O2&gt;0,R2&gt;0)),"TOMAR EXAMEN",IF(EW2&gt;0,SUM(EW2-BK2)/7,"")))))</f>
        <v/>
      </c>
      <c r="EY2" s="44"/>
      <c r="EZ2" s="44"/>
      <c r="FA2" s="44"/>
      <c r="FB2" s="31" t="str">
        <f t="shared" ref="FB2:FB8" ca="1" si="30">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1">IF(AND(BP2="ERROR FUM O INGRESO",FC2&gt;0),"ERROR FUM O INGRESO",IF(AND(FC2="",R2="",O2=""),"",IF(OR(AND(FC2&lt;&gt;"",FC2&lt;BK2),AND(FC2&lt;&gt;"",SUM((FC2-BK2)/7)&gt;40)),"CORREGIR FECHA RESULTADO",IF(AND(FC2="",OR(O2&gt;0,R2&gt;0)),"TOMAR EXAMEN",IF(FC2&gt;0,SUM(FC2-BK2)/7,"")))))</f>
        <v/>
      </c>
      <c r="FE2" s="35"/>
      <c r="FF2" s="35"/>
      <c r="FG2" s="44" t="str">
        <f t="shared" ref="FG2:FG8" si="32">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3">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4">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5">IF(AND(BP2="ERROR FUM O INGRESO",FR2&gt;0),"ERROR FUM O INGRESO",IF(AND(FR2="",R2="",O2=""),"",IF(OR(AND(FR2&lt;&gt;"",FR2&lt;BK2),AND(FR2&lt;&gt;"",SUM((FR2-BK2)/7)&gt;40)),"CORREGIR FECHA RESULTADO",IF(AND(FR2="",OR(O2&gt;0,R2&gt;0)),"TOMAR EXAMEN",IF(FR2&gt;0,SUM(FR2-BK2)/7,"")))))</f>
        <v/>
      </c>
      <c r="FT2" s="43"/>
      <c r="FU2" s="35"/>
      <c r="FV2" s="44" t="str">
        <f t="shared" ref="FV2:FV8" si="36">IF(AND(BP2="ERROR FUM O INGRESO",FU2&gt;0),"ERROR FUM O INGRESO",IF(AND(FU2="",R2="",O2=""),"",IF(OR(AND(FU2&lt;&gt;"",FU2&lt;BK2),AND(FU2&lt;&gt;"",SUM((FU2-BK2)/7)&gt;40)),"CORREGIR FECHA RESULTADO",IF(AND(FU2="",OR(O2&gt;0,R2&gt;0)),"TOMAR EXAMEN",IF(FU2&gt;0,SUM(FU2-BK2)/7,"")))))</f>
        <v/>
      </c>
      <c r="FW2" s="35"/>
      <c r="FX2" s="35"/>
      <c r="FY2" s="35"/>
      <c r="FZ2" s="35"/>
      <c r="GA2" s="44" t="str">
        <f t="shared" ref="GA2:GA8" si="37">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38">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39">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0">IF(AND(BP2="ERROR FUM O INGRESO",GO2&gt;0),"ERROR FUM O INGRESO",IF(AND(GO2="",R2="",O2=""),"",IF(OR(AND(GO2&lt;&gt;"",GO2&lt;BK2),AND(GO2&lt;&gt;"",SUM((GO2-BK2)/7)&gt;40)),"CORREGIR FECHA RESULTADO",IF(AND(GO2="",OR(O2&gt;0,R2&gt;0)),"TOMAR EXAMEN",IF(GO2&gt;0,SUM(GO2-BK2)/7,"")))))</f>
        <v/>
      </c>
      <c r="GQ2" s="43"/>
      <c r="GR2" s="43"/>
      <c r="GS2" s="35" t="str">
        <f t="shared" ref="GS2:GS8" si="41">IF(GQ2="NEGATIVO","CONTROL Igm",IF(AND(GQ2="POSITIVO",GR2="NEGATIVO"),"SE EXCLUYE INFECCION",IF(AND(GQ2="POSITIVO",GR2="POSITIVO"),"TOXOPLASMOSIS, REMITIR PARA MANEJO","")))</f>
        <v/>
      </c>
      <c r="GT2" s="35"/>
      <c r="GU2" s="44" t="str">
        <f t="shared" ref="GU2:GU8" si="42">IF(AND(BP2="ERROR FUM O INGRESO",GT2&gt;0),"ERROR FUM O INGRESO",IF(AND(GT2="",R2="",O2=""),"",IF(OR(AND(GT2&lt;&gt;"",GT2&lt;BK2),AND(GT2&lt;&gt;"",SUM((GT2-BK2)/7)&gt;40)),"CORREGIR FECHA RESULTADO",IF(AND(GT2="",OR(O2&gt;0,R2&gt;0)),"TOMAR EXAMEN",IF(GT2&gt;0,SUM(GT2-BK2)/7,"")))))</f>
        <v/>
      </c>
      <c r="GV2" s="31" t="str">
        <f t="shared" ref="GV2:GV8" si="43">IF(AND(GU2="",BP2=""),"",IF(AND(GU2&lt;&gt;"",BP2="SIN DATO"),"SIN DATO",IF(AND(GU2="",BP2&lt;&gt;""),"",IF(AND(GU2&lt;0,BP2&gt;0),"ERROR FUM O INGRESO",IF(GU2&lt;=13,"I TRIM",IF(GU2&lt;28,"II TRIM",IF(AND(GU2&gt;27,GU2&lt;45),"III TRIM","POR DEFINIR")))))))</f>
        <v/>
      </c>
      <c r="GW2" s="43"/>
      <c r="GX2" s="46"/>
      <c r="GY2" s="31"/>
      <c r="GZ2" s="35"/>
      <c r="HA2" s="43" t="str">
        <f t="shared" ref="HA2:HA8" si="44">IF(GZ2&gt;0,SUM(GZ2-BK2)/7,"")</f>
        <v/>
      </c>
      <c r="HB2" s="31" t="str">
        <f t="shared" ref="HB2:HB8" si="45">IF(HA2&lt;0,"ANTES DEL EMBARAZO",IF(AND(HA2&gt;0,HA2&lt;13),"I TRIM",IF(AND(HA2&gt;12,HA2&lt;28),"II TRIM",IF(AND(HA2&gt;27,HA2&lt;41),"III TRIM",""))))</f>
        <v/>
      </c>
      <c r="HC2" s="31" t="str">
        <f t="shared" ref="HC2:HC8" si="46">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7">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IF(AND(O2="",R2=""),"",IF(AND(OR(O2&lt;&gt;"",R2&lt;&gt;""),OR(HO2="RIESGO ALTO DE COMPLICACIONES HIPERTENSIVAS VER MANEJO GUIA SUMINISTRO ASA Y CALCIO",HO2="RIESGO MODERADO (2 O MAS CRITERIOS) VER MANEJO GUIA SUMINISTRO ASA Y CALCIO")),"ALTO RIESGO",IF(AND(HL2="************",OR(O2&lt;&gt;"",R2&lt;&gt;""),AND(#REF!&gt;=0,#REF!&lt;3)),"BAJO RIESGO",IF(AND(OR(O2&lt;&gt;"",R2&lt;&gt;""),OR(HJ2="COVID19 PRIMER TRIMESTRE",HJ2="COVID19 SEGUNDO TRIMESTRE",HJ2="COVID19 TERCER TRIMESTRE",HJ2="COVID19 PUERPERIO")),"ALTO RIESGO",IF(AND(HL2&lt;&gt;"",OR(O2&lt;&gt;"",R2&lt;&gt;""),AND(#REF!&gt;=0,#REF!&lt;3)),"CON RIESGO",IF(AND(OR(O2&lt;&gt;"",R2&lt;&gt;""),#REF!&gt;2),"ALTO RIESGO",""))))))</f>
        <v/>
      </c>
      <c r="HN2" s="31" t="str">
        <f>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GEMELAR",""),"*",CONCATENATE(IF(#REF!=3,"PRESENTACIÓN FETAL PODALICA O TRANSVERSA",""),"*",CONCATENATE(IF(BY2="SI","POLIHIDRAMNIOS",""),"*",CONCATENATE(IF(FB2="DIABETES, REMITIR","DIABETES GESTACIONAL",""),"*",CONCATENATE(IF(FP2&lt;&gt;"","SEGUIMIENTO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MALARIA",""),"*",CONCATENATE(IF(OR(HJ2="COVID19 PRIMER TRIMESTRE",HJ2="COVID19 SEGUNDO TRIMESTRE", HJ2="COVID19 TERCER TRIMESTRE",HJ2="COVID19 PUERPERIO"),"SEGUIMIENTO PARA COVID19",""),"*",CONCATENATE(IF(EU2="RIESGO DE INCOMPATIBILIDAD RH","SEGUIMIENTO PARA INCOMPATIBILIDAD RH",""),"*")))))))))))))))))))))))))))))))),"")</f>
        <v/>
      </c>
      <c r="HO2" s="31" t="str">
        <f>IF(AND(O2="",R2=""),"",IF(AND(OR(O2&gt;0,R2&gt;0),OR(AL2="SI",BD2="SI",BA2="SI",BB2="SI",BE2="SI")),"RIESGO ALTO DE COMPLICACIONES HIPERTENSIVAS VER MANEJO GUIA SUMINISTRO ASA Y CALCIO",IF(AND(OR(O2&gt;0,R2&gt;0),#REF!&gt;1),"RIESGO MODERADO (2 O MAS CRITERIOS) VER MANEJO GUIA SUMINISTRO ASA Y CALCIO","SIN ANTECEDENTES DE RIESGO")))</f>
        <v/>
      </c>
      <c r="HP2" s="37" t="str">
        <f t="shared" ref="HP2:HP8" si="48">IF(AND(O2="",R2=""),"",IF(AND(OR(O2&gt;0,R2&gt;0),CR2&lt;&gt;"",CU2&lt;&gt;"",CZ2&lt;&gt;""),CZ2,IF(AND(OR(O2&gt;0,R2&gt;0),CR2&lt;&gt;"",CU2&lt;&gt;"",CZ2=""),CU2,IF(AND(OR(O2&gt;0,R2&gt;0),CR2&lt;&gt;"",CU2="",CZ2=""),CR2,IF(AND(OR(O2&gt;0,R2&gt;0),CR2="",CU2="",CZ2&lt;&gt;""),CZ2,IF(AND(OR(O2&gt;0,R2&gt;0),CR2="",CU2&lt;&gt;"",CZ2&lt;&gt;""),CZ2,IF(AND(OR(O2&gt;0,R2&gt;0),CR2&lt;&gt;"",CU2="",CZ2&lt;&gt;""),CZ2,IF(AND(OR(O2&gt;0,R2&gt;0),CR2="",CU2&lt;&gt;"",CZ2=""),CU2,""))))))))</f>
        <v/>
      </c>
      <c r="HQ2"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2" s="46" t="str">
        <f t="shared" ref="HR2:HR8" si="49">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0">IF(AND(BP2="ERROR FUM O INGRESO",IB2&gt;0),"ERROR FUM O INGRESO",IF(AND(IB2="",R2=""),"",IF(OR(AND(IB2&lt;&gt;"",IB2&lt;BK2),AND(IB2&lt;&gt;"",SUM((IB2-BK2)/7)&gt;40)),"CORREGIR FECHA CONSULTA",IF(AND(IB2="",R2&gt;0),"PENDIENTE CONSULTA",IF(IB2&gt;0,SUM(IB2-BK2)/7,"")))))</f>
        <v/>
      </c>
      <c r="ID2" s="40"/>
      <c r="IE2" s="40"/>
      <c r="IF2" s="35"/>
      <c r="IG2" s="35"/>
      <c r="IH2" s="151"/>
      <c r="II2" s="151"/>
      <c r="IJ2" s="151"/>
      <c r="IK2" s="37" t="e">
        <f>IF(AND(BK2="",#REF!="SD"),"SIN DATO EDAD GESTACIONAL",IF(AND(BK2="",#REF!=""),"",IF(AND(AND(BQ2&gt;0,BQ2&lt;12),#REF!=""),"MENOR 12 SEMANAS",IF(AND(BQ2&gt;11.6,#REF!="",HJ2="BAJO RIESGO O SE DESCARTA INFECCIÓN POR SARS-CoV2"),"PROGRAMAR APLICACION DE VACUNA",IF(OR(AND(BQ2&gt;11.6,#REF!=""),HJ2="FACTOR DE RIESGO PARA COVID19",HJ2="COVID19 PRIMER TRIMESTRE",HJ2="COVID19 SEGUNDO TRIMESTRE",HJ2="COVID19 TERCER TRIMESTRE",HJ2="COVID19 PUERPERIO"),"DIFERIR FECHA DE VACUNACION SEGÚN LINEAMIENTOS",IF(AND(BQ2&gt;11.6,#REF!="Error Jansen X Fecha Segunda Dosis"),"Error Jansen X Fecha Segunda Dosis",IF(AND(BQ2&gt;11.6,#REF!="Firma"),"FIRMA DISENTIMIENTO",IF(AND(BQ2&gt;11.6,#REF!="Firma3"),"NO ACEPTA VACUNA Y NO FIRMA DISCENTIMIENTO",IF(AND(BQ2&gt;11.6,#REF!="Firma2"),"Error en Fecha x Firma Disentimiento",IF(AND(BQ2&gt;11.6,#REF!="Firma4"),"Error en Fecha x No Acepta no Firma",IF(AND(BQ2&gt;11.6,#REF!="Completo",Tabla1[[#This Row],[Fecha Refuerzo Anti COVID-20]]=""),"PENDIENTE REFUERZO",IF(AND(BQ2&gt;11.6,#REF!="Completo",Tabla1[[#This Row],[Fecha Refuerzo Anti COVID-20]]&lt;&gt;""),"CON REFUERZO",IF(AND(BQ2&gt;11.6,#REF!="Falta Dosis"),#REF!,IF(OR(AND(BQ2&gt;11.6,#REF!=""),HJ2="",HJ2="NO SE EVALUA RIESGO INFECCIÓN COVID19"),"DEFINIR RIESGO CONTAGIO SARS-CoV2, columna GZ",""))))))))))))))</f>
        <v>#REF!</v>
      </c>
      <c r="IL2" s="151"/>
      <c r="IM2" s="35"/>
      <c r="IN2" s="35" t="e">
        <f>IF(AND(BK2="",#REF!="SD"),"SIN DATO EDAD GESTACIONAL",IF(AND(BK2="",IM2=""),"",IF(AND(AND(BQ2&gt;0,BQ2&lt;20),IM2=""),"EN ESPERA PARA VACUNAR",IF(AND(AND(BQ2&gt;19,BQ2&lt;27),IM2=""),"PROGRAMAR APLICACION DE VACUNA",IF(AND(AND(BQ2&gt;26,BQ2&lt;43),IM2=""),"INASISTENTE",IF(AND(AND(#REF!&gt;19,#REF!&lt;27),IM2&gt;0),"VACUNA APLICADA ENTRE SEMANA 20 Y SEMANA 26",IF(AND(#REF!&lt;20,IM2&gt;0),"VACUNA APLICADA ANTES SEMANA 20",IF(AND(#REF!&gt;26,IM2&gt;0),"VACUNA APLICADA ENTRE SEMANA 27 Y EL PARTO",IF(AND(OR(IT2="CESAREA",IT2="PARTO"),IR2="POSIBLEMENTE NACIO",IM2=""),"SALE SIN VACUNA","")))))))))</f>
        <v>#REF!</v>
      </c>
      <c r="IO2" s="35"/>
      <c r="IP2" s="35" t="str">
        <f t="shared" ref="IP2:IP8" si="51">IF(OR(BL2="SI",BL2="Corregida",BL2="NO"),(BK2+280),IF(BL2="Sin Dato","DEFINIR FPP POR ECO",""))</f>
        <v/>
      </c>
      <c r="IQ2" s="44" t="str">
        <f t="shared" ref="IQ2:IQ8" ca="1" si="52">IF(OR(IP2="DEFINIR FPP POR ECO",BP2="ERROR FUM O INGRESO"),"SIN DEFINIR",IF(IP2="","",IF(IP2&gt;0,SUM(IP2-TODAY()),"X")))</f>
        <v/>
      </c>
      <c r="IR2" s="35" t="str">
        <f t="shared" ref="IR2:IR8" ca="1" si="53">IF(IQ2&lt;0,"POSIBLEMENTE NACIO",IF(IQ2="SIN DEFINIR","SIN DATO",IF(AND(IQ2&gt;=0,IQ2&lt;=7),"SEMANA DE PARTO",IF(AND(IQ2&gt;=8,IQ2&lt;=28),"MENOS DE 4 SEMANAS",IF(AND(IQ2&gt;=29,IQ2&lt;=280),"PENDIENTE","")))))</f>
        <v/>
      </c>
      <c r="IS2" s="35"/>
      <c r="IT2" s="31"/>
      <c r="IU2" s="31"/>
      <c r="IV2" s="51"/>
      <c r="IW2" s="35"/>
      <c r="IX2" s="31"/>
      <c r="IY2" s="44" t="str">
        <f t="shared" ref="IY2:IY8" si="54">IF(AND(IW2&gt;0,IT2&lt;&gt;""),SUM(IW2-BK2)/7,"")</f>
        <v/>
      </c>
      <c r="IZ2" s="52"/>
      <c r="JA2" s="31"/>
      <c r="JB2" s="31"/>
      <c r="JC2" s="31"/>
      <c r="JD2" s="31"/>
      <c r="JE2" s="31"/>
      <c r="JF2" s="31"/>
      <c r="JG2" s="31"/>
      <c r="JH2" s="31"/>
      <c r="JI2" s="31"/>
      <c r="JJ2" s="31"/>
      <c r="JK2" s="46"/>
      <c r="JL2" s="31"/>
      <c r="JM2" s="53"/>
      <c r="JN2" s="31" t="str">
        <f t="shared" ref="JN2:JN8" si="55">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56">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57">IF(AND(KF2&lt;&gt;"",KF2&lt;IW2),"INCONSISTENCIA FECHA CONTROL",IF(AND(OR(IT2="Parto",IT2="Cesarea"),KF2&gt;0,IW2&gt;0),SUM(KF2-IW2),IF(AND(OR(IT2="Parto",IT2="Cesarea"),KF2="",IW2&gt;0),"INASISTENTE","")))</f>
        <v/>
      </c>
      <c r="KH2" s="50"/>
      <c r="KI2" s="43" t="str">
        <f t="shared" ref="KI2:KI8" si="58">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48"/>
    </row>
    <row r="3" spans="1:354" ht="39.950000000000003" customHeight="1" x14ac:dyDescent="0.25">
      <c r="A3" s="145" t="s">
        <v>803</v>
      </c>
      <c r="B3" s="68" t="s">
        <v>870</v>
      </c>
      <c r="C3" s="68" t="s">
        <v>805</v>
      </c>
      <c r="D3" s="165" t="s">
        <v>806</v>
      </c>
      <c r="E3" s="68" t="s">
        <v>807</v>
      </c>
      <c r="F3" s="68" t="s">
        <v>808</v>
      </c>
      <c r="G3" s="68" t="s">
        <v>809</v>
      </c>
      <c r="H3" s="68"/>
      <c r="I3" s="145" t="s">
        <v>810</v>
      </c>
      <c r="J3" s="146">
        <v>1002952263</v>
      </c>
      <c r="K3" s="68" t="s">
        <v>811</v>
      </c>
      <c r="L3" s="68" t="s">
        <v>812</v>
      </c>
      <c r="M3" s="237">
        <v>37247</v>
      </c>
      <c r="N3" s="237">
        <v>40535</v>
      </c>
      <c r="O3" s="35">
        <v>44662</v>
      </c>
      <c r="P3" s="39" t="str">
        <f t="shared" si="1"/>
        <v>SI</v>
      </c>
      <c r="Q3" s="40" t="s">
        <v>825</v>
      </c>
      <c r="R3" s="35">
        <v>44662</v>
      </c>
      <c r="S3" s="31" t="s">
        <v>826</v>
      </c>
      <c r="T3" s="37" t="s">
        <v>751</v>
      </c>
      <c r="U3" s="31" t="s">
        <v>827</v>
      </c>
      <c r="V3" s="31" t="s">
        <v>828</v>
      </c>
      <c r="W3" s="31" t="s">
        <v>829</v>
      </c>
      <c r="X3" s="31" t="s">
        <v>829</v>
      </c>
      <c r="Y3" s="31" t="s">
        <v>830</v>
      </c>
      <c r="Z3" s="31">
        <v>3044779923</v>
      </c>
      <c r="AA3" s="31" t="s">
        <v>831</v>
      </c>
      <c r="AB3" s="41" t="s">
        <v>832</v>
      </c>
      <c r="AC3" s="40" t="s">
        <v>833</v>
      </c>
      <c r="AD3" s="55" t="s">
        <v>834</v>
      </c>
      <c r="AE3" s="40" t="s">
        <v>824</v>
      </c>
      <c r="AF3" s="40" t="s">
        <v>824</v>
      </c>
      <c r="AG3" s="36" t="s">
        <v>835</v>
      </c>
      <c r="AH3" s="36" t="s">
        <v>835</v>
      </c>
      <c r="AI3" s="37" t="s">
        <v>834</v>
      </c>
      <c r="AJ3" s="36" t="s">
        <v>835</v>
      </c>
      <c r="AK3" s="42" t="e">
        <f>IF(AND(AE3="",AF3="",AG3="",AH3="",AI3="",AJ3=""),"",IF(AND(OR(O3&gt;0,R3&gt;0),#REF!&gt;=0,#REF!&lt;2),"SIN RIESGO",IF(AND(OR(O3&gt;0,R3&gt;0),#REF!&gt;=2),"CON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3" s="36" t="s">
        <v>835</v>
      </c>
      <c r="AM3" s="40" t="s">
        <v>835</v>
      </c>
      <c r="AN3" s="40" t="s">
        <v>835</v>
      </c>
      <c r="AO3" s="40" t="s">
        <v>835</v>
      </c>
      <c r="AP3" s="40" t="s">
        <v>835</v>
      </c>
      <c r="AQ3" s="40" t="s">
        <v>835</v>
      </c>
      <c r="AR3" s="31">
        <v>1</v>
      </c>
      <c r="AS3" s="31">
        <v>0</v>
      </c>
      <c r="AT3" s="31">
        <v>1</v>
      </c>
      <c r="AU3" s="40" t="s">
        <v>835</v>
      </c>
      <c r="AV3" s="31">
        <v>0</v>
      </c>
      <c r="AW3" s="40" t="s">
        <v>835</v>
      </c>
      <c r="AX3" s="40" t="s">
        <v>835</v>
      </c>
      <c r="AY3" s="40" t="s">
        <v>835</v>
      </c>
      <c r="AZ3" s="40" t="s">
        <v>835</v>
      </c>
      <c r="BA3" s="40" t="s">
        <v>835</v>
      </c>
      <c r="BB3" s="40" t="s">
        <v>835</v>
      </c>
      <c r="BC3" s="40" t="s">
        <v>835</v>
      </c>
      <c r="BD3" s="40" t="s">
        <v>835</v>
      </c>
      <c r="BE3" s="40" t="s">
        <v>835</v>
      </c>
      <c r="BF3" s="40" t="s">
        <v>835</v>
      </c>
      <c r="BG3" s="40" t="s">
        <v>835</v>
      </c>
      <c r="BH3" s="40" t="s">
        <v>835</v>
      </c>
      <c r="BI3" s="40" t="s">
        <v>835</v>
      </c>
      <c r="BJ3" s="35">
        <v>44053</v>
      </c>
      <c r="BK3" s="35">
        <v>44657</v>
      </c>
      <c r="BL3" s="31" t="s">
        <v>824</v>
      </c>
      <c r="BM3" s="43">
        <f t="shared" si="2"/>
        <v>20.133333333333333</v>
      </c>
      <c r="BN3" s="57" t="str">
        <f>IF(BS3&gt;0,SUM(BR3-#REF!),"")</f>
        <v/>
      </c>
      <c r="BO3" s="44">
        <f t="shared" si="3"/>
        <v>0.7142857142857143</v>
      </c>
      <c r="BP3" s="31" t="str">
        <f t="shared" si="4"/>
        <v>I TRIM</v>
      </c>
      <c r="BQ3" s="39" t="str">
        <f t="shared" ca="1" si="5"/>
        <v/>
      </c>
      <c r="BR3" s="35"/>
      <c r="BS3" s="43"/>
      <c r="BT3" s="35"/>
      <c r="BU3" s="31"/>
      <c r="BV3" s="40" t="s">
        <v>835</v>
      </c>
      <c r="BW3" s="40" t="s">
        <v>835</v>
      </c>
      <c r="BX3" s="40" t="s">
        <v>836</v>
      </c>
      <c r="BY3" s="40" t="s">
        <v>836</v>
      </c>
      <c r="BZ3" s="35">
        <v>44662</v>
      </c>
      <c r="CA3" s="31">
        <v>1.6</v>
      </c>
      <c r="CB3" s="31">
        <v>65</v>
      </c>
      <c r="CC3" s="39">
        <f t="shared" si="6"/>
        <v>25.390624999999996</v>
      </c>
      <c r="CD3" s="45" t="str">
        <f t="shared" si="7"/>
        <v>SOBREPESO</v>
      </c>
      <c r="CE3" s="35"/>
      <c r="CF3" s="31"/>
      <c r="CG3" s="39">
        <f t="shared" si="8"/>
        <v>0</v>
      </c>
      <c r="CH3" s="31" t="str">
        <f t="shared" si="9"/>
        <v>NA</v>
      </c>
      <c r="CI3" s="31" t="str">
        <f>IF(OR(CH3="",CH3="NA"),"",IF(AND(CH3&gt;=29,CH3&lt;=42),"REGISTRAR EN III TRIM",IF(AND(CH3&gt;0,CH3&lt;=13),"REGISTRAR EN I TRIM",IF(CH3="REVISAR FUM O FECHA PESO","REVISAR",IF(CH3&gt;0,HLOOKUP(CH3,#REF!,#REF!),"")))))</f>
        <v/>
      </c>
      <c r="CJ3" s="35"/>
      <c r="CK3" s="31"/>
      <c r="CL3" s="39">
        <f t="shared" si="10"/>
        <v>0</v>
      </c>
      <c r="CM3" s="31" t="str">
        <f t="shared" si="11"/>
        <v>NA</v>
      </c>
      <c r="CN3" s="31" t="str">
        <f>IF(OR(CM3="",CM3="NA"),"",IF(AND(CM3&gt;0,CM3&lt;=28),"REGISTRAR EN  TRIM RESPECTIVO",IF(CM3&gt;0,HLOOKUP(CM3,#REF!,#REF!),"")))</f>
        <v/>
      </c>
      <c r="CO3" s="31" t="str">
        <f t="shared" si="12"/>
        <v>SOBREPESO</v>
      </c>
      <c r="CP3" s="31">
        <v>110</v>
      </c>
      <c r="CQ3" s="31">
        <v>70</v>
      </c>
      <c r="CR3" s="37" t="str">
        <f t="shared" si="13"/>
        <v>APARENTEMENTE NORMAL</v>
      </c>
      <c r="CS3" s="31"/>
      <c r="CT3" s="31"/>
      <c r="CU3" s="37" t="str">
        <f t="shared" si="14"/>
        <v/>
      </c>
      <c r="CV3" s="31"/>
      <c r="CW3" s="31"/>
      <c r="CX3" s="31"/>
      <c r="CY3" s="31"/>
      <c r="CZ3" s="37" t="str">
        <f t="shared" si="15"/>
        <v/>
      </c>
      <c r="DA3" s="35">
        <v>44662</v>
      </c>
      <c r="DB3" s="35">
        <v>44662</v>
      </c>
      <c r="DC3" s="35"/>
      <c r="DD3" s="35"/>
      <c r="DE3" s="35"/>
      <c r="DF3" s="35"/>
      <c r="DG3" s="35"/>
      <c r="DH3" s="35"/>
      <c r="DI3" s="35"/>
      <c r="DJ3" s="35"/>
      <c r="DK3" s="35"/>
      <c r="DL3" s="35"/>
      <c r="DM3" s="35"/>
      <c r="DN3" s="35"/>
      <c r="DO3" s="43"/>
      <c r="DP3" s="35"/>
      <c r="DQ3" s="31" t="str">
        <f t="shared" ca="1" si="16"/>
        <v>SALE SIN PLAN DE PARTO</v>
      </c>
      <c r="DR3" s="46" t="str">
        <f t="shared" si="17"/>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3" s="35">
        <f>IF(R3="","",IF(R3&gt;0,MAX(Tabla1[[#This Row],[FECHA C2]:[FECHA C13]],Tabla1[[#This Row],[FECHA CONSULTA PRIMERA VEZ PROGRAMA CPN ]])))</f>
        <v>44662</v>
      </c>
      <c r="DV3" s="31">
        <f t="shared" si="18"/>
        <v>0</v>
      </c>
      <c r="DW3" s="43">
        <f>IF(R3&gt;0,SUM(COUNTA(DC3:DN3)+COUNTA(Tabla1[[#This Row],[FECHA CONSULTA PRIMERA VEZ PROGRAMA CPN ]])),"")</f>
        <v>1</v>
      </c>
      <c r="DX3" s="43" t="str">
        <f t="shared" si="19"/>
        <v>NO</v>
      </c>
      <c r="DY3" s="39">
        <f t="shared" si="20"/>
        <v>11</v>
      </c>
      <c r="DZ3" s="47">
        <f t="shared" si="21"/>
        <v>9.0909090909090912E-2</v>
      </c>
      <c r="EA3" s="35">
        <v>44662</v>
      </c>
      <c r="EB3" s="35">
        <v>44662</v>
      </c>
      <c r="EC3" s="35">
        <v>44662</v>
      </c>
      <c r="ED3" s="35"/>
      <c r="EE3" s="35">
        <v>44662</v>
      </c>
      <c r="EF3" s="35"/>
      <c r="EG3" s="35"/>
      <c r="EH3" s="31"/>
      <c r="EI3" s="31">
        <v>14</v>
      </c>
      <c r="EJ3" s="35">
        <v>44662</v>
      </c>
      <c r="EK3" s="43">
        <f t="shared" si="22"/>
        <v>0.7142857142857143</v>
      </c>
      <c r="EL3" s="39" t="str">
        <f t="shared" si="23"/>
        <v>NORMAL- SUMINISTRAR SULFATO FERROSO</v>
      </c>
      <c r="EM3" s="31" t="str">
        <f t="shared" si="24"/>
        <v>I TRIM</v>
      </c>
      <c r="EN3" s="37"/>
      <c r="EO3" s="35"/>
      <c r="EP3" s="44" t="str">
        <f t="shared" si="25"/>
        <v>TOMAR EXAMEN</v>
      </c>
      <c r="EQ3" s="39" t="str">
        <f t="shared" si="26"/>
        <v/>
      </c>
      <c r="ER3" s="37" t="s">
        <v>842</v>
      </c>
      <c r="ES3" s="35">
        <v>44662</v>
      </c>
      <c r="ET3" s="44">
        <f t="shared" si="27"/>
        <v>0.7142857142857143</v>
      </c>
      <c r="EU3" s="39" t="str">
        <f t="shared" si="28"/>
        <v>NO HAY RIESGO POR RH</v>
      </c>
      <c r="EV3" s="31">
        <v>95</v>
      </c>
      <c r="EW3" s="35">
        <v>44662</v>
      </c>
      <c r="EX3" s="44">
        <f t="shared" si="29"/>
        <v>0.7142857142857143</v>
      </c>
      <c r="EY3" s="44"/>
      <c r="EZ3" s="44"/>
      <c r="FA3" s="44"/>
      <c r="FB3" s="31" t="str">
        <f t="shared" ca="1" si="30"/>
        <v/>
      </c>
      <c r="FC3" s="48"/>
      <c r="FD3" s="44" t="str">
        <f t="shared" si="31"/>
        <v>TOMAR EXAMEN</v>
      </c>
      <c r="FE3" s="35" t="s">
        <v>843</v>
      </c>
      <c r="FF3" s="35">
        <v>44662</v>
      </c>
      <c r="FG3" s="44">
        <f t="shared" ca="1" si="32"/>
        <v>0.7142857142857143</v>
      </c>
      <c r="FH3" s="35"/>
      <c r="FI3" s="49"/>
      <c r="FJ3" s="44" t="str">
        <f t="shared" ca="1" si="33"/>
        <v>PIERDE TOMA DE TAMIZAJE</v>
      </c>
      <c r="FK3" s="35"/>
      <c r="FL3" s="49"/>
      <c r="FM3" s="44" t="str">
        <f t="shared" ca="1" si="34"/>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5"/>
        <v>0.7142857142857143</v>
      </c>
      <c r="FT3" s="43" t="s">
        <v>844</v>
      </c>
      <c r="FU3" s="35">
        <v>44662</v>
      </c>
      <c r="FV3" s="44">
        <f t="shared" si="36"/>
        <v>0.7142857142857143</v>
      </c>
      <c r="FW3" s="35">
        <v>44662</v>
      </c>
      <c r="FX3" s="35">
        <v>44662</v>
      </c>
      <c r="FY3" s="35" t="s">
        <v>845</v>
      </c>
      <c r="FZ3" s="35">
        <v>44662</v>
      </c>
      <c r="GA3" s="44">
        <f t="shared" ca="1" si="37"/>
        <v>0.7142857142857143</v>
      </c>
      <c r="GB3" s="35"/>
      <c r="GC3" s="35"/>
      <c r="GD3" s="44" t="str">
        <f t="shared" ca="1" si="38"/>
        <v>PIERDE TOMA DE TAMIZAJE</v>
      </c>
      <c r="GE3" s="35"/>
      <c r="GF3" s="35"/>
      <c r="GG3" s="44" t="str">
        <f t="shared" ca="1" si="39"/>
        <v>PIERDE TOMA DE TAMIZAJE</v>
      </c>
      <c r="GH3" s="35"/>
      <c r="GI3" s="44"/>
      <c r="GJ3" s="35" t="s">
        <v>832</v>
      </c>
      <c r="GK3" s="35"/>
      <c r="GL3" s="35" t="s">
        <v>832</v>
      </c>
      <c r="GM3" s="35"/>
      <c r="GN3" s="43" t="s">
        <v>844</v>
      </c>
      <c r="GO3" s="35">
        <v>44662</v>
      </c>
      <c r="GP3" s="44">
        <f t="shared" si="40"/>
        <v>0.7142857142857143</v>
      </c>
      <c r="GQ3" s="43" t="s">
        <v>844</v>
      </c>
      <c r="GR3" s="43" t="s">
        <v>844</v>
      </c>
      <c r="GS3" s="35" t="str">
        <f t="shared" si="41"/>
        <v>CONTROL Igm</v>
      </c>
      <c r="GT3" s="35">
        <v>44662</v>
      </c>
      <c r="GU3" s="44">
        <f t="shared" si="42"/>
        <v>0.7142857142857143</v>
      </c>
      <c r="GV3" s="31" t="str">
        <f t="shared" si="43"/>
        <v>I TRIM</v>
      </c>
      <c r="GW3" s="43"/>
      <c r="GX3" s="46"/>
      <c r="GY3" s="31"/>
      <c r="GZ3" s="35"/>
      <c r="HA3" s="43" t="str">
        <f t="shared" si="44"/>
        <v/>
      </c>
      <c r="HB3" s="31" t="str">
        <f t="shared" si="45"/>
        <v/>
      </c>
      <c r="HC3" s="31" t="str">
        <f t="shared" si="46"/>
        <v/>
      </c>
      <c r="HD3" s="31" t="s">
        <v>846</v>
      </c>
      <c r="HE3" s="31"/>
      <c r="HF3" s="31" t="s">
        <v>847</v>
      </c>
      <c r="HG3" s="31"/>
      <c r="HH3" s="31" t="s">
        <v>848</v>
      </c>
      <c r="HI3" s="31">
        <v>0</v>
      </c>
      <c r="HJ3" s="35" t="s">
        <v>849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7"/>
        <v>*****SOBREPESO****PREVENCIÓN CONTAGIO TOXOPLASMOSIS***</v>
      </c>
      <c r="HM3" s="35" t="e">
        <f>IF(AND(O3="",R3=""),"",IF(AND(OR(O3&lt;&gt;"",R3&lt;&gt;""),OR(HO3="RIESGO ALTO DE COMPLICACIONES HIPERTENSIVAS VER MANEJO GUIA SUMINISTRO ASA Y CALCIO",HO3="RIESGO MODERADO (2 O MAS CRITERIOS) VER MANEJO GUIA SUMINISTRO ASA Y CALCIO")),"ALTO RIESGO",IF(AND(HL3="************",OR(O3&lt;&gt;"",R3&lt;&gt;""),AND(#REF!&gt;=0,#REF!&lt;3)),"BAJO RIESGO",IF(AND(OR(O3&lt;&gt;"",R3&lt;&gt;""),OR(HJ3="COVID19 PRIMER TRIMESTRE",HJ3="COVID19 SEGUNDO TRIMESTRE",HJ3="COVID19 TERCER TRIMESTRE",HJ3="COVID19 PUERPERIO")),"ALTO RIESGO",IF(AND(HL3&lt;&gt;"",OR(O3&lt;&gt;"",R3&lt;&gt;""),AND(#REF!&gt;=0,#REF!&lt;3)),"CON RIESGO",IF(AND(OR(O3&lt;&gt;"",R3&lt;&gt;""),#REF!&gt;2),"ALTO RIESGO",""))))))</f>
        <v>#REF!</v>
      </c>
      <c r="HN3" s="31" t="e">
        <f ca="1">IF(OR(O3&gt;0,R3&gt;0),CONCATENATE(IF(AK3="CON RIESGO","RIESGO PSICOSOCIAL",""),"*",CONCATENATE(IF(AL3="SI","ANTECEDENTE PREECLAMPSIA",""),"*",CONCATENATE(IF(AM3="SI","ANTECEDENTE HEMORRAGIA POSTPARTO O RETENCIÓN DE PLACENTA",""),"*",CONCATENATE(IF(AN3="SI","ANTECEDENTE RN BAJO PESO O MACROSOMICO",""),"*",CONCATENATE(IF(AP3="SI","ANTECEDENTE TRABAJO DE PARTO PROLONGADO",""),"*",CONCATENATE(IF(AU3="SI","INFERTILIDAD",""),"*",CONCATENATE(IF(BA3="SI","ENFERMERDAD AUTOINMUNE",""),"*",CONCATENATE(IF(BB3="SI","DIABETES PREGESTACIONAL",""),"*",CONCATENATE(IF(BC3="SI","ENFERMEDAD CARDIACA",""),"*",CONCATENATE(IF(BD3="SI","HTA CRÓNICA",""),"*",CONCATENATE(IF(BE3="SI","ENFERMEDAD RENAL CRÓNICA",""),"*",CONCATENATE(IF(BG3="SI","RUPTURA PREMATURA DE MEMBRANAS",""),"*",CONCATENATE(IF(OR(BH3="SI",BI3="SI"),"HEMORRAGIA DURANTE LA GESTACIÓN",""),"*",CONCATENATE(IF(BV3="SI","RCIU",""),"*",CONCATENATE(IF(BW3="SI","EMBARAZO GEMELAR",""),"*",CONCATENATE(IF(#REF!=3,"PRESENTACIÓN FETAL PODALICA O TRANSVERSA",""),"*",CONCATENATE(IF(BY3="SI","POLIHIDRAMNIOS",""),"*",CONCATENATE(IF(FB3="DIABETES, REMITIR","DIABETES GESTACIONAL",""),"*",CONCATENATE(IF(FP3&lt;&gt;"","SEGUIMIENTO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MALARIA",""),"*",CONCATENATE(IF(OR(HJ3="COVID19 PRIMER TRIMESTRE",HJ3="COVID19 SEGUNDO TRIMESTRE", HJ3="COVID19 TERCER TRIMESTRE",HJ3="COVID19 PUERPERIO"),"SEGUIMIENTO PARA COVID19",""),"*",CONCATENATE(IF(EU3="RIESGO DE INCOMPATIBILIDAD RH","SEGUIMIENTO PARA INCOMPATIBILIDAD RH",""),"*")))))))))))))))))))))))))))))))),"")</f>
        <v>#REF!</v>
      </c>
      <c r="HO3" s="31" t="e">
        <f>IF(AND(O3="",R3=""),"",IF(AND(OR(O3&gt;0,R3&gt;0),OR(AL3="SI",BD3="SI",BA3="SI",BB3="SI",BE3="SI")),"RIESGO ALTO DE COMPLICACIONES HIPERTENSIVAS VER MANEJO GUIA SUMINISTRO ASA Y CALCIO",IF(AND(OR(O3&gt;0,R3&gt;0),#REF!&gt;1),"RIESGO MODERADO (2 O MAS CRITERIOS) VER MANEJO GUIA SUMINISTRO ASA Y CALCIO","SIN ANTECEDENTES DE RIESGO")))</f>
        <v>#REF!</v>
      </c>
      <c r="HP3" s="37" t="str">
        <f t="shared" si="48"/>
        <v>APARENTEMENTE NORMAL</v>
      </c>
      <c r="HQ3"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3" s="46" t="str">
        <f t="shared" si="49"/>
        <v>SEGUIMIENTO REPORTE EPS</v>
      </c>
      <c r="HS3" s="31" t="s">
        <v>824</v>
      </c>
      <c r="HT3" s="31" t="s">
        <v>832</v>
      </c>
      <c r="HU3" s="35"/>
      <c r="HV3" s="35"/>
      <c r="HW3" s="35">
        <v>44662</v>
      </c>
      <c r="HX3" s="35" t="s">
        <v>850</v>
      </c>
      <c r="HY3" s="35">
        <v>44662</v>
      </c>
      <c r="HZ3" s="35" t="s">
        <v>850</v>
      </c>
      <c r="IA3" s="40" t="s">
        <v>836</v>
      </c>
      <c r="IB3" s="35">
        <v>44662</v>
      </c>
      <c r="IC3" s="43">
        <f t="shared" si="50"/>
        <v>0.7142857142857143</v>
      </c>
      <c r="ID3" s="40" t="s">
        <v>824</v>
      </c>
      <c r="IE3" s="40"/>
      <c r="IF3" s="35"/>
      <c r="IG3" s="35"/>
      <c r="IH3" s="151"/>
      <c r="II3" s="151"/>
      <c r="IJ3" s="151"/>
      <c r="IK3" s="37" t="e">
        <f>IF(AND(BK3="",#REF!="SD"),"SIN DATO EDAD GESTACIONAL",IF(AND(BK3="",#REF!=""),"",IF(AND(AND(BQ3&gt;0,BQ3&lt;12),#REF!=""),"MENOR 12 SEMANAS",IF(AND(BQ3&gt;11.6,#REF!="",HJ3="BAJO RIESGO O SE DESCARTA INFECCIÓN POR SARS-CoV2"),"PROGRAMAR APLICACION DE VACUNA",IF(OR(AND(BQ3&gt;11.6,#REF!=""),HJ3="FACTOR DE RIESGO PARA COVID19",HJ3="COVID19 PRIMER TRIMESTRE",HJ3="COVID19 SEGUNDO TRIMESTRE",HJ3="COVID19 TERCER TRIMESTRE",HJ3="COVID19 PUERPERIO"),"DIFERIR FECHA DE VACUNACION SEGÚN LINEAMIENTOS",IF(AND(BQ3&gt;11.6,#REF!="Error Jansen X Fecha Segunda Dosis"),"Error Jansen X Fecha Segunda Dosis",IF(AND(BQ3&gt;11.6,#REF!="Firma"),"FIRMA DISENTIMIENTO",IF(AND(BQ3&gt;11.6,#REF!="Firma3"),"NO ACEPTA VACUNA Y NO FIRMA DISCENTIMIENTO",IF(AND(BQ3&gt;11.6,#REF!="Firma2"),"Error en Fecha x Firma Disentimiento",IF(AND(BQ3&gt;11.6,#REF!="Firma4"),"Error en Fecha x No Acepta no Firma",IF(AND(BQ3&gt;11.6,#REF!="Completo",Tabla1[[#This Row],[Fecha Refuerzo Anti COVID-20]]=""),"PENDIENTE REFUERZO",IF(AND(BQ3&gt;11.6,#REF!="Completo",Tabla1[[#This Row],[Fecha Refuerzo Anti COVID-20]]&lt;&gt;""),"CON REFUERZO",IF(AND(BQ3&gt;11.6,#REF!="Falta Dosis"),#REF!,IF(OR(AND(BQ3&gt;11.6,#REF!=""),HJ3="",HJ3="NO SE EVALUA RIESGO INFECCIÓN COVID19"),"DEFINIR RIESGO CONTAGIO SARS-CoV2, columna GZ",""))))))))))))))</f>
        <v>#REF!</v>
      </c>
      <c r="IL3" s="151"/>
      <c r="IM3" s="35"/>
      <c r="IN3" s="35" t="e">
        <f>IF(AND(BK3="",#REF!="SD"),"SIN DATO EDAD GESTACIONAL",IF(AND(BK3="",IM3=""),"",IF(AND(AND(BQ3&gt;0,BQ3&lt;20),IM3=""),"EN ESPERA PARA VACUNAR",IF(AND(AND(BQ3&gt;19,BQ3&lt;27),IM3=""),"PROGRAMAR APLICACION DE VACUNA",IF(AND(AND(BQ3&gt;26,BQ3&lt;43),IM3=""),"INASISTENTE",IF(AND(AND(#REF!&gt;19,#REF!&lt;27),IM3&gt;0),"VACUNA APLICADA ENTRE SEMANA 20 Y SEMANA 26",IF(AND(#REF!&lt;20,IM3&gt;0),"VACUNA APLICADA ANTES SEMANA 20",IF(AND(#REF!&gt;26,IM3&gt;0),"VACUNA APLICADA ENTRE SEMANA 27 Y EL PARTO",IF(AND(OR(IT3="CESAREA",IT3="PARTO"),IR3="POSIBLEMENTE NACIO",IM3=""),"SALE SIN VACUNA","")))))))))</f>
        <v>#REF!</v>
      </c>
      <c r="IO3" s="35"/>
      <c r="IP3" s="35">
        <f t="shared" si="51"/>
        <v>44937</v>
      </c>
      <c r="IQ3" s="44">
        <f t="shared" ca="1" si="52"/>
        <v>-294</v>
      </c>
      <c r="IR3" s="35" t="str">
        <f t="shared" ca="1" si="53"/>
        <v>POSIBLEMENTE NACIO</v>
      </c>
      <c r="IS3" s="35"/>
      <c r="IT3" s="31" t="s">
        <v>852</v>
      </c>
      <c r="IU3" s="31"/>
      <c r="IV3" s="51"/>
      <c r="IW3" s="35"/>
      <c r="IX3" s="31"/>
      <c r="IY3" s="44" t="str">
        <f t="shared" si="54"/>
        <v/>
      </c>
      <c r="IZ3" s="52"/>
      <c r="JA3" s="31"/>
      <c r="JB3" s="31"/>
      <c r="JC3" s="31"/>
      <c r="JD3" s="31"/>
      <c r="JE3" s="31"/>
      <c r="JF3" s="31"/>
      <c r="JG3" s="31"/>
      <c r="JH3" s="31"/>
      <c r="JI3" s="31"/>
      <c r="JJ3" s="31"/>
      <c r="JK3" s="46"/>
      <c r="JL3" s="31"/>
      <c r="JM3" s="53"/>
      <c r="JN3" s="31" t="str">
        <f t="shared" si="55"/>
        <v/>
      </c>
      <c r="JO3" s="46"/>
      <c r="JP3" s="31"/>
      <c r="JQ3" s="31"/>
      <c r="JR3" s="31"/>
      <c r="JS3" s="46"/>
      <c r="JT3" s="35"/>
      <c r="JU3" s="35"/>
      <c r="JV3" s="31"/>
      <c r="JW3" s="53"/>
      <c r="JX3" s="31" t="str">
        <f t="shared" si="56"/>
        <v/>
      </c>
      <c r="JY3" s="35"/>
      <c r="JZ3" s="31"/>
      <c r="KA3" s="31"/>
      <c r="KB3" s="31"/>
      <c r="KC3" s="46"/>
      <c r="KD3" s="35"/>
      <c r="KE3" s="35"/>
      <c r="KF3" s="50"/>
      <c r="KG3" s="43" t="str">
        <f t="shared" si="57"/>
        <v/>
      </c>
      <c r="KH3" s="50"/>
      <c r="KI3" s="43" t="str">
        <f t="shared" si="58"/>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48"/>
    </row>
    <row r="4" spans="1:354" ht="39.950000000000003" customHeight="1" x14ac:dyDescent="0.25">
      <c r="A4" s="145" t="s">
        <v>803</v>
      </c>
      <c r="B4" s="68" t="s">
        <v>804</v>
      </c>
      <c r="C4" s="68" t="s">
        <v>805</v>
      </c>
      <c r="D4" s="165" t="s">
        <v>813</v>
      </c>
      <c r="E4" s="68" t="s">
        <v>814</v>
      </c>
      <c r="F4" s="68" t="s">
        <v>815</v>
      </c>
      <c r="G4" s="68" t="s">
        <v>816</v>
      </c>
      <c r="H4" s="68"/>
      <c r="I4" s="145" t="s">
        <v>817</v>
      </c>
      <c r="J4" s="146">
        <v>1058546619</v>
      </c>
      <c r="K4" s="68" t="s">
        <v>811</v>
      </c>
      <c r="L4" s="68" t="s">
        <v>818</v>
      </c>
      <c r="M4" s="237">
        <v>38125</v>
      </c>
      <c r="N4" s="237">
        <v>40535</v>
      </c>
      <c r="O4" s="35">
        <v>44734</v>
      </c>
      <c r="P4" s="39" t="str">
        <f t="shared" si="1"/>
        <v>SI</v>
      </c>
      <c r="Q4" s="40" t="s">
        <v>825</v>
      </c>
      <c r="R4" s="35">
        <v>44734</v>
      </c>
      <c r="S4" s="31" t="s">
        <v>826</v>
      </c>
      <c r="T4" s="37" t="s">
        <v>751</v>
      </c>
      <c r="U4" s="31" t="s">
        <v>827</v>
      </c>
      <c r="V4" s="31" t="s">
        <v>828</v>
      </c>
      <c r="W4" s="31" t="s">
        <v>837</v>
      </c>
      <c r="X4" s="31" t="s">
        <v>837</v>
      </c>
      <c r="Y4" s="31" t="s">
        <v>837</v>
      </c>
      <c r="Z4" s="31">
        <v>3175892519</v>
      </c>
      <c r="AA4" s="31" t="s">
        <v>831</v>
      </c>
      <c r="AB4" s="41" t="s">
        <v>832</v>
      </c>
      <c r="AC4" s="40" t="s">
        <v>838</v>
      </c>
      <c r="AD4" s="55" t="s">
        <v>839</v>
      </c>
      <c r="AE4" s="40" t="s">
        <v>824</v>
      </c>
      <c r="AF4" s="40" t="s">
        <v>824</v>
      </c>
      <c r="AG4" s="36" t="s">
        <v>835</v>
      </c>
      <c r="AH4" s="36" t="s">
        <v>835</v>
      </c>
      <c r="AI4" s="37" t="s">
        <v>834</v>
      </c>
      <c r="AJ4" s="36" t="s">
        <v>835</v>
      </c>
      <c r="AK4" s="42" t="e">
        <f>IF(AND(AE4="",AF4="",AG4="",AH4="",AI4="",AJ4=""),"",IF(AND(OR(O4&gt;0,R4&gt;0),#REF!&gt;=0,#REF!&lt;2),"SIN RIESGO",IF(AND(OR(O4&gt;0,R4&gt;0),#REF!&gt;=2),"CON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4" s="36" t="s">
        <v>835</v>
      </c>
      <c r="AM4" s="40" t="s">
        <v>835</v>
      </c>
      <c r="AN4" s="40" t="s">
        <v>835</v>
      </c>
      <c r="AO4" s="40" t="s">
        <v>835</v>
      </c>
      <c r="AP4" s="40" t="s">
        <v>835</v>
      </c>
      <c r="AQ4" s="40" t="s">
        <v>835</v>
      </c>
      <c r="AR4" s="31">
        <v>0</v>
      </c>
      <c r="AS4" s="31">
        <v>0</v>
      </c>
      <c r="AT4" s="31">
        <v>0</v>
      </c>
      <c r="AU4" s="40" t="s">
        <v>835</v>
      </c>
      <c r="AV4" s="31">
        <v>0</v>
      </c>
      <c r="AW4" s="40" t="s">
        <v>835</v>
      </c>
      <c r="AX4" s="40" t="s">
        <v>835</v>
      </c>
      <c r="AY4" s="40" t="s">
        <v>835</v>
      </c>
      <c r="AZ4" s="40" t="s">
        <v>835</v>
      </c>
      <c r="BA4" s="40" t="s">
        <v>835</v>
      </c>
      <c r="BB4" s="40" t="s">
        <v>835</v>
      </c>
      <c r="BC4" s="40" t="s">
        <v>835</v>
      </c>
      <c r="BD4" s="40" t="s">
        <v>835</v>
      </c>
      <c r="BE4" s="40" t="s">
        <v>835</v>
      </c>
      <c r="BF4" s="40" t="s">
        <v>835</v>
      </c>
      <c r="BG4" s="40" t="s">
        <v>835</v>
      </c>
      <c r="BH4" s="40" t="s">
        <v>835</v>
      </c>
      <c r="BI4" s="40" t="s">
        <v>835</v>
      </c>
      <c r="BJ4" s="35"/>
      <c r="BK4" s="35">
        <v>44664</v>
      </c>
      <c r="BL4" s="31" t="s">
        <v>824</v>
      </c>
      <c r="BM4" s="43">
        <f t="shared" si="2"/>
        <v>0</v>
      </c>
      <c r="BN4" s="57" t="e">
        <f>IF(BS4&gt;0,SUM(BR4-#REF!),"")</f>
        <v>#REF!</v>
      </c>
      <c r="BO4" s="44">
        <f t="shared" si="3"/>
        <v>10</v>
      </c>
      <c r="BP4" s="31" t="str">
        <f t="shared" si="4"/>
        <v>I TRIM</v>
      </c>
      <c r="BQ4" s="39" t="str">
        <f t="shared" ca="1" si="5"/>
        <v/>
      </c>
      <c r="BR4" s="35">
        <v>44767</v>
      </c>
      <c r="BS4" s="43">
        <v>14</v>
      </c>
      <c r="BT4" s="35">
        <v>44823</v>
      </c>
      <c r="BU4" s="31">
        <v>22</v>
      </c>
      <c r="BV4" s="40" t="s">
        <v>835</v>
      </c>
      <c r="BW4" s="40" t="s">
        <v>835</v>
      </c>
      <c r="BX4" s="40" t="s">
        <v>840</v>
      </c>
      <c r="BY4" s="40" t="s">
        <v>835</v>
      </c>
      <c r="BZ4" s="35">
        <v>44734</v>
      </c>
      <c r="CA4" s="31">
        <v>1.6</v>
      </c>
      <c r="CB4" s="31">
        <v>59</v>
      </c>
      <c r="CC4" s="39">
        <f t="shared" si="6"/>
        <v>23.046874999999996</v>
      </c>
      <c r="CD4" s="45" t="str">
        <f t="shared" si="7"/>
        <v>NORMAL</v>
      </c>
      <c r="CE4" s="35">
        <v>44792</v>
      </c>
      <c r="CF4" s="31">
        <v>54</v>
      </c>
      <c r="CG4" s="39">
        <f t="shared" si="8"/>
        <v>21.093749999999996</v>
      </c>
      <c r="CH4" s="31">
        <f t="shared" si="9"/>
        <v>18</v>
      </c>
      <c r="CI4" s="31" t="e">
        <f>IF(OR(CH4="",CH4="NA"),"",IF(AND(CH4&gt;=29,CH4&lt;=42),"REGISTRAR EN III TRIM",IF(AND(CH4&gt;0,CH4&lt;=13),"REGISTRAR EN I TRIM",IF(CH4="REVISAR FUM O FECHA PESO","REVISAR",IF(CH4&gt;0,HLOOKUP(CH4,#REF!,#REF!),"")))))</f>
        <v>#REF!</v>
      </c>
      <c r="CJ4" s="35">
        <v>44883</v>
      </c>
      <c r="CK4" s="31">
        <v>60</v>
      </c>
      <c r="CL4" s="39">
        <f t="shared" si="10"/>
        <v>23.437499999999996</v>
      </c>
      <c r="CM4" s="31">
        <f t="shared" si="11"/>
        <v>31</v>
      </c>
      <c r="CN4" s="31" t="e">
        <f>IF(OR(CM4="",CM4="NA"),"",IF(AND(CM4&gt;0,CM4&lt;=28),"REGISTRAR EN  TRIM RESPECTIVO",IF(CM4&gt;0,HLOOKUP(CM4,#REF!,#REF!),"")))</f>
        <v>#REF!</v>
      </c>
      <c r="CO4" s="31" t="e">
        <f t="shared" si="12"/>
        <v>#REF!</v>
      </c>
      <c r="CP4" s="31">
        <v>110</v>
      </c>
      <c r="CQ4" s="31">
        <v>70</v>
      </c>
      <c r="CR4" s="37" t="str">
        <f t="shared" si="13"/>
        <v>APARENTEMENTE NORMAL</v>
      </c>
      <c r="CS4" s="31">
        <v>100</v>
      </c>
      <c r="CT4" s="31">
        <v>70</v>
      </c>
      <c r="CU4" s="37" t="str">
        <f t="shared" si="14"/>
        <v>VIGILAR CIFRAS PRESION ARTERIAL</v>
      </c>
      <c r="CV4" s="31">
        <v>100</v>
      </c>
      <c r="CW4" s="31">
        <v>70</v>
      </c>
      <c r="CX4" s="31">
        <v>110</v>
      </c>
      <c r="CY4" s="31">
        <v>70</v>
      </c>
      <c r="CZ4" s="37" t="str">
        <f t="shared" si="15"/>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6"/>
        <v>SALE SIN PLAN DE PARTO</v>
      </c>
      <c r="DR4" s="46" t="str">
        <f t="shared" si="17"/>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4" s="35">
        <f>IF(R4="","",IF(R4&gt;0,MAX(Tabla1[[#This Row],[FECHA C2]:[FECHA C13]],Tabla1[[#This Row],[FECHA CONSULTA PRIMERA VEZ PROGRAMA CPN ]])))</f>
        <v>44923</v>
      </c>
      <c r="DV4" s="31">
        <f t="shared" si="18"/>
        <v>37</v>
      </c>
      <c r="DW4" s="43">
        <f>IF(R4&gt;0,SUM(COUNTA(DC4:DN4)+COUNTA(Tabla1[[#This Row],[FECHA CONSULTA PRIMERA VEZ PROGRAMA CPN ]])),"")</f>
        <v>6</v>
      </c>
      <c r="DX4" s="43" t="str">
        <f t="shared" si="19"/>
        <v>SI</v>
      </c>
      <c r="DY4" s="39">
        <f t="shared" si="20"/>
        <v>9</v>
      </c>
      <c r="DZ4" s="47">
        <f t="shared" si="21"/>
        <v>0.66666666666666663</v>
      </c>
      <c r="EA4" s="35">
        <v>44734</v>
      </c>
      <c r="EB4" s="35">
        <v>44734</v>
      </c>
      <c r="EC4" s="35">
        <v>44734</v>
      </c>
      <c r="ED4" s="35">
        <v>44761</v>
      </c>
      <c r="EE4" s="35">
        <v>44734</v>
      </c>
      <c r="EF4" s="35">
        <v>44767</v>
      </c>
      <c r="EG4" s="35">
        <v>44823</v>
      </c>
      <c r="EH4" s="31">
        <v>2</v>
      </c>
      <c r="EI4" s="31">
        <v>13</v>
      </c>
      <c r="EJ4" s="35">
        <v>44734</v>
      </c>
      <c r="EK4" s="43">
        <f t="shared" si="22"/>
        <v>10</v>
      </c>
      <c r="EL4" s="39" t="str">
        <f t="shared" si="23"/>
        <v>NORMAL- SUMINISTRAR SULFATO FERROSO</v>
      </c>
      <c r="EM4" s="31" t="str">
        <f t="shared" si="24"/>
        <v>I TRIM</v>
      </c>
      <c r="EN4" s="37">
        <v>15</v>
      </c>
      <c r="EO4" s="35">
        <v>44883</v>
      </c>
      <c r="EP4" s="44">
        <f t="shared" si="25"/>
        <v>31.285714285714285</v>
      </c>
      <c r="EQ4" s="39" t="str">
        <f t="shared" si="26"/>
        <v>NO DAR SULFATO FERROSO</v>
      </c>
      <c r="ER4" s="37" t="s">
        <v>842</v>
      </c>
      <c r="ES4" s="35">
        <v>44734</v>
      </c>
      <c r="ET4" s="44">
        <f t="shared" si="27"/>
        <v>10</v>
      </c>
      <c r="EU4" s="39" t="str">
        <f t="shared" si="28"/>
        <v>NO HAY RIESGO POR RH</v>
      </c>
      <c r="EV4" s="31">
        <v>95</v>
      </c>
      <c r="EW4" s="35">
        <v>44734</v>
      </c>
      <c r="EX4" s="44">
        <f t="shared" si="29"/>
        <v>10</v>
      </c>
      <c r="EY4" s="44">
        <v>75</v>
      </c>
      <c r="EZ4" s="44">
        <v>85</v>
      </c>
      <c r="FA4" s="44">
        <v>110</v>
      </c>
      <c r="FB4" s="31" t="str">
        <f t="shared" ca="1" si="30"/>
        <v>NORMAL</v>
      </c>
      <c r="FC4" s="48">
        <v>44848</v>
      </c>
      <c r="FD4" s="44">
        <f t="shared" si="31"/>
        <v>26.285714285714285</v>
      </c>
      <c r="FE4" s="35" t="s">
        <v>843</v>
      </c>
      <c r="FF4" s="35">
        <v>44734</v>
      </c>
      <c r="FG4" s="44">
        <f t="shared" ca="1" si="32"/>
        <v>10</v>
      </c>
      <c r="FH4" s="35" t="s">
        <v>843</v>
      </c>
      <c r="FI4" s="49">
        <v>44820</v>
      </c>
      <c r="FJ4" s="44">
        <f t="shared" ca="1" si="33"/>
        <v>22.285714285714285</v>
      </c>
      <c r="FK4" s="35" t="s">
        <v>843</v>
      </c>
      <c r="FL4" s="49">
        <v>44883</v>
      </c>
      <c r="FM4" s="44">
        <f t="shared" ca="1" si="34"/>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752</v>
      </c>
      <c r="FR4" s="35">
        <v>44734</v>
      </c>
      <c r="FS4" s="44">
        <f t="shared" si="35"/>
        <v>10</v>
      </c>
      <c r="FT4" s="43" t="s">
        <v>844</v>
      </c>
      <c r="FU4" s="35">
        <v>44734</v>
      </c>
      <c r="FV4" s="44">
        <f t="shared" si="36"/>
        <v>10</v>
      </c>
      <c r="FW4" s="35">
        <v>44734</v>
      </c>
      <c r="FX4" s="35">
        <v>44734</v>
      </c>
      <c r="FY4" s="35" t="s">
        <v>845</v>
      </c>
      <c r="FZ4" s="35">
        <v>44734</v>
      </c>
      <c r="GA4" s="44">
        <f t="shared" ca="1" si="37"/>
        <v>10</v>
      </c>
      <c r="GB4" s="35" t="s">
        <v>845</v>
      </c>
      <c r="GC4" s="35">
        <v>44820</v>
      </c>
      <c r="GD4" s="44">
        <f t="shared" ca="1" si="38"/>
        <v>22.285714285714285</v>
      </c>
      <c r="GE4" s="35" t="s">
        <v>845</v>
      </c>
      <c r="GF4" s="35">
        <v>44883</v>
      </c>
      <c r="GG4" s="44">
        <f t="shared" ca="1" si="39"/>
        <v>31.285714285714285</v>
      </c>
      <c r="GH4" s="35"/>
      <c r="GI4" s="44"/>
      <c r="GJ4" s="35" t="s">
        <v>832</v>
      </c>
      <c r="GK4" s="35"/>
      <c r="GL4" s="35" t="s">
        <v>832</v>
      </c>
      <c r="GM4" s="35"/>
      <c r="GN4" s="43" t="s">
        <v>844</v>
      </c>
      <c r="GO4" s="35">
        <v>44734</v>
      </c>
      <c r="GP4" s="44">
        <f t="shared" si="40"/>
        <v>10</v>
      </c>
      <c r="GQ4" s="43" t="s">
        <v>844</v>
      </c>
      <c r="GR4" s="43" t="s">
        <v>844</v>
      </c>
      <c r="GS4" s="35" t="str">
        <f t="shared" si="41"/>
        <v>CONTROL Igm</v>
      </c>
      <c r="GT4" s="35">
        <v>44734</v>
      </c>
      <c r="GU4" s="44">
        <f t="shared" si="42"/>
        <v>10</v>
      </c>
      <c r="GV4" s="31" t="str">
        <f t="shared" si="43"/>
        <v>I TRIM</v>
      </c>
      <c r="GW4" s="43" t="s">
        <v>844</v>
      </c>
      <c r="GX4" s="46">
        <v>5</v>
      </c>
      <c r="GY4" s="31"/>
      <c r="GZ4" s="35"/>
      <c r="HA4" s="43" t="str">
        <f t="shared" si="44"/>
        <v/>
      </c>
      <c r="HB4" s="31" t="str">
        <f t="shared" si="45"/>
        <v/>
      </c>
      <c r="HC4" s="31" t="str">
        <f t="shared" si="46"/>
        <v/>
      </c>
      <c r="HD4" s="31" t="s">
        <v>846</v>
      </c>
      <c r="HE4" s="31"/>
      <c r="HF4" s="31" t="s">
        <v>847</v>
      </c>
      <c r="HG4" s="31"/>
      <c r="HH4" s="31" t="s">
        <v>848</v>
      </c>
      <c r="HI4" s="31">
        <v>0</v>
      </c>
      <c r="HJ4" s="35" t="s">
        <v>849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e">
        <f t="shared" si="47"/>
        <v>#REF!</v>
      </c>
      <c r="HM4" s="35" t="e">
        <f>IF(AND(O4="",R4=""),"",IF(AND(OR(O4&lt;&gt;"",R4&lt;&gt;""),OR(HO4="RIESGO ALTO DE COMPLICACIONES HIPERTENSIVAS VER MANEJO GUIA SUMINISTRO ASA Y CALCIO",HO4="RIESGO MODERADO (2 O MAS CRITERIOS) VER MANEJO GUIA SUMINISTRO ASA Y CALCIO")),"ALTO RIESGO",IF(AND(HL4="************",OR(O4&lt;&gt;"",R4&lt;&gt;""),AND(#REF!&gt;=0,#REF!&lt;3)),"BAJO RIESGO",IF(AND(OR(O4&lt;&gt;"",R4&lt;&gt;""),OR(HJ4="COVID19 PRIMER TRIMESTRE",HJ4="COVID19 SEGUNDO TRIMESTRE",HJ4="COVID19 TERCER TRIMESTRE",HJ4="COVID19 PUERPERIO")),"ALTO RIESGO",IF(AND(HL4&lt;&gt;"",OR(O4&lt;&gt;"",R4&lt;&gt;""),AND(#REF!&gt;=0,#REF!&lt;3)),"CON RIESGO",IF(AND(OR(O4&lt;&gt;"",R4&lt;&gt;""),#REF!&gt;2),"ALTO RIESGO",""))))))</f>
        <v>#REF!</v>
      </c>
      <c r="HN4" s="31" t="e">
        <f ca="1">IF(OR(O4&gt;0,R4&gt;0),CONCATENATE(IF(AK4="CON RIESGO","RIESGO PSICOSOCIAL",""),"*",CONCATENATE(IF(AL4="SI","ANTECEDENTE PREECLAMPSIA",""),"*",CONCATENATE(IF(AM4="SI","ANTECEDENTE HEMORRAGIA POSTPARTO O RETENCIÓN DE PLACENTA",""),"*",CONCATENATE(IF(AN4="SI","ANTECEDENTE RN BAJO PESO O MACROSOMICO",""),"*",CONCATENATE(IF(AP4="SI","ANTECEDENTE TRABAJO DE PARTO PROLONGADO",""),"*",CONCATENATE(IF(AU4="SI","INFERTILIDAD",""),"*",CONCATENATE(IF(BA4="SI","ENFERMERDAD AUTOINMUNE",""),"*",CONCATENATE(IF(BB4="SI","DIABETES PREGESTACIONAL",""),"*",CONCATENATE(IF(BC4="SI","ENFERMEDAD CARDIACA",""),"*",CONCATENATE(IF(BD4="SI","HTA CRÓNICA",""),"*",CONCATENATE(IF(BE4="SI","ENFERMEDAD RENAL CRÓNICA",""),"*",CONCATENATE(IF(BG4="SI","RUPTURA PREMATURA DE MEMBRANAS",""),"*",CONCATENATE(IF(OR(BH4="SI",BI4="SI"),"HEMORRAGIA DURANTE LA GESTACIÓN",""),"*",CONCATENATE(IF(BV4="SI","RCIU",""),"*",CONCATENATE(IF(BW4="SI","EMBARAZO GEMELAR",""),"*",CONCATENATE(IF(#REF!=3,"PRESENTACIÓN FETAL PODALICA O TRANSVERSA",""),"*",CONCATENATE(IF(BY4="SI","POLIHIDRAMNIOS",""),"*",CONCATENATE(IF(FB4="DIABETES, REMITIR","DIABETES GESTACIONAL",""),"*",CONCATENATE(IF(FP4&lt;&gt;"","SEGUIMIENTO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MALARIA",""),"*",CONCATENATE(IF(OR(HJ4="COVID19 PRIMER TRIMESTRE",HJ4="COVID19 SEGUNDO TRIMESTRE", HJ4="COVID19 TERCER TRIMESTRE",HJ4="COVID19 PUERPERIO"),"SEGUIMIENTO PARA COVID19",""),"*",CONCATENATE(IF(EU4="RIESGO DE INCOMPATIBILIDAD RH","SEGUIMIENTO PARA INCOMPATIBILIDAD RH",""),"*")))))))))))))))))))))))))))))))),"")</f>
        <v>#REF!</v>
      </c>
      <c r="HO4" s="31" t="e">
        <f>IF(AND(O4="",R4=""),"",IF(AND(OR(O4&gt;0,R4&gt;0),OR(AL4="SI",BD4="SI",BA4="SI",BB4="SI",BE4="SI")),"RIESGO ALTO DE COMPLICACIONES HIPERTENSIVAS VER MANEJO GUIA SUMINISTRO ASA Y CALCIO",IF(AND(OR(O4&gt;0,R4&gt;0),#REF!&gt;1),"RIESGO MODERADO (2 O MAS CRITERIOS) VER MANEJO GUIA SUMINISTRO ASA Y CALCIO","SIN ANTECEDENTES DE RIESGO")))</f>
        <v>#REF!</v>
      </c>
      <c r="HP4" s="37" t="str">
        <f t="shared" si="48"/>
        <v>APARENTEMENTE NORMAL</v>
      </c>
      <c r="HQ4"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4" s="46" t="str">
        <f t="shared" si="49"/>
        <v>SALIO PROGRAMA</v>
      </c>
      <c r="HS4" s="31" t="s">
        <v>824</v>
      </c>
      <c r="HT4" s="31" t="s">
        <v>832</v>
      </c>
      <c r="HU4" s="35">
        <v>44848</v>
      </c>
      <c r="HV4" s="35" t="s">
        <v>850</v>
      </c>
      <c r="HW4" s="35">
        <v>44848</v>
      </c>
      <c r="HX4" s="35" t="s">
        <v>850</v>
      </c>
      <c r="HY4" s="35">
        <v>44734</v>
      </c>
      <c r="HZ4" s="35" t="s">
        <v>850</v>
      </c>
      <c r="IA4" s="40" t="s">
        <v>836</v>
      </c>
      <c r="IB4" s="35">
        <v>44734</v>
      </c>
      <c r="IC4" s="43">
        <f t="shared" si="50"/>
        <v>10</v>
      </c>
      <c r="ID4" s="40" t="s">
        <v>824</v>
      </c>
      <c r="IE4" s="40" t="s">
        <v>851</v>
      </c>
      <c r="IF4" s="35"/>
      <c r="IG4" s="35"/>
      <c r="IH4" s="151"/>
      <c r="II4" s="151"/>
      <c r="IJ4" s="151"/>
      <c r="IK4" s="37" t="e">
        <f>IF(AND(BK4="",#REF!="SD"),"SIN DATO EDAD GESTACIONAL",IF(AND(BK4="",#REF!=""),"",IF(AND(AND(BQ4&gt;0,BQ4&lt;12),#REF!=""),"MENOR 12 SEMANAS",IF(AND(BQ4&gt;11.6,#REF!="",HJ4="BAJO RIESGO O SE DESCARTA INFECCIÓN POR SARS-CoV2"),"PROGRAMAR APLICACION DE VACUNA",IF(OR(AND(BQ4&gt;11.6,#REF!=""),HJ4="FACTOR DE RIESGO PARA COVID19",HJ4="COVID19 PRIMER TRIMESTRE",HJ4="COVID19 SEGUNDO TRIMESTRE",HJ4="COVID19 TERCER TRIMESTRE",HJ4="COVID19 PUERPERIO"),"DIFERIR FECHA DE VACUNACION SEGÚN LINEAMIENTOS",IF(AND(BQ4&gt;11.6,#REF!="Error Jansen X Fecha Segunda Dosis"),"Error Jansen X Fecha Segunda Dosis",IF(AND(BQ4&gt;11.6,#REF!="Firma"),"FIRMA DISENTIMIENTO",IF(AND(BQ4&gt;11.6,#REF!="Firma3"),"NO ACEPTA VACUNA Y NO FIRMA DISCENTIMIENTO",IF(AND(BQ4&gt;11.6,#REF!="Firma2"),"Error en Fecha x Firma Disentimiento",IF(AND(BQ4&gt;11.6,#REF!="Firma4"),"Error en Fecha x No Acepta no Firma",IF(AND(BQ4&gt;11.6,#REF!="Completo",Tabla1[[#This Row],[Fecha Refuerzo Anti COVID-20]]=""),"PENDIENTE REFUERZO",IF(AND(BQ4&gt;11.6,#REF!="Completo",Tabla1[[#This Row],[Fecha Refuerzo Anti COVID-20]]&lt;&gt;""),"CON REFUERZO",IF(AND(BQ4&gt;11.6,#REF!="Falta Dosis"),#REF!,IF(OR(AND(BQ4&gt;11.6,#REF!=""),HJ4="",HJ4="NO SE EVALUA RIESGO INFECCIÓN COVID19"),"DEFINIR RIESGO CONTAGIO SARS-CoV2, columna GZ",""))))))))))))))</f>
        <v>#REF!</v>
      </c>
      <c r="IL4" s="151">
        <v>44792</v>
      </c>
      <c r="IM4" s="35">
        <v>44820</v>
      </c>
      <c r="IN4" s="35" t="e">
        <f>IF(AND(BK4="",#REF!="SD"),"SIN DATO EDAD GESTACIONAL",IF(AND(BK4="",IM4=""),"",IF(AND(AND(BQ4&gt;0,BQ4&lt;20),IM4=""),"EN ESPERA PARA VACUNAR",IF(AND(AND(BQ4&gt;19,BQ4&lt;27),IM4=""),"PROGRAMAR APLICACION DE VACUNA",IF(AND(AND(BQ4&gt;26,BQ4&lt;43),IM4=""),"INASISTENTE",IF(AND(AND(#REF!&gt;19,#REF!&lt;27),IM4&gt;0),"VACUNA APLICADA ENTRE SEMANA 20 Y SEMANA 26",IF(AND(#REF!&lt;20,IM4&gt;0),"VACUNA APLICADA ANTES SEMANA 20",IF(AND(#REF!&gt;26,IM4&gt;0),"VACUNA APLICADA ENTRE SEMANA 27 Y EL PARTO",IF(AND(OR(IT4="CESAREA",IT4="PARTO"),IR4="POSIBLEMENTE NACIO",IM4=""),"SALE SIN VACUNA","")))))))))</f>
        <v>#REF!</v>
      </c>
      <c r="IO4" s="35"/>
      <c r="IP4" s="35">
        <f t="shared" si="51"/>
        <v>44944</v>
      </c>
      <c r="IQ4" s="44">
        <f t="shared" ca="1" si="52"/>
        <v>-287</v>
      </c>
      <c r="IR4" s="35" t="str">
        <f t="shared" ca="1" si="53"/>
        <v>POSIBLEMENTE NACIO</v>
      </c>
      <c r="IS4" s="35"/>
      <c r="IT4" s="31" t="s">
        <v>853</v>
      </c>
      <c r="IU4" s="31" t="s">
        <v>854</v>
      </c>
      <c r="IV4" s="51" t="s">
        <v>855</v>
      </c>
      <c r="IW4" s="35">
        <v>44945</v>
      </c>
      <c r="IX4" s="31" t="s">
        <v>856</v>
      </c>
      <c r="IY4" s="44">
        <f t="shared" si="54"/>
        <v>40.142857142857146</v>
      </c>
      <c r="IZ4" s="52" t="s">
        <v>857</v>
      </c>
      <c r="JA4" s="31" t="s">
        <v>858</v>
      </c>
      <c r="JB4" s="31" t="s">
        <v>859</v>
      </c>
      <c r="JC4" s="31" t="s">
        <v>860</v>
      </c>
      <c r="JD4" s="31" t="s">
        <v>836</v>
      </c>
      <c r="JE4" s="31" t="s">
        <v>836</v>
      </c>
      <c r="JF4" s="31" t="s">
        <v>836</v>
      </c>
      <c r="JG4" s="31" t="s">
        <v>836</v>
      </c>
      <c r="JH4" s="31" t="s">
        <v>836</v>
      </c>
      <c r="JI4" s="31" t="s">
        <v>836</v>
      </c>
      <c r="JJ4" s="31" t="s">
        <v>861</v>
      </c>
      <c r="JK4" s="46">
        <v>1</v>
      </c>
      <c r="JL4" s="31" t="s">
        <v>862</v>
      </c>
      <c r="JM4" s="53">
        <v>2970</v>
      </c>
      <c r="JN4" s="31" t="str">
        <f t="shared" si="55"/>
        <v>PESO ADECUADO EDAD GESTACIONAL</v>
      </c>
      <c r="JO4" s="209">
        <v>44945</v>
      </c>
      <c r="JP4" s="31"/>
      <c r="JQ4" s="31"/>
      <c r="JR4" s="31"/>
      <c r="JS4" s="46" t="s">
        <v>842</v>
      </c>
      <c r="JT4" s="35">
        <v>44945</v>
      </c>
      <c r="JU4" s="35">
        <v>44945</v>
      </c>
      <c r="JV4" s="31"/>
      <c r="JW4" s="53"/>
      <c r="JX4" s="31" t="str">
        <f t="shared" si="56"/>
        <v/>
      </c>
      <c r="JY4" s="35"/>
      <c r="JZ4" s="31"/>
      <c r="KA4" s="31"/>
      <c r="KB4" s="31"/>
      <c r="KC4" s="46"/>
      <c r="KD4" s="35"/>
      <c r="KE4" s="35"/>
      <c r="KF4" s="50">
        <v>44953</v>
      </c>
      <c r="KG4" s="43">
        <f t="shared" si="57"/>
        <v>8</v>
      </c>
      <c r="KH4" s="50">
        <v>44953</v>
      </c>
      <c r="KI4" s="43">
        <f t="shared" si="58"/>
        <v>8</v>
      </c>
      <c r="KJ4" s="31" t="s">
        <v>824</v>
      </c>
      <c r="KK4" s="31" t="s">
        <v>824</v>
      </c>
      <c r="KL4" s="31" t="s">
        <v>824</v>
      </c>
      <c r="KM4" s="54">
        <v>44945</v>
      </c>
      <c r="KN4" s="43" t="s">
        <v>863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48"/>
    </row>
    <row r="5" spans="1:354" ht="39.950000000000003" customHeight="1" x14ac:dyDescent="0.25">
      <c r="A5" s="145" t="s">
        <v>803</v>
      </c>
      <c r="B5" s="68" t="s">
        <v>804</v>
      </c>
      <c r="C5" s="68" t="s">
        <v>805</v>
      </c>
      <c r="D5" s="165" t="s">
        <v>813</v>
      </c>
      <c r="E5" s="68" t="s">
        <v>819</v>
      </c>
      <c r="F5" s="68" t="s">
        <v>820</v>
      </c>
      <c r="G5" s="68" t="s">
        <v>821</v>
      </c>
      <c r="H5" s="68" t="s">
        <v>822</v>
      </c>
      <c r="I5" s="145" t="s">
        <v>817</v>
      </c>
      <c r="J5" s="146">
        <v>1061719887</v>
      </c>
      <c r="K5" s="68" t="s">
        <v>823</v>
      </c>
      <c r="L5" s="68" t="s">
        <v>818</v>
      </c>
      <c r="M5" s="237">
        <v>39245</v>
      </c>
      <c r="N5" s="237">
        <v>40535</v>
      </c>
      <c r="O5" s="35">
        <v>44737</v>
      </c>
      <c r="P5" s="39" t="str">
        <f t="shared" si="1"/>
        <v>SI</v>
      </c>
      <c r="Q5" s="40" t="s">
        <v>825</v>
      </c>
      <c r="R5" s="35">
        <v>44737</v>
      </c>
      <c r="S5" s="31" t="s">
        <v>826</v>
      </c>
      <c r="T5" s="37" t="s">
        <v>751</v>
      </c>
      <c r="U5" s="31" t="s">
        <v>827</v>
      </c>
      <c r="V5" s="31" t="s">
        <v>828</v>
      </c>
      <c r="W5" s="31" t="s">
        <v>841</v>
      </c>
      <c r="X5" s="31" t="s">
        <v>841</v>
      </c>
      <c r="Y5" s="31" t="s">
        <v>837</v>
      </c>
      <c r="Z5" s="31">
        <v>3148325692</v>
      </c>
      <c r="AA5" s="31" t="s">
        <v>831</v>
      </c>
      <c r="AB5" s="41" t="s">
        <v>832</v>
      </c>
      <c r="AC5" s="40" t="s">
        <v>838</v>
      </c>
      <c r="AD5" s="55" t="s">
        <v>834</v>
      </c>
      <c r="AE5" s="40" t="s">
        <v>824</v>
      </c>
      <c r="AF5" s="40" t="s">
        <v>824</v>
      </c>
      <c r="AG5" s="36" t="s">
        <v>835</v>
      </c>
      <c r="AH5" s="36" t="s">
        <v>835</v>
      </c>
      <c r="AI5" s="37" t="s">
        <v>834</v>
      </c>
      <c r="AJ5" s="36" t="s">
        <v>835</v>
      </c>
      <c r="AK5" s="42" t="e">
        <f>IF(AND(AE5="",AF5="",AG5="",AH5="",AI5="",AJ5=""),"",IF(AND(OR(O5&gt;0,R5&gt;0),#REF!&gt;=0,#REF!&lt;2),"SIN RIESGO",IF(AND(OR(O5&gt;0,R5&gt;0),#REF!&gt;=2),"CON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5" s="36" t="s">
        <v>835</v>
      </c>
      <c r="AM5" s="40" t="s">
        <v>835</v>
      </c>
      <c r="AN5" s="40" t="s">
        <v>835</v>
      </c>
      <c r="AO5" s="40" t="s">
        <v>835</v>
      </c>
      <c r="AP5" s="40" t="s">
        <v>835</v>
      </c>
      <c r="AQ5" s="40" t="s">
        <v>835</v>
      </c>
      <c r="AR5" s="31">
        <v>1</v>
      </c>
      <c r="AS5" s="31">
        <v>0</v>
      </c>
      <c r="AT5" s="31">
        <v>0</v>
      </c>
      <c r="AU5" s="40" t="s">
        <v>835</v>
      </c>
      <c r="AV5" s="31">
        <v>0</v>
      </c>
      <c r="AW5" s="40" t="s">
        <v>835</v>
      </c>
      <c r="AX5" s="40" t="s">
        <v>835</v>
      </c>
      <c r="AY5" s="40" t="s">
        <v>835</v>
      </c>
      <c r="AZ5" s="40" t="s">
        <v>835</v>
      </c>
      <c r="BA5" s="40" t="s">
        <v>835</v>
      </c>
      <c r="BB5" s="40" t="s">
        <v>835</v>
      </c>
      <c r="BC5" s="40" t="s">
        <v>835</v>
      </c>
      <c r="BD5" s="40" t="s">
        <v>835</v>
      </c>
      <c r="BE5" s="40" t="s">
        <v>835</v>
      </c>
      <c r="BF5" s="40" t="s">
        <v>835</v>
      </c>
      <c r="BG5" s="40" t="s">
        <v>835</v>
      </c>
      <c r="BH5" s="40" t="s">
        <v>835</v>
      </c>
      <c r="BI5" s="40" t="s">
        <v>835</v>
      </c>
      <c r="BJ5" s="35"/>
      <c r="BK5" s="35">
        <v>44667</v>
      </c>
      <c r="BL5" s="31" t="s">
        <v>824</v>
      </c>
      <c r="BM5" s="43">
        <f t="shared" si="2"/>
        <v>0</v>
      </c>
      <c r="BN5" s="57" t="e">
        <f>IF(BS5&gt;0,SUM(BR5-#REF!),"")</f>
        <v>#REF!</v>
      </c>
      <c r="BO5" s="44">
        <f t="shared" si="3"/>
        <v>10</v>
      </c>
      <c r="BP5" s="31" t="str">
        <f t="shared" si="4"/>
        <v>I TRIM</v>
      </c>
      <c r="BQ5" s="39" t="str">
        <f t="shared" ca="1" si="5"/>
        <v/>
      </c>
      <c r="BR5" s="35">
        <v>44774</v>
      </c>
      <c r="BS5" s="43">
        <v>16.2</v>
      </c>
      <c r="BT5" s="35"/>
      <c r="BU5" s="31"/>
      <c r="BV5" s="40" t="s">
        <v>835</v>
      </c>
      <c r="BW5" s="40" t="s">
        <v>835</v>
      </c>
      <c r="BX5" s="40" t="s">
        <v>836</v>
      </c>
      <c r="BY5" s="40" t="s">
        <v>836</v>
      </c>
      <c r="BZ5" s="35">
        <v>44737</v>
      </c>
      <c r="CA5" s="31">
        <v>1.53</v>
      </c>
      <c r="CB5" s="31">
        <v>58</v>
      </c>
      <c r="CC5" s="39">
        <f t="shared" si="6"/>
        <v>24.776795249690291</v>
      </c>
      <c r="CD5" s="45" t="str">
        <f t="shared" si="7"/>
        <v>NORMAL</v>
      </c>
      <c r="CE5" s="35">
        <v>44803</v>
      </c>
      <c r="CF5" s="31">
        <v>51</v>
      </c>
      <c r="CG5" s="39">
        <f t="shared" si="8"/>
        <v>21.786492374727668</v>
      </c>
      <c r="CH5" s="31">
        <f t="shared" si="9"/>
        <v>19</v>
      </c>
      <c r="CI5" s="31" t="e">
        <f>IF(OR(CH5="",CH5="NA"),"",IF(AND(CH5&gt;=29,CH5&lt;=42),"REGISTRAR EN III TRIM",IF(AND(CH5&gt;0,CH5&lt;=13),"REGISTRAR EN I TRIM",IF(CH5="REVISAR FUM O FECHA PESO","REVISAR",IF(CH5&gt;0,HLOOKUP(CH5,#REF!,#REF!),"")))))</f>
        <v>#REF!</v>
      </c>
      <c r="CJ5" s="35">
        <v>44897</v>
      </c>
      <c r="CK5" s="31">
        <v>58</v>
      </c>
      <c r="CL5" s="39">
        <f t="shared" si="10"/>
        <v>24.776795249690291</v>
      </c>
      <c r="CM5" s="31">
        <f t="shared" si="11"/>
        <v>32</v>
      </c>
      <c r="CN5" s="31" t="e">
        <f>IF(OR(CM5="",CM5="NA"),"",IF(AND(CM5&gt;0,CM5&lt;=28),"REGISTRAR EN  TRIM RESPECTIVO",IF(CM5&gt;0,HLOOKUP(CM5,#REF!,#REF!),"")))</f>
        <v>#REF!</v>
      </c>
      <c r="CO5" s="31" t="e">
        <f t="shared" si="12"/>
        <v>#REF!</v>
      </c>
      <c r="CP5" s="31">
        <v>110</v>
      </c>
      <c r="CQ5" s="31">
        <v>70</v>
      </c>
      <c r="CR5" s="37" t="str">
        <f t="shared" si="13"/>
        <v>APARENTEMENTE NORMAL</v>
      </c>
      <c r="CS5" s="31">
        <v>100</v>
      </c>
      <c r="CT5" s="31">
        <v>70</v>
      </c>
      <c r="CU5" s="37" t="str">
        <f t="shared" si="14"/>
        <v>VIGILAR CIFRAS PRESION ARTERIAL</v>
      </c>
      <c r="CV5" s="31">
        <v>110</v>
      </c>
      <c r="CW5" s="31">
        <v>70</v>
      </c>
      <c r="CX5" s="31">
        <v>110</v>
      </c>
      <c r="CY5" s="31">
        <v>60</v>
      </c>
      <c r="CZ5" s="37" t="str">
        <f t="shared" si="15"/>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6"/>
        <v>SALE SIN PLAN DE PARTO</v>
      </c>
      <c r="DR5" s="46" t="str">
        <f t="shared" si="17"/>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5" s="35">
        <f>IF(R5="","",IF(R5&gt;0,MAX(Tabla1[[#This Row],[FECHA C2]:[FECHA C13]],Tabla1[[#This Row],[FECHA CONSULTA PRIMERA VEZ PROGRAMA CPN ]])))</f>
        <v>44930</v>
      </c>
      <c r="DV5" s="31">
        <f t="shared" si="18"/>
        <v>37</v>
      </c>
      <c r="DW5" s="43">
        <f>IF(R5&gt;0,SUM(COUNTA(DC5:DN5)+COUNTA(Tabla1[[#This Row],[FECHA CONSULTA PRIMERA VEZ PROGRAMA CPN ]])),"")</f>
        <v>7</v>
      </c>
      <c r="DX5" s="43" t="str">
        <f t="shared" si="19"/>
        <v>SI</v>
      </c>
      <c r="DY5" s="39">
        <f t="shared" si="20"/>
        <v>9</v>
      </c>
      <c r="DZ5" s="47">
        <f t="shared" si="21"/>
        <v>0.77777777777777779</v>
      </c>
      <c r="EA5" s="35">
        <v>44737</v>
      </c>
      <c r="EB5" s="35">
        <v>44737</v>
      </c>
      <c r="EC5" s="35">
        <v>44737</v>
      </c>
      <c r="ED5" s="35">
        <v>44765</v>
      </c>
      <c r="EE5" s="35">
        <v>44737</v>
      </c>
      <c r="EF5" s="35">
        <v>44774</v>
      </c>
      <c r="EG5" s="35"/>
      <c r="EH5" s="31">
        <v>1</v>
      </c>
      <c r="EI5" s="31">
        <v>13</v>
      </c>
      <c r="EJ5" s="35">
        <v>44737</v>
      </c>
      <c r="EK5" s="43">
        <f t="shared" si="22"/>
        <v>10</v>
      </c>
      <c r="EL5" s="39" t="str">
        <f t="shared" si="23"/>
        <v>NORMAL- SUMINISTRAR SULFATO FERROSO</v>
      </c>
      <c r="EM5" s="31" t="str">
        <f t="shared" si="24"/>
        <v>I TRIM</v>
      </c>
      <c r="EN5" s="37">
        <v>14</v>
      </c>
      <c r="EO5" s="35">
        <v>44866</v>
      </c>
      <c r="EP5" s="44">
        <f t="shared" si="25"/>
        <v>28.428571428571427</v>
      </c>
      <c r="EQ5" s="39" t="str">
        <f t="shared" si="26"/>
        <v>NO DAR SULFATO FERROSO</v>
      </c>
      <c r="ER5" s="37" t="s">
        <v>842</v>
      </c>
      <c r="ES5" s="35">
        <v>44737</v>
      </c>
      <c r="ET5" s="44">
        <f t="shared" si="27"/>
        <v>10</v>
      </c>
      <c r="EU5" s="39" t="str">
        <f t="shared" si="28"/>
        <v>NO HAY RIESGO POR RH</v>
      </c>
      <c r="EV5" s="31">
        <v>94</v>
      </c>
      <c r="EW5" s="35">
        <v>44737</v>
      </c>
      <c r="EX5" s="44">
        <f t="shared" si="29"/>
        <v>10</v>
      </c>
      <c r="EY5" s="44">
        <v>69</v>
      </c>
      <c r="EZ5" s="44">
        <v>110</v>
      </c>
      <c r="FA5" s="44">
        <v>70</v>
      </c>
      <c r="FB5" s="31" t="str">
        <f t="shared" ca="1" si="30"/>
        <v>NORMAL</v>
      </c>
      <c r="FC5" s="48">
        <v>44835</v>
      </c>
      <c r="FD5" s="44">
        <f t="shared" si="31"/>
        <v>24</v>
      </c>
      <c r="FE5" s="35" t="s">
        <v>843</v>
      </c>
      <c r="FF5" s="35">
        <v>44737</v>
      </c>
      <c r="FG5" s="44">
        <f t="shared" ca="1" si="32"/>
        <v>10</v>
      </c>
      <c r="FH5" s="35" t="s">
        <v>843</v>
      </c>
      <c r="FI5" s="49">
        <v>44803</v>
      </c>
      <c r="FJ5" s="44">
        <f t="shared" ca="1" si="33"/>
        <v>19.428571428571427</v>
      </c>
      <c r="FK5" s="35"/>
      <c r="FL5" s="49"/>
      <c r="FM5" s="44" t="str">
        <f t="shared" ca="1" si="34"/>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752</v>
      </c>
      <c r="FR5" s="35">
        <v>44737</v>
      </c>
      <c r="FS5" s="44">
        <f t="shared" si="35"/>
        <v>10</v>
      </c>
      <c r="FT5" s="43" t="s">
        <v>844</v>
      </c>
      <c r="FU5" s="35">
        <v>44737</v>
      </c>
      <c r="FV5" s="44">
        <f t="shared" si="36"/>
        <v>10</v>
      </c>
      <c r="FW5" s="35">
        <v>44737</v>
      </c>
      <c r="FX5" s="35">
        <v>44737</v>
      </c>
      <c r="FY5" s="35" t="s">
        <v>845</v>
      </c>
      <c r="FZ5" s="35">
        <v>44737</v>
      </c>
      <c r="GA5" s="44">
        <f t="shared" ca="1" si="37"/>
        <v>10</v>
      </c>
      <c r="GB5" s="35" t="s">
        <v>845</v>
      </c>
      <c r="GC5" s="35">
        <v>44803</v>
      </c>
      <c r="GD5" s="44">
        <f t="shared" ca="1" si="38"/>
        <v>19.428571428571427</v>
      </c>
      <c r="GE5" s="35"/>
      <c r="GF5" s="35"/>
      <c r="GG5" s="44" t="str">
        <f t="shared" ca="1" si="39"/>
        <v>PIERDE TOMA DE TAMIZAJE</v>
      </c>
      <c r="GH5" s="35"/>
      <c r="GI5" s="44"/>
      <c r="GJ5" s="35" t="s">
        <v>832</v>
      </c>
      <c r="GK5" s="35"/>
      <c r="GL5" s="35" t="s">
        <v>832</v>
      </c>
      <c r="GM5" s="35"/>
      <c r="GN5" s="43" t="s">
        <v>844</v>
      </c>
      <c r="GO5" s="35">
        <v>44737</v>
      </c>
      <c r="GP5" s="44">
        <f t="shared" si="40"/>
        <v>10</v>
      </c>
      <c r="GQ5" s="43" t="s">
        <v>844</v>
      </c>
      <c r="GR5" s="43" t="s">
        <v>844</v>
      </c>
      <c r="GS5" s="35" t="str">
        <f t="shared" si="41"/>
        <v>CONTROL Igm</v>
      </c>
      <c r="GT5" s="35">
        <v>44737</v>
      </c>
      <c r="GU5" s="44">
        <f t="shared" si="42"/>
        <v>10</v>
      </c>
      <c r="GV5" s="31" t="str">
        <f t="shared" si="43"/>
        <v>I TRIM</v>
      </c>
      <c r="GW5" s="43" t="s">
        <v>844</v>
      </c>
      <c r="GX5" s="46">
        <v>5</v>
      </c>
      <c r="GY5" s="31"/>
      <c r="GZ5" s="35"/>
      <c r="HA5" s="43" t="str">
        <f t="shared" si="44"/>
        <v/>
      </c>
      <c r="HB5" s="31" t="str">
        <f t="shared" si="45"/>
        <v/>
      </c>
      <c r="HC5" s="31" t="str">
        <f t="shared" si="46"/>
        <v/>
      </c>
      <c r="HD5" s="31" t="s">
        <v>846</v>
      </c>
      <c r="HE5" s="31"/>
      <c r="HF5" s="31" t="s">
        <v>847</v>
      </c>
      <c r="HG5" s="31"/>
      <c r="HH5" s="31" t="s">
        <v>848</v>
      </c>
      <c r="HI5" s="31">
        <v>0</v>
      </c>
      <c r="HJ5" s="35" t="s">
        <v>849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e">
        <f t="shared" si="47"/>
        <v>#REF!</v>
      </c>
      <c r="HM5" s="35" t="e">
        <f>IF(AND(O5="",R5=""),"",IF(AND(OR(O5&lt;&gt;"",R5&lt;&gt;""),OR(HO5="RIESGO ALTO DE COMPLICACIONES HIPERTENSIVAS VER MANEJO GUIA SUMINISTRO ASA Y CALCIO",HO5="RIESGO MODERADO (2 O MAS CRITERIOS) VER MANEJO GUIA SUMINISTRO ASA Y CALCIO")),"ALTO RIESGO",IF(AND(HL5="************",OR(O5&lt;&gt;"",R5&lt;&gt;""),AND(#REF!&gt;=0,#REF!&lt;3)),"BAJO RIESGO",IF(AND(OR(O5&lt;&gt;"",R5&lt;&gt;""),OR(HJ5="COVID19 PRIMER TRIMESTRE",HJ5="COVID19 SEGUNDO TRIMESTRE",HJ5="COVID19 TERCER TRIMESTRE",HJ5="COVID19 PUERPERIO")),"ALTO RIESGO",IF(AND(HL5&lt;&gt;"",OR(O5&lt;&gt;"",R5&lt;&gt;""),AND(#REF!&gt;=0,#REF!&lt;3)),"CON RIESGO",IF(AND(OR(O5&lt;&gt;"",R5&lt;&gt;""),#REF!&gt;2),"ALTO RIESGO",""))))))</f>
        <v>#REF!</v>
      </c>
      <c r="HN5" s="31" t="e">
        <f ca="1">IF(OR(O5&gt;0,R5&gt;0),CONCATENATE(IF(AK5="CON RIESGO","RIESGO PSICOSOCIAL",""),"*",CONCATENATE(IF(AL5="SI","ANTECEDENTE PREECLAMPSIA",""),"*",CONCATENATE(IF(AM5="SI","ANTECEDENTE HEMORRAGIA POSTPARTO O RETENCIÓN DE PLACENTA",""),"*",CONCATENATE(IF(AN5="SI","ANTECEDENTE RN BAJO PESO O MACROSOMICO",""),"*",CONCATENATE(IF(AP5="SI","ANTECEDENTE TRABAJO DE PARTO PROLONGADO",""),"*",CONCATENATE(IF(AU5="SI","INFERTILIDAD",""),"*",CONCATENATE(IF(BA5="SI","ENFERMERDAD AUTOINMUNE",""),"*",CONCATENATE(IF(BB5="SI","DIABETES PREGESTACIONAL",""),"*",CONCATENATE(IF(BC5="SI","ENFERMEDAD CARDIACA",""),"*",CONCATENATE(IF(BD5="SI","HTA CRÓNICA",""),"*",CONCATENATE(IF(BE5="SI","ENFERMEDAD RENAL CRÓNICA",""),"*",CONCATENATE(IF(BG5="SI","RUPTURA PREMATURA DE MEMBRANAS",""),"*",CONCATENATE(IF(OR(BH5="SI",BI5="SI"),"HEMORRAGIA DURANTE LA GESTACIÓN",""),"*",CONCATENATE(IF(BV5="SI","RCIU",""),"*",CONCATENATE(IF(BW5="SI","EMBARAZO GEMELAR",""),"*",CONCATENATE(IF(#REF!=3,"PRESENTACIÓN FETAL PODALICA O TRANSVERSA",""),"*",CONCATENATE(IF(BY5="SI","POLIHIDRAMNIOS",""),"*",CONCATENATE(IF(FB5="DIABETES, REMITIR","DIABETES GESTACIONAL",""),"*",CONCATENATE(IF(FP5&lt;&gt;"","SEGUIMIENTO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MALARIA",""),"*",CONCATENATE(IF(OR(HJ5="COVID19 PRIMER TRIMESTRE",HJ5="COVID19 SEGUNDO TRIMESTRE", HJ5="COVID19 TERCER TRIMESTRE",HJ5="COVID19 PUERPERIO"),"SEGUIMIENTO PARA COVID19",""),"*",CONCATENATE(IF(EU5="RIESGO DE INCOMPATIBILIDAD RH","SEGUIMIENTO PARA INCOMPATIBILIDAD RH",""),"*")))))))))))))))))))))))))))))))),"")</f>
        <v>#REF!</v>
      </c>
      <c r="HO5" s="31" t="e">
        <f>IF(AND(O5="",R5=""),"",IF(AND(OR(O5&gt;0,R5&gt;0),OR(AL5="SI",BD5="SI",BA5="SI",BB5="SI",BE5="SI")),"RIESGO ALTO DE COMPLICACIONES HIPERTENSIVAS VER MANEJO GUIA SUMINISTRO ASA Y CALCIO",IF(AND(OR(O5&gt;0,R5&gt;0),#REF!&gt;1),"RIESGO MODERADO (2 O MAS CRITERIOS) VER MANEJO GUIA SUMINISTRO ASA Y CALCIO","SIN ANTECEDENTES DE RIESGO")))</f>
        <v>#REF!</v>
      </c>
      <c r="HP5" s="37" t="str">
        <f t="shared" si="48"/>
        <v>APARENTEMENTE NORMAL</v>
      </c>
      <c r="HQ5"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5" s="46" t="str">
        <f t="shared" si="49"/>
        <v>SALIO PROGRAMA</v>
      </c>
      <c r="HS5" s="31" t="s">
        <v>824</v>
      </c>
      <c r="HT5" s="31" t="s">
        <v>832</v>
      </c>
      <c r="HU5" s="35">
        <v>44866</v>
      </c>
      <c r="HV5" s="35" t="s">
        <v>850</v>
      </c>
      <c r="HW5" s="35">
        <v>44835</v>
      </c>
      <c r="HX5" s="35" t="s">
        <v>850</v>
      </c>
      <c r="HY5" s="35">
        <v>44866</v>
      </c>
      <c r="HZ5" s="35" t="s">
        <v>850</v>
      </c>
      <c r="IA5" s="40" t="s">
        <v>836</v>
      </c>
      <c r="IB5" s="35">
        <v>44737</v>
      </c>
      <c r="IC5" s="43">
        <f t="shared" si="50"/>
        <v>10</v>
      </c>
      <c r="ID5" s="40" t="s">
        <v>824</v>
      </c>
      <c r="IE5" s="40" t="s">
        <v>851</v>
      </c>
      <c r="IF5" s="35"/>
      <c r="IG5" s="35"/>
      <c r="IH5" s="151"/>
      <c r="II5" s="151"/>
      <c r="IJ5" s="151"/>
      <c r="IK5" s="37" t="e">
        <f>IF(AND(BK5="",#REF!="SD"),"SIN DATO EDAD GESTACIONAL",IF(AND(BK5="",#REF!=""),"",IF(AND(AND(BQ5&gt;0,BQ5&lt;12),#REF!=""),"MENOR 12 SEMANAS",IF(AND(BQ5&gt;11.6,#REF!="",HJ5="BAJO RIESGO O SE DESCARTA INFECCIÓN POR SARS-CoV2"),"PROGRAMAR APLICACION DE VACUNA",IF(OR(AND(BQ5&gt;11.6,#REF!=""),HJ5="FACTOR DE RIESGO PARA COVID19",HJ5="COVID19 PRIMER TRIMESTRE",HJ5="COVID19 SEGUNDO TRIMESTRE",HJ5="COVID19 TERCER TRIMESTRE",HJ5="COVID19 PUERPERIO"),"DIFERIR FECHA DE VACUNACION SEGÚN LINEAMIENTOS",IF(AND(BQ5&gt;11.6,#REF!="Error Jansen X Fecha Segunda Dosis"),"Error Jansen X Fecha Segunda Dosis",IF(AND(BQ5&gt;11.6,#REF!="Firma"),"FIRMA DISENTIMIENTO",IF(AND(BQ5&gt;11.6,#REF!="Firma3"),"NO ACEPTA VACUNA Y NO FIRMA DISCENTIMIENTO",IF(AND(BQ5&gt;11.6,#REF!="Firma2"),"Error en Fecha x Firma Disentimiento",IF(AND(BQ5&gt;11.6,#REF!="Firma4"),"Error en Fecha x No Acepta no Firma",IF(AND(BQ5&gt;11.6,#REF!="Completo",Tabla1[[#This Row],[Fecha Refuerzo Anti COVID-20]]=""),"PENDIENTE REFUERZO",IF(AND(BQ5&gt;11.6,#REF!="Completo",Tabla1[[#This Row],[Fecha Refuerzo Anti COVID-20]]&lt;&gt;""),"CON REFUERZO",IF(AND(BQ5&gt;11.6,#REF!="Falta Dosis"),#REF!,IF(OR(AND(BQ5&gt;11.6,#REF!=""),HJ5="",HJ5="NO SE EVALUA RIESGO INFECCIÓN COVID19"),"DEFINIR RIESGO CONTAGIO SARS-CoV2, columna GZ",""))))))))))))))</f>
        <v>#REF!</v>
      </c>
      <c r="IL5" s="151">
        <v>44803</v>
      </c>
      <c r="IM5" s="35">
        <v>44803</v>
      </c>
      <c r="IN5" s="35" t="e">
        <f>IF(AND(BK5="",#REF!="SD"),"SIN DATO EDAD GESTACIONAL",IF(AND(BK5="",IM5=""),"",IF(AND(AND(BQ5&gt;0,BQ5&lt;20),IM5=""),"EN ESPERA PARA VACUNAR",IF(AND(AND(BQ5&gt;19,BQ5&lt;27),IM5=""),"PROGRAMAR APLICACION DE VACUNA",IF(AND(AND(BQ5&gt;26,BQ5&lt;43),IM5=""),"INASISTENTE",IF(AND(AND(#REF!&gt;19,#REF!&lt;27),IM5&gt;0),"VACUNA APLICADA ENTRE SEMANA 20 Y SEMANA 26",IF(AND(#REF!&lt;20,IM5&gt;0),"VACUNA APLICADA ANTES SEMANA 20",IF(AND(#REF!&gt;26,IM5&gt;0),"VACUNA APLICADA ENTRE SEMANA 27 Y EL PARTO",IF(AND(OR(IT5="CESAREA",IT5="PARTO"),IR5="POSIBLEMENTE NACIO",IM5=""),"SALE SIN VACUNA","")))))))))</f>
        <v>#REF!</v>
      </c>
      <c r="IO5" s="35"/>
      <c r="IP5" s="35">
        <f t="shared" si="51"/>
        <v>44947</v>
      </c>
      <c r="IQ5" s="44">
        <f t="shared" ca="1" si="52"/>
        <v>-284</v>
      </c>
      <c r="IR5" s="35" t="str">
        <f t="shared" ca="1" si="53"/>
        <v>POSIBLEMENTE NACIO</v>
      </c>
      <c r="IS5" s="35"/>
      <c r="IT5" s="31" t="s">
        <v>864</v>
      </c>
      <c r="IU5" s="31" t="s">
        <v>854</v>
      </c>
      <c r="IV5" s="51" t="s">
        <v>865</v>
      </c>
      <c r="IW5" s="35">
        <v>44935</v>
      </c>
      <c r="IX5" s="31" t="s">
        <v>856</v>
      </c>
      <c r="IY5" s="44">
        <f t="shared" si="54"/>
        <v>38.285714285714285</v>
      </c>
      <c r="IZ5" s="52" t="s">
        <v>857</v>
      </c>
      <c r="JA5" s="31" t="s">
        <v>858</v>
      </c>
      <c r="JB5" s="31" t="s">
        <v>859</v>
      </c>
      <c r="JC5" s="31" t="s">
        <v>866</v>
      </c>
      <c r="JD5" s="31" t="s">
        <v>824</v>
      </c>
      <c r="JE5" s="31" t="s">
        <v>824</v>
      </c>
      <c r="JF5" s="31"/>
      <c r="JG5" s="31" t="s">
        <v>824</v>
      </c>
      <c r="JH5" s="31" t="s">
        <v>824</v>
      </c>
      <c r="JI5" s="31"/>
      <c r="JJ5" s="31" t="s">
        <v>867</v>
      </c>
      <c r="JK5" s="46">
        <v>1</v>
      </c>
      <c r="JL5" s="31" t="s">
        <v>868</v>
      </c>
      <c r="JM5" s="53">
        <v>2564</v>
      </c>
      <c r="JN5" s="31" t="str">
        <f t="shared" si="55"/>
        <v>PESO ADECUADO EDAD GESTACIONAL</v>
      </c>
      <c r="JO5" s="209">
        <v>44935</v>
      </c>
      <c r="JP5" s="31"/>
      <c r="JQ5" s="31"/>
      <c r="JR5" s="31"/>
      <c r="JS5" s="46" t="s">
        <v>842</v>
      </c>
      <c r="JT5" s="35">
        <v>44935</v>
      </c>
      <c r="JU5" s="35">
        <v>44935</v>
      </c>
      <c r="JV5" s="31"/>
      <c r="JW5" s="53"/>
      <c r="JX5" s="31" t="str">
        <f t="shared" si="56"/>
        <v/>
      </c>
      <c r="JY5" s="35"/>
      <c r="JZ5" s="31"/>
      <c r="KA5" s="31"/>
      <c r="KB5" s="31"/>
      <c r="KC5" s="46"/>
      <c r="KD5" s="35"/>
      <c r="KE5" s="35"/>
      <c r="KF5" s="50">
        <v>44942</v>
      </c>
      <c r="KG5" s="43">
        <f t="shared" si="57"/>
        <v>7</v>
      </c>
      <c r="KH5" s="50">
        <v>44942</v>
      </c>
      <c r="KI5" s="43">
        <f t="shared" si="58"/>
        <v>7</v>
      </c>
      <c r="KJ5" s="31" t="s">
        <v>824</v>
      </c>
      <c r="KK5" s="31" t="s">
        <v>824</v>
      </c>
      <c r="KL5" s="31" t="s">
        <v>824</v>
      </c>
      <c r="KM5" s="54">
        <v>44935</v>
      </c>
      <c r="KN5" s="43" t="s">
        <v>863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48"/>
    </row>
    <row r="6" spans="1:354" ht="39.950000000000003" customHeight="1" x14ac:dyDescent="0.25">
      <c r="A6" s="145" t="s">
        <v>803</v>
      </c>
      <c r="B6" s="68" t="s">
        <v>804</v>
      </c>
      <c r="C6" s="68" t="s">
        <v>805</v>
      </c>
      <c r="D6" s="165" t="s">
        <v>806</v>
      </c>
      <c r="E6" s="68" t="s">
        <v>807</v>
      </c>
      <c r="F6" s="68" t="s">
        <v>808</v>
      </c>
      <c r="G6" s="68" t="s">
        <v>809</v>
      </c>
      <c r="H6" s="68"/>
      <c r="I6" s="145" t="s">
        <v>810</v>
      </c>
      <c r="J6" s="146">
        <v>1002952263</v>
      </c>
      <c r="K6" s="68" t="s">
        <v>811</v>
      </c>
      <c r="L6" s="68" t="s">
        <v>812</v>
      </c>
      <c r="M6" s="237">
        <v>37247</v>
      </c>
      <c r="N6" s="237">
        <f t="shared" ca="1" si="0"/>
        <v>21.873972602739727</v>
      </c>
      <c r="O6" s="35">
        <v>44662</v>
      </c>
      <c r="P6" s="39" t="str">
        <f t="shared" si="1"/>
        <v>SI</v>
      </c>
      <c r="Q6" s="40" t="s">
        <v>825</v>
      </c>
      <c r="R6" s="35">
        <v>44662</v>
      </c>
      <c r="S6" s="31" t="s">
        <v>826</v>
      </c>
      <c r="T6" s="37" t="s">
        <v>751</v>
      </c>
      <c r="U6" s="31" t="s">
        <v>827</v>
      </c>
      <c r="V6" s="31" t="s">
        <v>828</v>
      </c>
      <c r="W6" s="31" t="s">
        <v>829</v>
      </c>
      <c r="X6" s="31" t="s">
        <v>829</v>
      </c>
      <c r="Y6" s="31" t="s">
        <v>830</v>
      </c>
      <c r="Z6" s="31">
        <v>3044779923</v>
      </c>
      <c r="AA6" s="31" t="s">
        <v>831</v>
      </c>
      <c r="AB6" s="41" t="s">
        <v>832</v>
      </c>
      <c r="AC6" s="40" t="s">
        <v>833</v>
      </c>
      <c r="AD6" s="55" t="s">
        <v>834</v>
      </c>
      <c r="AE6" s="40" t="s">
        <v>824</v>
      </c>
      <c r="AF6" s="40" t="s">
        <v>824</v>
      </c>
      <c r="AG6" s="36" t="s">
        <v>835</v>
      </c>
      <c r="AH6" s="36" t="s">
        <v>835</v>
      </c>
      <c r="AI6" s="37" t="s">
        <v>834</v>
      </c>
      <c r="AJ6" s="36" t="s">
        <v>835</v>
      </c>
      <c r="AK6" s="42" t="e">
        <f>IF(AND(AE6="",AF6="",AG6="",AH6="",AI6="",AJ6=""),"",IF(AND(OR(O6&gt;0,R6&gt;0),#REF!&gt;=0,#REF!&lt;2),"SIN RIESGO",IF(AND(OR(O6&gt;0,R6&gt;0),#REF!&gt;=2),"CON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6" s="36" t="s">
        <v>835</v>
      </c>
      <c r="AM6" s="40" t="s">
        <v>835</v>
      </c>
      <c r="AN6" s="40" t="s">
        <v>835</v>
      </c>
      <c r="AO6" s="40" t="s">
        <v>835</v>
      </c>
      <c r="AP6" s="40" t="s">
        <v>835</v>
      </c>
      <c r="AQ6" s="40" t="s">
        <v>835</v>
      </c>
      <c r="AR6" s="31">
        <v>1</v>
      </c>
      <c r="AS6" s="31">
        <v>0</v>
      </c>
      <c r="AT6" s="31">
        <v>1</v>
      </c>
      <c r="AU6" s="40" t="s">
        <v>835</v>
      </c>
      <c r="AV6" s="31">
        <v>0</v>
      </c>
      <c r="AW6" s="40" t="s">
        <v>835</v>
      </c>
      <c r="AX6" s="40" t="s">
        <v>835</v>
      </c>
      <c r="AY6" s="40" t="s">
        <v>835</v>
      </c>
      <c r="AZ6" s="40" t="s">
        <v>835</v>
      </c>
      <c r="BA6" s="40" t="s">
        <v>835</v>
      </c>
      <c r="BB6" s="40" t="s">
        <v>835</v>
      </c>
      <c r="BC6" s="40" t="s">
        <v>835</v>
      </c>
      <c r="BD6" s="40" t="s">
        <v>835</v>
      </c>
      <c r="BE6" s="40" t="s">
        <v>835</v>
      </c>
      <c r="BF6" s="40" t="s">
        <v>835</v>
      </c>
      <c r="BG6" s="40" t="s">
        <v>835</v>
      </c>
      <c r="BH6" s="40" t="s">
        <v>835</v>
      </c>
      <c r="BI6" s="40" t="s">
        <v>835</v>
      </c>
      <c r="BJ6" s="35">
        <v>44053</v>
      </c>
      <c r="BK6" s="35">
        <v>44657</v>
      </c>
      <c r="BL6" s="31" t="s">
        <v>824</v>
      </c>
      <c r="BM6" s="43">
        <f t="shared" si="2"/>
        <v>20.133333333333333</v>
      </c>
      <c r="BN6" s="57" t="str">
        <f>IF(BS6&gt;0,SUM(BR6-#REF!),"")</f>
        <v/>
      </c>
      <c r="BO6" s="44">
        <f t="shared" si="3"/>
        <v>0.7142857142857143</v>
      </c>
      <c r="BP6" s="31" t="str">
        <f t="shared" si="4"/>
        <v>I TRIM</v>
      </c>
      <c r="BQ6" s="39" t="str">
        <f t="shared" ca="1" si="5"/>
        <v/>
      </c>
      <c r="BR6" s="35"/>
      <c r="BS6" s="43"/>
      <c r="BT6" s="35"/>
      <c r="BU6" s="31"/>
      <c r="BV6" s="40" t="s">
        <v>835</v>
      </c>
      <c r="BW6" s="40" t="s">
        <v>835</v>
      </c>
      <c r="BX6" s="40" t="s">
        <v>836</v>
      </c>
      <c r="BY6" s="40" t="s">
        <v>836</v>
      </c>
      <c r="BZ6" s="35">
        <v>44662</v>
      </c>
      <c r="CA6" s="31">
        <v>1.6</v>
      </c>
      <c r="CB6" s="31">
        <v>65</v>
      </c>
      <c r="CC6" s="39">
        <f t="shared" si="6"/>
        <v>25.390624999999996</v>
      </c>
      <c r="CD6" s="45" t="str">
        <f t="shared" si="7"/>
        <v>SOBREPESO</v>
      </c>
      <c r="CE6" s="35"/>
      <c r="CF6" s="31"/>
      <c r="CG6" s="39">
        <f t="shared" si="8"/>
        <v>0</v>
      </c>
      <c r="CH6" s="31" t="str">
        <f t="shared" si="9"/>
        <v>NA</v>
      </c>
      <c r="CI6" s="31" t="str">
        <f>IF(OR(CH6="",CH6="NA"),"",IF(AND(CH6&gt;=29,CH6&lt;=42),"REGISTRAR EN III TRIM",IF(AND(CH6&gt;0,CH6&lt;=13),"REGISTRAR EN I TRIM",IF(CH6="REVISAR FUM O FECHA PESO","REVISAR",IF(CH6&gt;0,HLOOKUP(CH6,#REF!,#REF!),"")))))</f>
        <v/>
      </c>
      <c r="CJ6" s="35"/>
      <c r="CK6" s="31"/>
      <c r="CL6" s="39">
        <f t="shared" si="10"/>
        <v>0</v>
      </c>
      <c r="CM6" s="31" t="str">
        <f t="shared" si="11"/>
        <v>NA</v>
      </c>
      <c r="CN6" s="31" t="str">
        <f>IF(OR(CM6="",CM6="NA"),"",IF(AND(CM6&gt;0,CM6&lt;=28),"REGISTRAR EN  TRIM RESPECTIVO",IF(CM6&gt;0,HLOOKUP(CM6,#REF!,#REF!),"")))</f>
        <v/>
      </c>
      <c r="CO6" s="31" t="str">
        <f t="shared" si="12"/>
        <v>SOBREPESO</v>
      </c>
      <c r="CP6" s="31">
        <v>110</v>
      </c>
      <c r="CQ6" s="31">
        <v>70</v>
      </c>
      <c r="CR6" s="37" t="str">
        <f t="shared" si="13"/>
        <v>APARENTEMENTE NORMAL</v>
      </c>
      <c r="CS6" s="31"/>
      <c r="CT6" s="31"/>
      <c r="CU6" s="37" t="str">
        <f t="shared" si="14"/>
        <v/>
      </c>
      <c r="CV6" s="31"/>
      <c r="CW6" s="31"/>
      <c r="CX6" s="31"/>
      <c r="CY6" s="31"/>
      <c r="CZ6" s="37" t="str">
        <f t="shared" si="15"/>
        <v/>
      </c>
      <c r="DA6" s="35">
        <v>44662</v>
      </c>
      <c r="DB6" s="35">
        <v>44662</v>
      </c>
      <c r="DC6" s="35"/>
      <c r="DD6" s="35"/>
      <c r="DE6" s="35"/>
      <c r="DF6" s="35"/>
      <c r="DG6" s="35"/>
      <c r="DH6" s="35"/>
      <c r="DI6" s="35"/>
      <c r="DJ6" s="35"/>
      <c r="DK6" s="35"/>
      <c r="DL6" s="35"/>
      <c r="DM6" s="35"/>
      <c r="DN6" s="35"/>
      <c r="DO6" s="43"/>
      <c r="DP6" s="35"/>
      <c r="DQ6" s="31" t="str">
        <f t="shared" ca="1" si="16"/>
        <v>SALE SIN PLAN DE PARTO</v>
      </c>
      <c r="DR6" s="46" t="str">
        <f t="shared" si="17"/>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6" s="35" t="e">
        <f>IF(R6="","",IF(R6&gt;0,MAX(Tabla1[[#This Row],[FECHA C2]:[FECHA C13]],Tabla1[[#This Row],[FECHA CONSULTA PRIMERA VEZ PROGRAMA CPN ]])))</f>
        <v>#VALUE!</v>
      </c>
      <c r="DV6" s="31" t="e">
        <f t="shared" si="18"/>
        <v>#VALUE!</v>
      </c>
      <c r="DW6" s="43">
        <f>IF(R6&gt;0,SUM(COUNTA(DC6:DN6)+COUNTA(Tabla1[[#This Row],[FECHA CONSULTA PRIMERA VEZ PROGRAMA CPN ]])),"")</f>
        <v>1</v>
      </c>
      <c r="DX6" s="43" t="str">
        <f t="shared" si="19"/>
        <v>NO</v>
      </c>
      <c r="DY6" s="39">
        <f t="shared" si="20"/>
        <v>11</v>
      </c>
      <c r="DZ6" s="47">
        <f t="shared" si="21"/>
        <v>9.0909090909090912E-2</v>
      </c>
      <c r="EA6" s="35">
        <v>44662</v>
      </c>
      <c r="EB6" s="35">
        <v>44662</v>
      </c>
      <c r="EC6" s="35">
        <v>44662</v>
      </c>
      <c r="ED6" s="35"/>
      <c r="EE6" s="35">
        <v>44662</v>
      </c>
      <c r="EF6" s="35"/>
      <c r="EG6" s="35"/>
      <c r="EH6" s="31"/>
      <c r="EI6" s="31">
        <v>14</v>
      </c>
      <c r="EJ6" s="35">
        <v>44662</v>
      </c>
      <c r="EK6" s="43">
        <f t="shared" si="22"/>
        <v>0.7142857142857143</v>
      </c>
      <c r="EL6" s="39" t="str">
        <f t="shared" si="23"/>
        <v>NORMAL- SUMINISTRAR SULFATO FERROSO</v>
      </c>
      <c r="EM6" s="31" t="str">
        <f t="shared" si="24"/>
        <v>I TRIM</v>
      </c>
      <c r="EN6" s="37"/>
      <c r="EO6" s="35"/>
      <c r="EP6" s="44" t="str">
        <f t="shared" si="25"/>
        <v>TOMAR EXAMEN</v>
      </c>
      <c r="EQ6" s="39" t="str">
        <f t="shared" si="26"/>
        <v/>
      </c>
      <c r="ER6" s="37" t="s">
        <v>842</v>
      </c>
      <c r="ES6" s="35">
        <v>44662</v>
      </c>
      <c r="ET6" s="44">
        <f t="shared" si="27"/>
        <v>0.7142857142857143</v>
      </c>
      <c r="EU6" s="39" t="str">
        <f t="shared" si="28"/>
        <v>NO HAY RIESGO POR RH</v>
      </c>
      <c r="EV6" s="31">
        <v>95</v>
      </c>
      <c r="EW6" s="35">
        <v>44662</v>
      </c>
      <c r="EX6" s="44">
        <f t="shared" si="29"/>
        <v>0.7142857142857143</v>
      </c>
      <c r="EY6" s="44"/>
      <c r="EZ6" s="44"/>
      <c r="FA6" s="44"/>
      <c r="FB6" s="31" t="str">
        <f t="shared" ca="1" si="30"/>
        <v/>
      </c>
      <c r="FC6" s="48"/>
      <c r="FD6" s="44" t="str">
        <f t="shared" si="31"/>
        <v>TOMAR EXAMEN</v>
      </c>
      <c r="FE6" s="35" t="s">
        <v>843</v>
      </c>
      <c r="FF6" s="35">
        <v>44662</v>
      </c>
      <c r="FG6" s="44">
        <f t="shared" ca="1" si="32"/>
        <v>0.7142857142857143</v>
      </c>
      <c r="FH6" s="35"/>
      <c r="FI6" s="49"/>
      <c r="FJ6" s="44" t="str">
        <f t="shared" ca="1" si="33"/>
        <v>PIERDE TOMA DE TAMIZAJE</v>
      </c>
      <c r="FK6" s="35"/>
      <c r="FL6" s="49"/>
      <c r="FM6" s="44" t="str">
        <f t="shared" ca="1" si="34"/>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5"/>
        <v>0.7142857142857143</v>
      </c>
      <c r="FT6" s="43" t="s">
        <v>844</v>
      </c>
      <c r="FU6" s="35">
        <v>44662</v>
      </c>
      <c r="FV6" s="44">
        <f t="shared" si="36"/>
        <v>0.7142857142857143</v>
      </c>
      <c r="FW6" s="35">
        <v>44662</v>
      </c>
      <c r="FX6" s="35">
        <v>44662</v>
      </c>
      <c r="FY6" s="35" t="s">
        <v>845</v>
      </c>
      <c r="FZ6" s="35">
        <v>44662</v>
      </c>
      <c r="GA6" s="44">
        <f t="shared" ca="1" si="37"/>
        <v>0.7142857142857143</v>
      </c>
      <c r="GB6" s="35"/>
      <c r="GC6" s="35"/>
      <c r="GD6" s="44" t="str">
        <f t="shared" ca="1" si="38"/>
        <v>PIERDE TOMA DE TAMIZAJE</v>
      </c>
      <c r="GE6" s="35"/>
      <c r="GF6" s="35"/>
      <c r="GG6" s="44" t="str">
        <f t="shared" ca="1" si="39"/>
        <v>PIERDE TOMA DE TAMIZAJE</v>
      </c>
      <c r="GH6" s="35"/>
      <c r="GI6" s="44"/>
      <c r="GJ6" s="35" t="s">
        <v>832</v>
      </c>
      <c r="GK6" s="35"/>
      <c r="GL6" s="35" t="s">
        <v>832</v>
      </c>
      <c r="GM6" s="35"/>
      <c r="GN6" s="43" t="s">
        <v>844</v>
      </c>
      <c r="GO6" s="35">
        <v>44662</v>
      </c>
      <c r="GP6" s="44">
        <f t="shared" si="40"/>
        <v>0.7142857142857143</v>
      </c>
      <c r="GQ6" s="43" t="s">
        <v>844</v>
      </c>
      <c r="GR6" s="43" t="s">
        <v>844</v>
      </c>
      <c r="GS6" s="35" t="str">
        <f t="shared" si="41"/>
        <v>CONTROL Igm</v>
      </c>
      <c r="GT6" s="35">
        <v>44662</v>
      </c>
      <c r="GU6" s="44">
        <f t="shared" si="42"/>
        <v>0.7142857142857143</v>
      </c>
      <c r="GV6" s="31" t="str">
        <f t="shared" si="43"/>
        <v>I TRIM</v>
      </c>
      <c r="GW6" s="43"/>
      <c r="GX6" s="46"/>
      <c r="GY6" s="31"/>
      <c r="GZ6" s="35"/>
      <c r="HA6" s="43" t="str">
        <f t="shared" si="44"/>
        <v/>
      </c>
      <c r="HB6" s="31" t="str">
        <f t="shared" si="45"/>
        <v/>
      </c>
      <c r="HC6" s="31" t="str">
        <f t="shared" si="46"/>
        <v/>
      </c>
      <c r="HD6" s="31" t="s">
        <v>846</v>
      </c>
      <c r="HE6" s="31"/>
      <c r="HF6" s="31" t="s">
        <v>847</v>
      </c>
      <c r="HG6" s="31"/>
      <c r="HH6" s="31" t="s">
        <v>848</v>
      </c>
      <c r="HI6" s="31">
        <v>0</v>
      </c>
      <c r="HJ6" s="35" t="s">
        <v>849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7"/>
        <v>*****SOBREPESO****PREVENCIÓN CONTAGIO TOXOPLASMOSIS***</v>
      </c>
      <c r="HM6" s="35" t="e">
        <f>IF(AND(O6="",R6=""),"",IF(AND(OR(O6&lt;&gt;"",R6&lt;&gt;""),OR(HO6="RIESGO ALTO DE COMPLICACIONES HIPERTENSIVAS VER MANEJO GUIA SUMINISTRO ASA Y CALCIO",HO6="RIESGO MODERADO (2 O MAS CRITERIOS) VER MANEJO GUIA SUMINISTRO ASA Y CALCIO")),"ALTO RIESGO",IF(AND(HL6="************",OR(O6&lt;&gt;"",R6&lt;&gt;""),AND(#REF!&gt;=0,#REF!&lt;3)),"BAJO RIESGO",IF(AND(OR(O6&lt;&gt;"",R6&lt;&gt;""),OR(HJ6="COVID19 PRIMER TRIMESTRE",HJ6="COVID19 SEGUNDO TRIMESTRE",HJ6="COVID19 TERCER TRIMESTRE",HJ6="COVID19 PUERPERIO")),"ALTO RIESGO",IF(AND(HL6&lt;&gt;"",OR(O6&lt;&gt;"",R6&lt;&gt;""),AND(#REF!&gt;=0,#REF!&lt;3)),"CON RIESGO",IF(AND(OR(O6&lt;&gt;"",R6&lt;&gt;""),#REF!&gt;2),"ALTO RIESGO",""))))))</f>
        <v>#REF!</v>
      </c>
      <c r="HN6" s="31" t="e">
        <f ca="1">IF(OR(O6&gt;0,R6&gt;0),CONCATENATE(IF(AK6="CON RIESGO","RIESGO PSICOSOCIAL",""),"*",CONCATENATE(IF(AL6="SI","ANTECEDENTE PREECLAMPSIA",""),"*",CONCATENATE(IF(AM6="SI","ANTECEDENTE HEMORRAGIA POSTPARTO O RETENCIÓN DE PLACENTA",""),"*",CONCATENATE(IF(AN6="SI","ANTECEDENTE RN BAJO PESO O MACROSOMICO",""),"*",CONCATENATE(IF(AP6="SI","ANTECEDENTE TRABAJO DE PARTO PROLONGADO",""),"*",CONCATENATE(IF(AU6="SI","INFERTILIDAD",""),"*",CONCATENATE(IF(BA6="SI","ENFERMERDAD AUTOINMUNE",""),"*",CONCATENATE(IF(BB6="SI","DIABETES PREGESTACIONAL",""),"*",CONCATENATE(IF(BC6="SI","ENFERMEDAD CARDIACA",""),"*",CONCATENATE(IF(BD6="SI","HTA CRÓNICA",""),"*",CONCATENATE(IF(BE6="SI","ENFERMEDAD RENAL CRÓNICA",""),"*",CONCATENATE(IF(BG6="SI","RUPTURA PREMATURA DE MEMBRANAS",""),"*",CONCATENATE(IF(OR(BH6="SI",BI6="SI"),"HEMORRAGIA DURANTE LA GESTACIÓN",""),"*",CONCATENATE(IF(BV6="SI","RCIU",""),"*",CONCATENATE(IF(BW6="SI","EMBARAZO GEMELAR",""),"*",CONCATENATE(IF(#REF!=3,"PRESENTACIÓN FETAL PODALICA O TRANSVERSA",""),"*",CONCATENATE(IF(BY6="SI","POLIHIDRAMNIOS",""),"*",CONCATENATE(IF(FB6="DIABETES, REMITIR","DIABETES GESTACIONAL",""),"*",CONCATENATE(IF(FP6&lt;&gt;"","SEGUIMIENTO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MALARIA",""),"*",CONCATENATE(IF(OR(HJ6="COVID19 PRIMER TRIMESTRE",HJ6="COVID19 SEGUNDO TRIMESTRE", HJ6="COVID19 TERCER TRIMESTRE",HJ6="COVID19 PUERPERIO"),"SEGUIMIENTO PARA COVID19",""),"*",CONCATENATE(IF(EU6="RIESGO DE INCOMPATIBILIDAD RH","SEGUIMIENTO PARA INCOMPATIBILIDAD RH",""),"*")))))))))))))))))))))))))))))))),"")</f>
        <v>#REF!</v>
      </c>
      <c r="HO6" s="31" t="e">
        <f>IF(AND(O6="",R6=""),"",IF(AND(OR(O6&gt;0,R6&gt;0),OR(AL6="SI",BD6="SI",BA6="SI",BB6="SI",BE6="SI")),"RIESGO ALTO DE COMPLICACIONES HIPERTENSIVAS VER MANEJO GUIA SUMINISTRO ASA Y CALCIO",IF(AND(OR(O6&gt;0,R6&gt;0),#REF!&gt;1),"RIESGO MODERADO (2 O MAS CRITERIOS) VER MANEJO GUIA SUMINISTRO ASA Y CALCIO","SIN ANTECEDENTES DE RIESGO")))</f>
        <v>#REF!</v>
      </c>
      <c r="HP6" s="37" t="str">
        <f t="shared" si="48"/>
        <v>APARENTEMENTE NORMAL</v>
      </c>
      <c r="HQ6"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6" s="46" t="str">
        <f t="shared" si="49"/>
        <v>SEGUIMIENTO REPORTE EPS</v>
      </c>
      <c r="HS6" s="31" t="s">
        <v>824</v>
      </c>
      <c r="HT6" s="31" t="s">
        <v>832</v>
      </c>
      <c r="HU6" s="35"/>
      <c r="HV6" s="35"/>
      <c r="HW6" s="35">
        <v>44662</v>
      </c>
      <c r="HX6" s="35" t="s">
        <v>850</v>
      </c>
      <c r="HY6" s="35">
        <v>44662</v>
      </c>
      <c r="HZ6" s="35" t="s">
        <v>850</v>
      </c>
      <c r="IA6" s="40" t="s">
        <v>836</v>
      </c>
      <c r="IB6" s="35">
        <v>44662</v>
      </c>
      <c r="IC6" s="43">
        <f t="shared" si="50"/>
        <v>0.7142857142857143</v>
      </c>
      <c r="ID6" s="40" t="s">
        <v>824</v>
      </c>
      <c r="IE6" s="40"/>
      <c r="IF6" s="35"/>
      <c r="IG6" s="35"/>
      <c r="IH6" s="151"/>
      <c r="II6" s="151"/>
      <c r="IJ6" s="151"/>
      <c r="IK6" s="37" t="e">
        <f>IF(AND(BK6="",#REF!="SD"),"SIN DATO EDAD GESTACIONAL",IF(AND(BK6="",#REF!=""),"",IF(AND(AND(BQ6&gt;0,BQ6&lt;12),#REF!=""),"MENOR 12 SEMANAS",IF(AND(BQ6&gt;11.6,#REF!="",HJ6="BAJO RIESGO O SE DESCARTA INFECCIÓN POR SARS-CoV2"),"PROGRAMAR APLICACION DE VACUNA",IF(OR(AND(BQ6&gt;11.6,#REF!=""),HJ6="FACTOR DE RIESGO PARA COVID19",HJ6="COVID19 PRIMER TRIMESTRE",HJ6="COVID19 SEGUNDO TRIMESTRE",HJ6="COVID19 TERCER TRIMESTRE",HJ6="COVID19 PUERPERIO"),"DIFERIR FECHA DE VACUNACION SEGÚN LINEAMIENTOS",IF(AND(BQ6&gt;11.6,#REF!="Error Jansen X Fecha Segunda Dosis"),"Error Jansen X Fecha Segunda Dosis",IF(AND(BQ6&gt;11.6,#REF!="Firma"),"FIRMA DISENTIMIENTO",IF(AND(BQ6&gt;11.6,#REF!="Firma3"),"NO ACEPTA VACUNA Y NO FIRMA DISCENTIMIENTO",IF(AND(BQ6&gt;11.6,#REF!="Firma2"),"Error en Fecha x Firma Disentimiento",IF(AND(BQ6&gt;11.6,#REF!="Firma4"),"Error en Fecha x No Acepta no Firma",IF(AND(BQ6&gt;11.6,#REF!="Completo",Tabla1[[#This Row],[Fecha Refuerzo Anti COVID-20]]=""),"PENDIENTE REFUERZO",IF(AND(BQ6&gt;11.6,#REF!="Completo",Tabla1[[#This Row],[Fecha Refuerzo Anti COVID-20]]&lt;&gt;""),"CON REFUERZO",IF(AND(BQ6&gt;11.6,#REF!="Falta Dosis"),#REF!,IF(OR(AND(BQ6&gt;11.6,#REF!=""),HJ6="",HJ6="NO SE EVALUA RIESGO INFECCIÓN COVID19"),"DEFINIR RIESGO CONTAGIO SARS-CoV2, columna GZ",""))))))))))))))</f>
        <v>#REF!</v>
      </c>
      <c r="IL6" s="151"/>
      <c r="IM6" s="35"/>
      <c r="IN6" s="35" t="e">
        <f>IF(AND(BK6="",#REF!="SD"),"SIN DATO EDAD GESTACIONAL",IF(AND(BK6="",IM6=""),"",IF(AND(AND(BQ6&gt;0,BQ6&lt;20),IM6=""),"EN ESPERA PARA VACUNAR",IF(AND(AND(BQ6&gt;19,BQ6&lt;27),IM6=""),"PROGRAMAR APLICACION DE VACUNA",IF(AND(AND(BQ6&gt;26,BQ6&lt;43),IM6=""),"INASISTENTE",IF(AND(AND(#REF!&gt;19,#REF!&lt;27),IM6&gt;0),"VACUNA APLICADA ENTRE SEMANA 20 Y SEMANA 26",IF(AND(#REF!&lt;20,IM6&gt;0),"VACUNA APLICADA ANTES SEMANA 20",IF(AND(#REF!&gt;26,IM6&gt;0),"VACUNA APLICADA ENTRE SEMANA 27 Y EL PARTO",IF(AND(OR(IT6="CESAREA",IT6="PARTO"),IR6="POSIBLEMENTE NACIO",IM6=""),"SALE SIN VACUNA","")))))))))</f>
        <v>#REF!</v>
      </c>
      <c r="IO6" s="35"/>
      <c r="IP6" s="35">
        <f t="shared" si="51"/>
        <v>44937</v>
      </c>
      <c r="IQ6" s="44">
        <f t="shared" ca="1" si="52"/>
        <v>-294</v>
      </c>
      <c r="IR6" s="35" t="str">
        <f t="shared" ca="1" si="53"/>
        <v>POSIBLEMENTE NACIO</v>
      </c>
      <c r="IS6" s="35"/>
      <c r="IT6" s="31" t="s">
        <v>852</v>
      </c>
      <c r="IU6" s="31"/>
      <c r="IV6" s="51"/>
      <c r="IW6" s="35"/>
      <c r="IX6" s="31"/>
      <c r="IY6" s="44" t="str">
        <f t="shared" si="54"/>
        <v/>
      </c>
      <c r="IZ6" s="52"/>
      <c r="JA6" s="31"/>
      <c r="JB6" s="31"/>
      <c r="JC6" s="31"/>
      <c r="JD6" s="31"/>
      <c r="JE6" s="31"/>
      <c r="JF6" s="31"/>
      <c r="JG6" s="31"/>
      <c r="JH6" s="31"/>
      <c r="JI6" s="31"/>
      <c r="JJ6" s="31"/>
      <c r="JK6" s="46"/>
      <c r="JL6" s="31"/>
      <c r="JM6" s="53"/>
      <c r="JN6" s="31" t="str">
        <f t="shared" si="55"/>
        <v/>
      </c>
      <c r="JO6" s="46"/>
      <c r="JP6" s="31"/>
      <c r="JQ6" s="31"/>
      <c r="JR6" s="31"/>
      <c r="JS6" s="46"/>
      <c r="JT6" s="35"/>
      <c r="JU6" s="35"/>
      <c r="JV6" s="31"/>
      <c r="JW6" s="53"/>
      <c r="JX6" s="31" t="str">
        <f t="shared" si="56"/>
        <v/>
      </c>
      <c r="JY6" s="35"/>
      <c r="JZ6" s="31"/>
      <c r="KA6" s="31"/>
      <c r="KB6" s="31"/>
      <c r="KC6" s="46"/>
      <c r="KD6" s="35"/>
      <c r="KE6" s="35"/>
      <c r="KF6" s="50"/>
      <c r="KG6" s="43" t="str">
        <f t="shared" si="57"/>
        <v/>
      </c>
      <c r="KH6" s="50"/>
      <c r="KI6" s="43" t="str">
        <f t="shared" si="58"/>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48"/>
    </row>
    <row r="7" spans="1:354" ht="39.950000000000003" customHeight="1" x14ac:dyDescent="0.25">
      <c r="A7" s="145" t="s">
        <v>803</v>
      </c>
      <c r="B7" s="68" t="s">
        <v>804</v>
      </c>
      <c r="C7" s="68" t="s">
        <v>805</v>
      </c>
      <c r="D7" s="165" t="s">
        <v>813</v>
      </c>
      <c r="E7" s="68" t="s">
        <v>814</v>
      </c>
      <c r="F7" s="68" t="s">
        <v>815</v>
      </c>
      <c r="G7" s="68" t="s">
        <v>816</v>
      </c>
      <c r="H7" s="68"/>
      <c r="I7" s="145" t="s">
        <v>817</v>
      </c>
      <c r="J7" s="146">
        <v>1058546619</v>
      </c>
      <c r="K7" s="68" t="s">
        <v>811</v>
      </c>
      <c r="L7" s="68" t="s">
        <v>818</v>
      </c>
      <c r="M7" s="237">
        <v>38125</v>
      </c>
      <c r="N7" s="237">
        <f t="shared" ca="1" si="0"/>
        <v>19.468493150684932</v>
      </c>
      <c r="O7" s="35">
        <v>44734</v>
      </c>
      <c r="P7" s="39" t="str">
        <f t="shared" si="1"/>
        <v>SI</v>
      </c>
      <c r="Q7" s="40" t="s">
        <v>825</v>
      </c>
      <c r="R7" s="35">
        <v>44734</v>
      </c>
      <c r="S7" s="31" t="s">
        <v>826</v>
      </c>
      <c r="T7" s="37" t="s">
        <v>751</v>
      </c>
      <c r="U7" s="31" t="s">
        <v>827</v>
      </c>
      <c r="V7" s="31" t="s">
        <v>828</v>
      </c>
      <c r="W7" s="31" t="s">
        <v>837</v>
      </c>
      <c r="X7" s="31" t="s">
        <v>837</v>
      </c>
      <c r="Y7" s="31" t="s">
        <v>837</v>
      </c>
      <c r="Z7" s="31">
        <v>3175892519</v>
      </c>
      <c r="AA7" s="31" t="s">
        <v>831</v>
      </c>
      <c r="AB7" s="41" t="s">
        <v>832</v>
      </c>
      <c r="AC7" s="40" t="s">
        <v>838</v>
      </c>
      <c r="AD7" s="55" t="s">
        <v>839</v>
      </c>
      <c r="AE7" s="40" t="s">
        <v>824</v>
      </c>
      <c r="AF7" s="40" t="s">
        <v>824</v>
      </c>
      <c r="AG7" s="36" t="s">
        <v>835</v>
      </c>
      <c r="AH7" s="36" t="s">
        <v>835</v>
      </c>
      <c r="AI7" s="37" t="s">
        <v>834</v>
      </c>
      <c r="AJ7" s="36" t="s">
        <v>835</v>
      </c>
      <c r="AK7" s="42" t="e">
        <f>IF(AND(AE7="",AF7="",AG7="",AH7="",AI7="",AJ7=""),"",IF(AND(OR(O7&gt;0,R7&gt;0),#REF!&gt;=0,#REF!&lt;2),"SIN RIESGO",IF(AND(OR(O7&gt;0,R7&gt;0),#REF!&gt;=2),"CON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7" s="36" t="s">
        <v>835</v>
      </c>
      <c r="AM7" s="40" t="s">
        <v>835</v>
      </c>
      <c r="AN7" s="40" t="s">
        <v>835</v>
      </c>
      <c r="AO7" s="40" t="s">
        <v>835</v>
      </c>
      <c r="AP7" s="40" t="s">
        <v>835</v>
      </c>
      <c r="AQ7" s="40" t="s">
        <v>835</v>
      </c>
      <c r="AR7" s="31">
        <v>0</v>
      </c>
      <c r="AS7" s="31">
        <v>0</v>
      </c>
      <c r="AT7" s="31">
        <v>0</v>
      </c>
      <c r="AU7" s="40" t="s">
        <v>835</v>
      </c>
      <c r="AV7" s="31">
        <v>0</v>
      </c>
      <c r="AW7" s="40" t="s">
        <v>835</v>
      </c>
      <c r="AX7" s="40" t="s">
        <v>835</v>
      </c>
      <c r="AY7" s="40" t="s">
        <v>835</v>
      </c>
      <c r="AZ7" s="40" t="s">
        <v>835</v>
      </c>
      <c r="BA7" s="40" t="s">
        <v>835</v>
      </c>
      <c r="BB7" s="40" t="s">
        <v>835</v>
      </c>
      <c r="BC7" s="40" t="s">
        <v>835</v>
      </c>
      <c r="BD7" s="40" t="s">
        <v>835</v>
      </c>
      <c r="BE7" s="40" t="s">
        <v>835</v>
      </c>
      <c r="BF7" s="40" t="s">
        <v>835</v>
      </c>
      <c r="BG7" s="40" t="s">
        <v>835</v>
      </c>
      <c r="BH7" s="40" t="s">
        <v>835</v>
      </c>
      <c r="BI7" s="40" t="s">
        <v>835</v>
      </c>
      <c r="BJ7" s="35"/>
      <c r="BK7" s="35">
        <v>44664</v>
      </c>
      <c r="BL7" s="31" t="s">
        <v>824</v>
      </c>
      <c r="BM7" s="43">
        <f t="shared" si="2"/>
        <v>0</v>
      </c>
      <c r="BN7" s="57" t="e">
        <f>IF(BS7&gt;0,SUM(BR7-#REF!),"")</f>
        <v>#REF!</v>
      </c>
      <c r="BO7" s="44">
        <f t="shared" si="3"/>
        <v>10</v>
      </c>
      <c r="BP7" s="31" t="str">
        <f t="shared" si="4"/>
        <v>I TRIM</v>
      </c>
      <c r="BQ7" s="39" t="str">
        <f t="shared" ca="1" si="5"/>
        <v/>
      </c>
      <c r="BR7" s="35">
        <v>44767</v>
      </c>
      <c r="BS7" s="43">
        <v>14</v>
      </c>
      <c r="BT7" s="35">
        <v>44823</v>
      </c>
      <c r="BU7" s="31">
        <v>22</v>
      </c>
      <c r="BV7" s="40" t="s">
        <v>835</v>
      </c>
      <c r="BW7" s="40" t="s">
        <v>835</v>
      </c>
      <c r="BX7" s="40" t="s">
        <v>840</v>
      </c>
      <c r="BY7" s="40" t="s">
        <v>835</v>
      </c>
      <c r="BZ7" s="35">
        <v>44734</v>
      </c>
      <c r="CA7" s="31">
        <v>1.6</v>
      </c>
      <c r="CB7" s="31">
        <v>59</v>
      </c>
      <c r="CC7" s="39">
        <f t="shared" si="6"/>
        <v>23.046874999999996</v>
      </c>
      <c r="CD7" s="45" t="str">
        <f t="shared" si="7"/>
        <v>NORMAL</v>
      </c>
      <c r="CE7" s="35">
        <v>44792</v>
      </c>
      <c r="CF7" s="31">
        <v>54</v>
      </c>
      <c r="CG7" s="39">
        <f t="shared" si="8"/>
        <v>21.093749999999996</v>
      </c>
      <c r="CH7" s="31">
        <f t="shared" si="9"/>
        <v>18</v>
      </c>
      <c r="CI7" s="31" t="e">
        <f>IF(OR(CH7="",CH7="NA"),"",IF(AND(CH7&gt;=29,CH7&lt;=42),"REGISTRAR EN III TRIM",IF(AND(CH7&gt;0,CH7&lt;=13),"REGISTRAR EN I TRIM",IF(CH7="REVISAR FUM O FECHA PESO","REVISAR",IF(CH7&gt;0,HLOOKUP(CH7,#REF!,#REF!),"")))))</f>
        <v>#REF!</v>
      </c>
      <c r="CJ7" s="35">
        <v>44883</v>
      </c>
      <c r="CK7" s="31">
        <v>60</v>
      </c>
      <c r="CL7" s="39">
        <f t="shared" si="10"/>
        <v>23.437499999999996</v>
      </c>
      <c r="CM7" s="31">
        <f t="shared" si="11"/>
        <v>31</v>
      </c>
      <c r="CN7" s="31" t="e">
        <f>IF(OR(CM7="",CM7="NA"),"",IF(AND(CM7&gt;0,CM7&lt;=28),"REGISTRAR EN  TRIM RESPECTIVO",IF(CM7&gt;0,HLOOKUP(CM7,#REF!,#REF!),"")))</f>
        <v>#REF!</v>
      </c>
      <c r="CO7" s="31" t="e">
        <f t="shared" si="12"/>
        <v>#REF!</v>
      </c>
      <c r="CP7" s="31">
        <v>110</v>
      </c>
      <c r="CQ7" s="31">
        <v>70</v>
      </c>
      <c r="CR7" s="37" t="str">
        <f t="shared" si="13"/>
        <v>APARENTEMENTE NORMAL</v>
      </c>
      <c r="CS7" s="31">
        <v>100</v>
      </c>
      <c r="CT7" s="31">
        <v>70</v>
      </c>
      <c r="CU7" s="37" t="str">
        <f t="shared" si="14"/>
        <v>VIGILAR CIFRAS PRESION ARTERIAL</v>
      </c>
      <c r="CV7" s="31">
        <v>100</v>
      </c>
      <c r="CW7" s="31">
        <v>70</v>
      </c>
      <c r="CX7" s="31">
        <v>110</v>
      </c>
      <c r="CY7" s="31">
        <v>70</v>
      </c>
      <c r="CZ7" s="37" t="str">
        <f t="shared" si="15"/>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6"/>
        <v>SALE SIN PLAN DE PARTO</v>
      </c>
      <c r="DR7" s="46" t="str">
        <f t="shared" si="17"/>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7" s="35" t="e">
        <f>IF(R7="","",IF(R7&gt;0,MAX(Tabla1[[#This Row],[FECHA C2]:[FECHA C13]],Tabla1[[#This Row],[FECHA CONSULTA PRIMERA VEZ PROGRAMA CPN ]])))</f>
        <v>#VALUE!</v>
      </c>
      <c r="DV7" s="31" t="e">
        <f t="shared" si="18"/>
        <v>#VALUE!</v>
      </c>
      <c r="DW7" s="43">
        <f>IF(R7&gt;0,SUM(COUNTA(DC7:DN7)+COUNTA(Tabla1[[#This Row],[FECHA CONSULTA PRIMERA VEZ PROGRAMA CPN ]])),"")</f>
        <v>6</v>
      </c>
      <c r="DX7" s="43" t="str">
        <f t="shared" si="19"/>
        <v>SI</v>
      </c>
      <c r="DY7" s="39">
        <f t="shared" si="20"/>
        <v>9</v>
      </c>
      <c r="DZ7" s="47">
        <f t="shared" si="21"/>
        <v>0.66666666666666663</v>
      </c>
      <c r="EA7" s="35">
        <v>44734</v>
      </c>
      <c r="EB7" s="35">
        <v>44734</v>
      </c>
      <c r="EC7" s="35">
        <v>44734</v>
      </c>
      <c r="ED7" s="35">
        <v>44761</v>
      </c>
      <c r="EE7" s="35">
        <v>44734</v>
      </c>
      <c r="EF7" s="35">
        <v>44767</v>
      </c>
      <c r="EG7" s="35">
        <v>44823</v>
      </c>
      <c r="EH7" s="31">
        <v>2</v>
      </c>
      <c r="EI7" s="31">
        <v>13</v>
      </c>
      <c r="EJ7" s="35">
        <v>44734</v>
      </c>
      <c r="EK7" s="43">
        <f t="shared" si="22"/>
        <v>10</v>
      </c>
      <c r="EL7" s="39" t="str">
        <f t="shared" si="23"/>
        <v>NORMAL- SUMINISTRAR SULFATO FERROSO</v>
      </c>
      <c r="EM7" s="31" t="str">
        <f t="shared" si="24"/>
        <v>I TRIM</v>
      </c>
      <c r="EN7" s="37">
        <v>15</v>
      </c>
      <c r="EO7" s="35">
        <v>44883</v>
      </c>
      <c r="EP7" s="44">
        <f t="shared" si="25"/>
        <v>31.285714285714285</v>
      </c>
      <c r="EQ7" s="39" t="str">
        <f t="shared" si="26"/>
        <v>NO DAR SULFATO FERROSO</v>
      </c>
      <c r="ER7" s="37" t="s">
        <v>842</v>
      </c>
      <c r="ES7" s="35">
        <v>44734</v>
      </c>
      <c r="ET7" s="44">
        <f t="shared" si="27"/>
        <v>10</v>
      </c>
      <c r="EU7" s="39" t="str">
        <f t="shared" si="28"/>
        <v>NO HAY RIESGO POR RH</v>
      </c>
      <c r="EV7" s="31">
        <v>95</v>
      </c>
      <c r="EW7" s="35">
        <v>44734</v>
      </c>
      <c r="EX7" s="44">
        <f t="shared" si="29"/>
        <v>10</v>
      </c>
      <c r="EY7" s="44">
        <v>75</v>
      </c>
      <c r="EZ7" s="44">
        <v>85</v>
      </c>
      <c r="FA7" s="44">
        <v>110</v>
      </c>
      <c r="FB7" s="31" t="str">
        <f t="shared" ca="1" si="30"/>
        <v>NORMAL</v>
      </c>
      <c r="FC7" s="48">
        <v>44848</v>
      </c>
      <c r="FD7" s="44">
        <f t="shared" si="31"/>
        <v>26.285714285714285</v>
      </c>
      <c r="FE7" s="35" t="s">
        <v>843</v>
      </c>
      <c r="FF7" s="35">
        <v>44734</v>
      </c>
      <c r="FG7" s="44">
        <f t="shared" ca="1" si="32"/>
        <v>10</v>
      </c>
      <c r="FH7" s="35" t="s">
        <v>843</v>
      </c>
      <c r="FI7" s="49">
        <v>44820</v>
      </c>
      <c r="FJ7" s="44">
        <f t="shared" ca="1" si="33"/>
        <v>22.285714285714285</v>
      </c>
      <c r="FK7" s="35" t="s">
        <v>843</v>
      </c>
      <c r="FL7" s="49">
        <v>44883</v>
      </c>
      <c r="FM7" s="44">
        <f t="shared" ca="1" si="34"/>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752</v>
      </c>
      <c r="FR7" s="35">
        <v>44734</v>
      </c>
      <c r="FS7" s="44">
        <f t="shared" si="35"/>
        <v>10</v>
      </c>
      <c r="FT7" s="43" t="s">
        <v>844</v>
      </c>
      <c r="FU7" s="35">
        <v>44734</v>
      </c>
      <c r="FV7" s="44">
        <f t="shared" si="36"/>
        <v>10</v>
      </c>
      <c r="FW7" s="35">
        <v>44734</v>
      </c>
      <c r="FX7" s="35">
        <v>44734</v>
      </c>
      <c r="FY7" s="35" t="s">
        <v>845</v>
      </c>
      <c r="FZ7" s="35">
        <v>44734</v>
      </c>
      <c r="GA7" s="44">
        <f t="shared" ca="1" si="37"/>
        <v>10</v>
      </c>
      <c r="GB7" s="35" t="s">
        <v>845</v>
      </c>
      <c r="GC7" s="35">
        <v>44820</v>
      </c>
      <c r="GD7" s="44">
        <f t="shared" ca="1" si="38"/>
        <v>22.285714285714285</v>
      </c>
      <c r="GE7" s="35" t="s">
        <v>845</v>
      </c>
      <c r="GF7" s="35">
        <v>44883</v>
      </c>
      <c r="GG7" s="44">
        <f t="shared" ca="1" si="39"/>
        <v>31.285714285714285</v>
      </c>
      <c r="GH7" s="35"/>
      <c r="GI7" s="44"/>
      <c r="GJ7" s="35" t="s">
        <v>832</v>
      </c>
      <c r="GK7" s="35"/>
      <c r="GL7" s="35" t="s">
        <v>832</v>
      </c>
      <c r="GM7" s="35"/>
      <c r="GN7" s="43" t="s">
        <v>844</v>
      </c>
      <c r="GO7" s="35">
        <v>44734</v>
      </c>
      <c r="GP7" s="44">
        <f t="shared" si="40"/>
        <v>10</v>
      </c>
      <c r="GQ7" s="43" t="s">
        <v>844</v>
      </c>
      <c r="GR7" s="43" t="s">
        <v>844</v>
      </c>
      <c r="GS7" s="35" t="str">
        <f t="shared" si="41"/>
        <v>CONTROL Igm</v>
      </c>
      <c r="GT7" s="35">
        <v>44734</v>
      </c>
      <c r="GU7" s="44">
        <f t="shared" si="42"/>
        <v>10</v>
      </c>
      <c r="GV7" s="31" t="str">
        <f t="shared" si="43"/>
        <v>I TRIM</v>
      </c>
      <c r="GW7" s="43" t="s">
        <v>844</v>
      </c>
      <c r="GX7" s="46">
        <v>5</v>
      </c>
      <c r="GY7" s="31"/>
      <c r="GZ7" s="35"/>
      <c r="HA7" s="43" t="str">
        <f t="shared" si="44"/>
        <v/>
      </c>
      <c r="HB7" s="31" t="str">
        <f t="shared" si="45"/>
        <v/>
      </c>
      <c r="HC7" s="31" t="str">
        <f t="shared" si="46"/>
        <v/>
      </c>
      <c r="HD7" s="31" t="s">
        <v>846</v>
      </c>
      <c r="HE7" s="31"/>
      <c r="HF7" s="31" t="s">
        <v>847</v>
      </c>
      <c r="HG7" s="31"/>
      <c r="HH7" s="31" t="s">
        <v>848</v>
      </c>
      <c r="HI7" s="31">
        <v>0</v>
      </c>
      <c r="HJ7" s="35" t="s">
        <v>849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7"/>
        <v>#REF!</v>
      </c>
      <c r="HM7" s="35" t="e">
        <f>IF(AND(O7="",R7=""),"",IF(AND(OR(O7&lt;&gt;"",R7&lt;&gt;""),OR(HO7="RIESGO ALTO DE COMPLICACIONES HIPERTENSIVAS VER MANEJO GUIA SUMINISTRO ASA Y CALCIO",HO7="RIESGO MODERADO (2 O MAS CRITERIOS) VER MANEJO GUIA SUMINISTRO ASA Y CALCIO")),"ALTO RIESGO",IF(AND(HL7="************",OR(O7&lt;&gt;"",R7&lt;&gt;""),AND(#REF!&gt;=0,#REF!&lt;3)),"BAJO RIESGO",IF(AND(OR(O7&lt;&gt;"",R7&lt;&gt;""),OR(HJ7="COVID19 PRIMER TRIMESTRE",HJ7="COVID19 SEGUNDO TRIMESTRE",HJ7="COVID19 TERCER TRIMESTRE",HJ7="COVID19 PUERPERIO")),"ALTO RIESGO",IF(AND(HL7&lt;&gt;"",OR(O7&lt;&gt;"",R7&lt;&gt;""),AND(#REF!&gt;=0,#REF!&lt;3)),"CON RIESGO",IF(AND(OR(O7&lt;&gt;"",R7&lt;&gt;""),#REF!&gt;2),"ALTO RIESGO",""))))))</f>
        <v>#REF!</v>
      </c>
      <c r="HN7" s="31" t="e">
        <f ca="1">IF(OR(O7&gt;0,R7&gt;0),CONCATENATE(IF(AK7="CON RIESGO","RIESGO PSICOSOCIAL",""),"*",CONCATENATE(IF(AL7="SI","ANTECEDENTE PREECLAMPSIA",""),"*",CONCATENATE(IF(AM7="SI","ANTECEDENTE HEMORRAGIA POSTPARTO O RETENCIÓN DE PLACENTA",""),"*",CONCATENATE(IF(AN7="SI","ANTECEDENTE RN BAJO PESO O MACROSOMICO",""),"*",CONCATENATE(IF(AP7="SI","ANTECEDENTE TRABAJO DE PARTO PROLONGADO",""),"*",CONCATENATE(IF(AU7="SI","INFERTILIDAD",""),"*",CONCATENATE(IF(BA7="SI","ENFERMERDAD AUTOINMUNE",""),"*",CONCATENATE(IF(BB7="SI","DIABETES PREGESTACIONAL",""),"*",CONCATENATE(IF(BC7="SI","ENFERMEDAD CARDIACA",""),"*",CONCATENATE(IF(BD7="SI","HTA CRÓNICA",""),"*",CONCATENATE(IF(BE7="SI","ENFERMEDAD RENAL CRÓNICA",""),"*",CONCATENATE(IF(BG7="SI","RUPTURA PREMATURA DE MEMBRANAS",""),"*",CONCATENATE(IF(OR(BH7="SI",BI7="SI"),"HEMORRAGIA DURANTE LA GESTACIÓN",""),"*",CONCATENATE(IF(BV7="SI","RCIU",""),"*",CONCATENATE(IF(BW7="SI","EMBARAZO GEMELAR",""),"*",CONCATENATE(IF(#REF!=3,"PRESENTACIÓN FETAL PODALICA O TRANSVERSA",""),"*",CONCATENATE(IF(BY7="SI","POLIHIDRAMNIOS",""),"*",CONCATENATE(IF(FB7="DIABETES, REMITIR","DIABETES GESTACIONAL",""),"*",CONCATENATE(IF(FP7&lt;&gt;"","SEGUIMIENTO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MALARIA",""),"*",CONCATENATE(IF(OR(HJ7="COVID19 PRIMER TRIMESTRE",HJ7="COVID19 SEGUNDO TRIMESTRE", HJ7="COVID19 TERCER TRIMESTRE",HJ7="COVID19 PUERPERIO"),"SEGUIMIENTO PARA COVID19",""),"*",CONCATENATE(IF(EU7="RIESGO DE INCOMPATIBILIDAD RH","SEGUIMIENTO PARA INCOMPATIBILIDAD RH",""),"*")))))))))))))))))))))))))))))))),"")</f>
        <v>#REF!</v>
      </c>
      <c r="HO7" s="31" t="e">
        <f>IF(AND(O7="",R7=""),"",IF(AND(OR(O7&gt;0,R7&gt;0),OR(AL7="SI",BD7="SI",BA7="SI",BB7="SI",BE7="SI")),"RIESGO ALTO DE COMPLICACIONES HIPERTENSIVAS VER MANEJO GUIA SUMINISTRO ASA Y CALCIO",IF(AND(OR(O7&gt;0,R7&gt;0),#REF!&gt;1),"RIESGO MODERADO (2 O MAS CRITERIOS) VER MANEJO GUIA SUMINISTRO ASA Y CALCIO","SIN ANTECEDENTES DE RIESGO")))</f>
        <v>#REF!</v>
      </c>
      <c r="HP7" s="37" t="str">
        <f t="shared" si="48"/>
        <v>APARENTEMENTE NORMAL</v>
      </c>
      <c r="HQ7"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7" s="46" t="str">
        <f t="shared" si="49"/>
        <v>SALIO PROGRAMA</v>
      </c>
      <c r="HS7" s="31" t="s">
        <v>824</v>
      </c>
      <c r="HT7" s="31" t="s">
        <v>832</v>
      </c>
      <c r="HU7" s="35">
        <v>44848</v>
      </c>
      <c r="HV7" s="35" t="s">
        <v>850</v>
      </c>
      <c r="HW7" s="35">
        <v>44848</v>
      </c>
      <c r="HX7" s="35" t="s">
        <v>850</v>
      </c>
      <c r="HY7" s="35">
        <v>44734</v>
      </c>
      <c r="HZ7" s="35" t="s">
        <v>850</v>
      </c>
      <c r="IA7" s="40" t="s">
        <v>836</v>
      </c>
      <c r="IB7" s="35">
        <v>44734</v>
      </c>
      <c r="IC7" s="43">
        <f t="shared" si="50"/>
        <v>10</v>
      </c>
      <c r="ID7" s="40" t="s">
        <v>824</v>
      </c>
      <c r="IE7" s="40" t="s">
        <v>851</v>
      </c>
      <c r="IF7" s="35"/>
      <c r="IG7" s="35"/>
      <c r="IH7" s="151"/>
      <c r="II7" s="151"/>
      <c r="IJ7" s="151"/>
      <c r="IK7" s="37" t="e">
        <f>IF(AND(BK7="",#REF!="SD"),"SIN DATO EDAD GESTACIONAL",IF(AND(BK7="",#REF!=""),"",IF(AND(AND(BQ7&gt;0,BQ7&lt;12),#REF!=""),"MENOR 12 SEMANAS",IF(AND(BQ7&gt;11.6,#REF!="",HJ7="BAJO RIESGO O SE DESCARTA INFECCIÓN POR SARS-CoV2"),"PROGRAMAR APLICACION DE VACUNA",IF(OR(AND(BQ7&gt;11.6,#REF!=""),HJ7="FACTOR DE RIESGO PARA COVID19",HJ7="COVID19 PRIMER TRIMESTRE",HJ7="COVID19 SEGUNDO TRIMESTRE",HJ7="COVID19 TERCER TRIMESTRE",HJ7="COVID19 PUERPERIO"),"DIFERIR FECHA DE VACUNACION SEGÚN LINEAMIENTOS",IF(AND(BQ7&gt;11.6,#REF!="Error Jansen X Fecha Segunda Dosis"),"Error Jansen X Fecha Segunda Dosis",IF(AND(BQ7&gt;11.6,#REF!="Firma"),"FIRMA DISENTIMIENTO",IF(AND(BQ7&gt;11.6,#REF!="Firma3"),"NO ACEPTA VACUNA Y NO FIRMA DISCENTIMIENTO",IF(AND(BQ7&gt;11.6,#REF!="Firma2"),"Error en Fecha x Firma Disentimiento",IF(AND(BQ7&gt;11.6,#REF!="Firma4"),"Error en Fecha x No Acepta no Firma",IF(AND(BQ7&gt;11.6,#REF!="Completo",Tabla1[[#This Row],[Fecha Refuerzo Anti COVID-20]]=""),"PENDIENTE REFUERZO",IF(AND(BQ7&gt;11.6,#REF!="Completo",Tabla1[[#This Row],[Fecha Refuerzo Anti COVID-20]]&lt;&gt;""),"CON REFUERZO",IF(AND(BQ7&gt;11.6,#REF!="Falta Dosis"),#REF!,IF(OR(AND(BQ7&gt;11.6,#REF!=""),HJ7="",HJ7="NO SE EVALUA RIESGO INFECCIÓN COVID19"),"DEFINIR RIESGO CONTAGIO SARS-CoV2, columna GZ",""))))))))))))))</f>
        <v>#REF!</v>
      </c>
      <c r="IL7" s="151">
        <v>44792</v>
      </c>
      <c r="IM7" s="35">
        <v>44820</v>
      </c>
      <c r="IN7" s="35" t="e">
        <f>IF(AND(BK7="",#REF!="SD"),"SIN DATO EDAD GESTACIONAL",IF(AND(BK7="",IM7=""),"",IF(AND(AND(BQ7&gt;0,BQ7&lt;20),IM7=""),"EN ESPERA PARA VACUNAR",IF(AND(AND(BQ7&gt;19,BQ7&lt;27),IM7=""),"PROGRAMAR APLICACION DE VACUNA",IF(AND(AND(BQ7&gt;26,BQ7&lt;43),IM7=""),"INASISTENTE",IF(AND(AND(#REF!&gt;19,#REF!&lt;27),IM7&gt;0),"VACUNA APLICADA ENTRE SEMANA 20 Y SEMANA 26",IF(AND(#REF!&lt;20,IM7&gt;0),"VACUNA APLICADA ANTES SEMANA 20",IF(AND(#REF!&gt;26,IM7&gt;0),"VACUNA APLICADA ENTRE SEMANA 27 Y EL PARTO",IF(AND(OR(IT7="CESAREA",IT7="PARTO"),IR7="POSIBLEMENTE NACIO",IM7=""),"SALE SIN VACUNA","")))))))))</f>
        <v>#REF!</v>
      </c>
      <c r="IO7" s="35"/>
      <c r="IP7" s="35">
        <f t="shared" si="51"/>
        <v>44944</v>
      </c>
      <c r="IQ7" s="44">
        <f t="shared" ca="1" si="52"/>
        <v>-287</v>
      </c>
      <c r="IR7" s="35" t="str">
        <f t="shared" ca="1" si="53"/>
        <v>POSIBLEMENTE NACIO</v>
      </c>
      <c r="IS7" s="35"/>
      <c r="IT7" s="31" t="s">
        <v>853</v>
      </c>
      <c r="IU7" s="31" t="s">
        <v>854</v>
      </c>
      <c r="IV7" s="51" t="s">
        <v>855</v>
      </c>
      <c r="IW7" s="35">
        <v>44945</v>
      </c>
      <c r="IX7" s="31" t="s">
        <v>856</v>
      </c>
      <c r="IY7" s="44">
        <f t="shared" si="54"/>
        <v>40.142857142857146</v>
      </c>
      <c r="IZ7" s="52" t="s">
        <v>857</v>
      </c>
      <c r="JA7" s="31" t="s">
        <v>858</v>
      </c>
      <c r="JB7" s="31" t="s">
        <v>859</v>
      </c>
      <c r="JC7" s="31" t="s">
        <v>860</v>
      </c>
      <c r="JD7" s="31" t="s">
        <v>836</v>
      </c>
      <c r="JE7" s="31" t="s">
        <v>836</v>
      </c>
      <c r="JF7" s="31" t="s">
        <v>836</v>
      </c>
      <c r="JG7" s="31" t="s">
        <v>836</v>
      </c>
      <c r="JH7" s="31" t="s">
        <v>836</v>
      </c>
      <c r="JI7" s="31" t="s">
        <v>836</v>
      </c>
      <c r="JJ7" s="31" t="s">
        <v>861</v>
      </c>
      <c r="JK7" s="46">
        <v>1</v>
      </c>
      <c r="JL7" s="31" t="s">
        <v>862</v>
      </c>
      <c r="JM7" s="53">
        <v>2970</v>
      </c>
      <c r="JN7" s="31" t="str">
        <f t="shared" si="55"/>
        <v>PESO ADECUADO EDAD GESTACIONAL</v>
      </c>
      <c r="JO7" s="209">
        <v>44945</v>
      </c>
      <c r="JP7" s="31"/>
      <c r="JQ7" s="31"/>
      <c r="JR7" s="31"/>
      <c r="JS7" s="46" t="s">
        <v>842</v>
      </c>
      <c r="JT7" s="35">
        <v>44945</v>
      </c>
      <c r="JU7" s="35">
        <v>44945</v>
      </c>
      <c r="JV7" s="31"/>
      <c r="JW7" s="53"/>
      <c r="JX7" s="31" t="str">
        <f t="shared" si="56"/>
        <v/>
      </c>
      <c r="JY7" s="35"/>
      <c r="JZ7" s="31"/>
      <c r="KA7" s="31"/>
      <c r="KB7" s="31"/>
      <c r="KC7" s="46"/>
      <c r="KD7" s="35"/>
      <c r="KE7" s="35"/>
      <c r="KF7" s="50">
        <v>44953</v>
      </c>
      <c r="KG7" s="43">
        <f t="shared" si="57"/>
        <v>8</v>
      </c>
      <c r="KH7" s="50">
        <v>44953</v>
      </c>
      <c r="KI7" s="43">
        <f t="shared" si="58"/>
        <v>8</v>
      </c>
      <c r="KJ7" s="31" t="s">
        <v>824</v>
      </c>
      <c r="KK7" s="31" t="s">
        <v>824</v>
      </c>
      <c r="KL7" s="31" t="s">
        <v>824</v>
      </c>
      <c r="KM7" s="54">
        <v>44945</v>
      </c>
      <c r="KN7" s="43" t="s">
        <v>863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48"/>
    </row>
    <row r="8" spans="1:354" ht="39.950000000000003" customHeight="1" x14ac:dyDescent="0.25">
      <c r="A8" s="145" t="s">
        <v>803</v>
      </c>
      <c r="B8" s="68" t="s">
        <v>804</v>
      </c>
      <c r="C8" s="68" t="s">
        <v>805</v>
      </c>
      <c r="D8" s="165" t="s">
        <v>813</v>
      </c>
      <c r="E8" s="68" t="s">
        <v>819</v>
      </c>
      <c r="F8" s="68" t="s">
        <v>820</v>
      </c>
      <c r="G8" s="68" t="s">
        <v>821</v>
      </c>
      <c r="H8" s="68" t="s">
        <v>822</v>
      </c>
      <c r="I8" s="145" t="s">
        <v>817</v>
      </c>
      <c r="J8" s="146">
        <v>1061719887</v>
      </c>
      <c r="K8" s="68" t="s">
        <v>823</v>
      </c>
      <c r="L8" s="68" t="s">
        <v>818</v>
      </c>
      <c r="M8" s="237">
        <v>39245</v>
      </c>
      <c r="N8" s="237">
        <f t="shared" ca="1" si="0"/>
        <v>16.399999999999999</v>
      </c>
      <c r="O8" s="35">
        <v>44737</v>
      </c>
      <c r="P8" s="39" t="str">
        <f t="shared" si="1"/>
        <v>SI</v>
      </c>
      <c r="Q8" s="40" t="s">
        <v>825</v>
      </c>
      <c r="R8" s="35">
        <v>44737</v>
      </c>
      <c r="S8" s="31" t="s">
        <v>826</v>
      </c>
      <c r="T8" s="37" t="s">
        <v>751</v>
      </c>
      <c r="U8" s="31" t="s">
        <v>827</v>
      </c>
      <c r="V8" s="31" t="s">
        <v>828</v>
      </c>
      <c r="W8" s="31" t="s">
        <v>841</v>
      </c>
      <c r="X8" s="31" t="s">
        <v>841</v>
      </c>
      <c r="Y8" s="31" t="s">
        <v>837</v>
      </c>
      <c r="Z8" s="31">
        <v>3148325692</v>
      </c>
      <c r="AA8" s="31" t="s">
        <v>831</v>
      </c>
      <c r="AB8" s="41" t="s">
        <v>832</v>
      </c>
      <c r="AC8" s="40" t="s">
        <v>838</v>
      </c>
      <c r="AD8" s="55" t="s">
        <v>834</v>
      </c>
      <c r="AE8" s="40" t="s">
        <v>824</v>
      </c>
      <c r="AF8" s="40" t="s">
        <v>824</v>
      </c>
      <c r="AG8" s="36" t="s">
        <v>835</v>
      </c>
      <c r="AH8" s="36" t="s">
        <v>835</v>
      </c>
      <c r="AI8" s="37" t="s">
        <v>834</v>
      </c>
      <c r="AJ8" s="36" t="s">
        <v>835</v>
      </c>
      <c r="AK8" s="42" t="e">
        <f>IF(AND(AE8="",AF8="",AG8="",AH8="",AI8="",AJ8=""),"",IF(AND(OR(O8&gt;0,R8&gt;0),#REF!&gt;=0,#REF!&lt;2),"SIN RIESGO",IF(AND(OR(O8&gt;0,R8&gt;0),#REF!&gt;=2),"CON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#REF!</v>
      </c>
      <c r="AL8" s="36" t="s">
        <v>835</v>
      </c>
      <c r="AM8" s="40" t="s">
        <v>835</v>
      </c>
      <c r="AN8" s="40" t="s">
        <v>835</v>
      </c>
      <c r="AO8" s="40" t="s">
        <v>835</v>
      </c>
      <c r="AP8" s="40" t="s">
        <v>835</v>
      </c>
      <c r="AQ8" s="40" t="s">
        <v>835</v>
      </c>
      <c r="AR8" s="31">
        <v>1</v>
      </c>
      <c r="AS8" s="31">
        <v>0</v>
      </c>
      <c r="AT8" s="31">
        <v>0</v>
      </c>
      <c r="AU8" s="40" t="s">
        <v>835</v>
      </c>
      <c r="AV8" s="31">
        <v>0</v>
      </c>
      <c r="AW8" s="40" t="s">
        <v>835</v>
      </c>
      <c r="AX8" s="40" t="s">
        <v>835</v>
      </c>
      <c r="AY8" s="40" t="s">
        <v>835</v>
      </c>
      <c r="AZ8" s="40" t="s">
        <v>835</v>
      </c>
      <c r="BA8" s="40" t="s">
        <v>835</v>
      </c>
      <c r="BB8" s="40" t="s">
        <v>835</v>
      </c>
      <c r="BC8" s="40" t="s">
        <v>835</v>
      </c>
      <c r="BD8" s="40" t="s">
        <v>835</v>
      </c>
      <c r="BE8" s="40" t="s">
        <v>835</v>
      </c>
      <c r="BF8" s="40" t="s">
        <v>835</v>
      </c>
      <c r="BG8" s="40" t="s">
        <v>835</v>
      </c>
      <c r="BH8" s="40" t="s">
        <v>835</v>
      </c>
      <c r="BI8" s="40" t="s">
        <v>835</v>
      </c>
      <c r="BJ8" s="35"/>
      <c r="BK8" s="35">
        <v>44667</v>
      </c>
      <c r="BL8" s="31" t="s">
        <v>824</v>
      </c>
      <c r="BM8" s="43">
        <f t="shared" si="2"/>
        <v>0</v>
      </c>
      <c r="BN8" s="57" t="e">
        <f>IF(BS8&gt;0,SUM(BR8-#REF!),"")</f>
        <v>#REF!</v>
      </c>
      <c r="BO8" s="44">
        <f t="shared" si="3"/>
        <v>10</v>
      </c>
      <c r="BP8" s="31" t="str">
        <f t="shared" si="4"/>
        <v>I TRIM</v>
      </c>
      <c r="BQ8" s="39" t="str">
        <f t="shared" ca="1" si="5"/>
        <v/>
      </c>
      <c r="BR8" s="35">
        <v>44774</v>
      </c>
      <c r="BS8" s="43">
        <v>16.2</v>
      </c>
      <c r="BT8" s="35"/>
      <c r="BU8" s="31"/>
      <c r="BV8" s="40" t="s">
        <v>835</v>
      </c>
      <c r="BW8" s="40" t="s">
        <v>835</v>
      </c>
      <c r="BX8" s="40" t="s">
        <v>836</v>
      </c>
      <c r="BY8" s="40" t="s">
        <v>836</v>
      </c>
      <c r="BZ8" s="35">
        <v>44737</v>
      </c>
      <c r="CA8" s="31">
        <v>1.53</v>
      </c>
      <c r="CB8" s="31">
        <v>58</v>
      </c>
      <c r="CC8" s="39">
        <f t="shared" si="6"/>
        <v>24.776795249690291</v>
      </c>
      <c r="CD8" s="45" t="str">
        <f t="shared" si="7"/>
        <v>NORMAL</v>
      </c>
      <c r="CE8" s="35">
        <v>44803</v>
      </c>
      <c r="CF8" s="31">
        <v>51</v>
      </c>
      <c r="CG8" s="39">
        <f t="shared" si="8"/>
        <v>21.786492374727668</v>
      </c>
      <c r="CH8" s="31">
        <f t="shared" si="9"/>
        <v>19</v>
      </c>
      <c r="CI8" s="31" t="e">
        <f>IF(OR(CH8="",CH8="NA"),"",IF(AND(CH8&gt;=29,CH8&lt;=42),"REGISTRAR EN III TRIM",IF(AND(CH8&gt;0,CH8&lt;=13),"REGISTRAR EN I TRIM",IF(CH8="REVISAR FUM O FECHA PESO","REVISAR",IF(CH8&gt;0,HLOOKUP(CH8,#REF!,#REF!),"")))))</f>
        <v>#REF!</v>
      </c>
      <c r="CJ8" s="35">
        <v>44897</v>
      </c>
      <c r="CK8" s="31">
        <v>58</v>
      </c>
      <c r="CL8" s="39">
        <f t="shared" si="10"/>
        <v>24.776795249690291</v>
      </c>
      <c r="CM8" s="31">
        <f t="shared" si="11"/>
        <v>32</v>
      </c>
      <c r="CN8" s="31" t="e">
        <f>IF(OR(CM8="",CM8="NA"),"",IF(AND(CM8&gt;0,CM8&lt;=28),"REGISTRAR EN  TRIM RESPECTIVO",IF(CM8&gt;0,HLOOKUP(CM8,#REF!,#REF!),"")))</f>
        <v>#REF!</v>
      </c>
      <c r="CO8" s="31" t="e">
        <f t="shared" si="12"/>
        <v>#REF!</v>
      </c>
      <c r="CP8" s="31">
        <v>110</v>
      </c>
      <c r="CQ8" s="31">
        <v>70</v>
      </c>
      <c r="CR8" s="37" t="str">
        <f t="shared" si="13"/>
        <v>APARENTEMENTE NORMAL</v>
      </c>
      <c r="CS8" s="31">
        <v>100</v>
      </c>
      <c r="CT8" s="31">
        <v>70</v>
      </c>
      <c r="CU8" s="37" t="str">
        <f t="shared" si="14"/>
        <v>VIGILAR CIFRAS PRESION ARTERIAL</v>
      </c>
      <c r="CV8" s="31">
        <v>110</v>
      </c>
      <c r="CW8" s="31">
        <v>70</v>
      </c>
      <c r="CX8" s="31">
        <v>110</v>
      </c>
      <c r="CY8" s="31">
        <v>60</v>
      </c>
      <c r="CZ8" s="37" t="str">
        <f t="shared" si="15"/>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6"/>
        <v>SALE SIN PLAN DE PARTO</v>
      </c>
      <c r="DR8" s="46" t="str">
        <f t="shared" si="17"/>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DU8" s="35" t="e">
        <f>IF(R8="","",IF(R8&gt;0,MAX(Tabla1[[#This Row],[FECHA C2]:[FECHA C13]],Tabla1[[#This Row],[FECHA CONSULTA PRIMERA VEZ PROGRAMA CPN ]])))</f>
        <v>#VALUE!</v>
      </c>
      <c r="DV8" s="31" t="e">
        <f t="shared" si="18"/>
        <v>#VALUE!</v>
      </c>
      <c r="DW8" s="43">
        <f>IF(R8&gt;0,SUM(COUNTA(DC8:DN8)+COUNTA(Tabla1[[#This Row],[FECHA CONSULTA PRIMERA VEZ PROGRAMA CPN ]])),"")</f>
        <v>7</v>
      </c>
      <c r="DX8" s="43" t="str">
        <f t="shared" si="19"/>
        <v>SI</v>
      </c>
      <c r="DY8" s="39">
        <f t="shared" si="20"/>
        <v>9</v>
      </c>
      <c r="DZ8" s="47">
        <f t="shared" si="21"/>
        <v>0.77777777777777779</v>
      </c>
      <c r="EA8" s="35">
        <v>44737</v>
      </c>
      <c r="EB8" s="35">
        <v>44737</v>
      </c>
      <c r="EC8" s="35">
        <v>44737</v>
      </c>
      <c r="ED8" s="35">
        <v>44765</v>
      </c>
      <c r="EE8" s="35">
        <v>44737</v>
      </c>
      <c r="EF8" s="35">
        <v>44774</v>
      </c>
      <c r="EG8" s="35"/>
      <c r="EH8" s="31">
        <v>1</v>
      </c>
      <c r="EI8" s="31">
        <v>13</v>
      </c>
      <c r="EJ8" s="35">
        <v>44737</v>
      </c>
      <c r="EK8" s="43">
        <f t="shared" si="22"/>
        <v>10</v>
      </c>
      <c r="EL8" s="39" t="str">
        <f t="shared" si="23"/>
        <v>NORMAL- SUMINISTRAR SULFATO FERROSO</v>
      </c>
      <c r="EM8" s="31" t="str">
        <f t="shared" si="24"/>
        <v>I TRIM</v>
      </c>
      <c r="EN8" s="37">
        <v>14</v>
      </c>
      <c r="EO8" s="35">
        <v>44866</v>
      </c>
      <c r="EP8" s="44">
        <f t="shared" si="25"/>
        <v>28.428571428571427</v>
      </c>
      <c r="EQ8" s="39" t="str">
        <f t="shared" si="26"/>
        <v>NO DAR SULFATO FERROSO</v>
      </c>
      <c r="ER8" s="37" t="s">
        <v>842</v>
      </c>
      <c r="ES8" s="35">
        <v>44737</v>
      </c>
      <c r="ET8" s="44">
        <f t="shared" si="27"/>
        <v>10</v>
      </c>
      <c r="EU8" s="39" t="str">
        <f t="shared" si="28"/>
        <v>NO HAY RIESGO POR RH</v>
      </c>
      <c r="EV8" s="31">
        <v>94</v>
      </c>
      <c r="EW8" s="35">
        <v>44737</v>
      </c>
      <c r="EX8" s="44">
        <f t="shared" si="29"/>
        <v>10</v>
      </c>
      <c r="EY8" s="44">
        <v>69</v>
      </c>
      <c r="EZ8" s="44">
        <v>110</v>
      </c>
      <c r="FA8" s="44">
        <v>70</v>
      </c>
      <c r="FB8" s="31" t="str">
        <f t="shared" ca="1" si="30"/>
        <v>NORMAL</v>
      </c>
      <c r="FC8" s="48">
        <v>44835</v>
      </c>
      <c r="FD8" s="44">
        <f t="shared" si="31"/>
        <v>24</v>
      </c>
      <c r="FE8" s="35" t="s">
        <v>843</v>
      </c>
      <c r="FF8" s="35">
        <v>44737</v>
      </c>
      <c r="FG8" s="44">
        <f t="shared" ca="1" si="32"/>
        <v>10</v>
      </c>
      <c r="FH8" s="35" t="s">
        <v>843</v>
      </c>
      <c r="FI8" s="49">
        <v>44803</v>
      </c>
      <c r="FJ8" s="44">
        <f t="shared" ca="1" si="33"/>
        <v>19.428571428571427</v>
      </c>
      <c r="FK8" s="35"/>
      <c r="FL8" s="49"/>
      <c r="FM8" s="44" t="str">
        <f t="shared" ca="1" si="34"/>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752</v>
      </c>
      <c r="FR8" s="35">
        <v>44737</v>
      </c>
      <c r="FS8" s="44">
        <f t="shared" si="35"/>
        <v>10</v>
      </c>
      <c r="FT8" s="43" t="s">
        <v>844</v>
      </c>
      <c r="FU8" s="35">
        <v>44737</v>
      </c>
      <c r="FV8" s="44">
        <f t="shared" si="36"/>
        <v>10</v>
      </c>
      <c r="FW8" s="35">
        <v>44737</v>
      </c>
      <c r="FX8" s="35">
        <v>44737</v>
      </c>
      <c r="FY8" s="35" t="s">
        <v>845</v>
      </c>
      <c r="FZ8" s="35">
        <v>44737</v>
      </c>
      <c r="GA8" s="44">
        <f t="shared" ca="1" si="37"/>
        <v>10</v>
      </c>
      <c r="GB8" s="35" t="s">
        <v>845</v>
      </c>
      <c r="GC8" s="35">
        <v>44803</v>
      </c>
      <c r="GD8" s="44">
        <f t="shared" ca="1" si="38"/>
        <v>19.428571428571427</v>
      </c>
      <c r="GE8" s="35"/>
      <c r="GF8" s="35"/>
      <c r="GG8" s="44" t="str">
        <f t="shared" ca="1" si="39"/>
        <v>PIERDE TOMA DE TAMIZAJE</v>
      </c>
      <c r="GH8" s="35"/>
      <c r="GI8" s="44"/>
      <c r="GJ8" s="35" t="s">
        <v>832</v>
      </c>
      <c r="GK8" s="35"/>
      <c r="GL8" s="35" t="s">
        <v>832</v>
      </c>
      <c r="GM8" s="35"/>
      <c r="GN8" s="43" t="s">
        <v>844</v>
      </c>
      <c r="GO8" s="35">
        <v>44737</v>
      </c>
      <c r="GP8" s="44">
        <f t="shared" si="40"/>
        <v>10</v>
      </c>
      <c r="GQ8" s="43" t="s">
        <v>844</v>
      </c>
      <c r="GR8" s="43" t="s">
        <v>844</v>
      </c>
      <c r="GS8" s="35" t="str">
        <f t="shared" si="41"/>
        <v>CONTROL Igm</v>
      </c>
      <c r="GT8" s="35">
        <v>44737</v>
      </c>
      <c r="GU8" s="44">
        <f t="shared" si="42"/>
        <v>10</v>
      </c>
      <c r="GV8" s="31" t="str">
        <f t="shared" si="43"/>
        <v>I TRIM</v>
      </c>
      <c r="GW8" s="43" t="s">
        <v>844</v>
      </c>
      <c r="GX8" s="46">
        <v>5</v>
      </c>
      <c r="GY8" s="31"/>
      <c r="GZ8" s="35"/>
      <c r="HA8" s="43" t="str">
        <f t="shared" si="44"/>
        <v/>
      </c>
      <c r="HB8" s="31" t="str">
        <f t="shared" si="45"/>
        <v/>
      </c>
      <c r="HC8" s="31" t="str">
        <f t="shared" si="46"/>
        <v/>
      </c>
      <c r="HD8" s="31" t="s">
        <v>846</v>
      </c>
      <c r="HE8" s="31"/>
      <c r="HF8" s="31" t="s">
        <v>847</v>
      </c>
      <c r="HG8" s="31"/>
      <c r="HH8" s="31" t="s">
        <v>848</v>
      </c>
      <c r="HI8" s="31">
        <v>0</v>
      </c>
      <c r="HJ8" s="35" t="s">
        <v>849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7"/>
        <v>#REF!</v>
      </c>
      <c r="HM8" s="35" t="e">
        <f>IF(AND(O8="",R8=""),"",IF(AND(OR(O8&lt;&gt;"",R8&lt;&gt;""),OR(HO8="RIESGO ALTO DE COMPLICACIONES HIPERTENSIVAS VER MANEJO GUIA SUMINISTRO ASA Y CALCIO",HO8="RIESGO MODERADO (2 O MAS CRITERIOS) VER MANEJO GUIA SUMINISTRO ASA Y CALCIO")),"ALTO RIESGO",IF(AND(HL8="************",OR(O8&lt;&gt;"",R8&lt;&gt;""),AND(#REF!&gt;=0,#REF!&lt;3)),"BAJO RIESGO",IF(AND(OR(O8&lt;&gt;"",R8&lt;&gt;""),OR(HJ8="COVID19 PRIMER TRIMESTRE",HJ8="COVID19 SEGUNDO TRIMESTRE",HJ8="COVID19 TERCER TRIMESTRE",HJ8="COVID19 PUERPERIO")),"ALTO RIESGO",IF(AND(HL8&lt;&gt;"",OR(O8&lt;&gt;"",R8&lt;&gt;""),AND(#REF!&gt;=0,#REF!&lt;3)),"CON RIESGO",IF(AND(OR(O8&lt;&gt;"",R8&lt;&gt;""),#REF!&gt;2),"ALTO RIESGO",""))))))</f>
        <v>#REF!</v>
      </c>
      <c r="HN8" s="31" t="e">
        <f ca="1">IF(OR(O8&gt;0,R8&gt;0),CONCATENATE(IF(AK8="CON RIESGO","RIESGO PSICOSOCIAL",""),"*",CONCATENATE(IF(AL8="SI","ANTECEDENTE PREECLAMPSIA",""),"*",CONCATENATE(IF(AM8="SI","ANTECEDENTE HEMORRAGIA POSTPARTO O RETENCIÓN DE PLACENTA",""),"*",CONCATENATE(IF(AN8="SI","ANTECEDENTE RN BAJO PESO O MACROSOMICO",""),"*",CONCATENATE(IF(AP8="SI","ANTECEDENTE TRABAJO DE PARTO PROLONGADO",""),"*",CONCATENATE(IF(AU8="SI","INFERTILIDAD",""),"*",CONCATENATE(IF(BA8="SI","ENFERMERDAD AUTOINMUNE",""),"*",CONCATENATE(IF(BB8="SI","DIABETES PREGESTACIONAL",""),"*",CONCATENATE(IF(BC8="SI","ENFERMEDAD CARDIACA",""),"*",CONCATENATE(IF(BD8="SI","HTA CRÓNICA",""),"*",CONCATENATE(IF(BE8="SI","ENFERMEDAD RENAL CRÓNICA",""),"*",CONCATENATE(IF(BG8="SI","RUPTURA PREMATURA DE MEMBRANAS",""),"*",CONCATENATE(IF(OR(BH8="SI",BI8="SI"),"HEMORRAGIA DURANTE LA GESTACIÓN",""),"*",CONCATENATE(IF(BV8="SI","RCIU",""),"*",CONCATENATE(IF(BW8="SI","EMBARAZO GEMELAR",""),"*",CONCATENATE(IF(#REF!=3,"PRESENTACIÓN FETAL PODALICA O TRANSVERSA",""),"*",CONCATENATE(IF(BY8="SI","POLIHIDRAMNIOS",""),"*",CONCATENATE(IF(FB8="DIABETES, REMITIR","DIABETES GESTACIONAL",""),"*",CONCATENATE(IF(FP8&lt;&gt;"","SEGUIMIENTO PARA SIFILIS GESTACIONAL",""),"*",CONCATENATE(IF(#REF!=3,"SEGUIMIENTO PARA VIH",""),"*",CONCATENATE(IF(#REF!=1,"SEGUIMIENTO PARA ANEMIA",""),"*",CONCATENATE(IF(#REF!=2,"MULTIPARIDAD",""),"*",CONCATENATE(IF(#REF!=1,"MULTIPARIDAD",""),"*",CONCATENATE(IF(#REF!=1,"ANTECEDENTE MUERTE PERINATAL",""),"*",CONCATENATE(IF(OR(#REF!=2,#REF!=1),"RIESGO POR EDAD",""),"*",CONCATENATE(IF(OR(#REF!=1,#REF!=2),"CESAREAS PREVIAS",""),"*",CONCATENATE(IF(#REF!=1,"ANTECEDENTE ECTOPICO O CX UTERINA",""),"*",CONCATENATE(IF(#REF!=1,"EMBARAZO PROLONGADO",""),"*",CONCATENATE(IF(#REF!=2,"SEGUIMIENTO PARA CHAGAS",""),"*",CONCATENATE(IF(#REF!=3,"SEGUIMIENTO PARA MALARIA",""),"*",CONCATENATE(IF(OR(HJ8="COVID19 PRIMER TRIMESTRE",HJ8="COVID19 SEGUNDO TRIMESTRE", HJ8="COVID19 TERCER TRIMESTRE",HJ8="COVID19 PUERPERIO"),"SEGUIMIENTO PARA COVID19",""),"*",CONCATENATE(IF(EU8="RIESGO DE INCOMPATIBILIDAD RH","SEGUIMIENTO PARA INCOMPATIBILIDAD RH",""),"*")))))))))))))))))))))))))))))))),"")</f>
        <v>#REF!</v>
      </c>
      <c r="HO8" s="31" t="e">
        <f>IF(AND(O8="",R8=""),"",IF(AND(OR(O8&gt;0,R8&gt;0),OR(AL8="SI",BD8="SI",BA8="SI",BB8="SI",BE8="SI")),"RIESGO ALTO DE COMPLICACIONES HIPERTENSIVAS VER MANEJO GUIA SUMINISTRO ASA Y CALCIO",IF(AND(OR(O8&gt;0,R8&gt;0),#REF!&gt;1),"RIESGO MODERADO (2 O MAS CRITERIOS) VER MANEJO GUIA SUMINISTRO ASA Y CALCIO","SIN ANTECEDENTES DE RIESGO")))</f>
        <v>#REF!</v>
      </c>
      <c r="HP8" s="37" t="str">
        <f t="shared" si="48"/>
        <v>APARENTEMENTE NORMAL</v>
      </c>
      <c r="HQ8" s="31" t="e">
        <f>IF(#REF!="SD","",IF(AND(#REF!&lt;=33,#REF!&gt;=8),"MES DE CONTROL",IF(AND(#REF!&gt;=1,#REF!&lt;8),"SEMANA DE CONTROL",IF(#REF!=0,"DIA DE CONTROL",IF(#REF!&lt;0,"INASISTENTE",IF(#REF!="Y","SEGUIMIENTO FUERA MUNICIPIO",IF(#REF!="Z","BUSCAR PARA INGRESO A CPN",IF(#REF!="W","DEFINIR FECHA CITA",IF(#REF!="X","NO REALIZO CPN",IF(#REF!="S","DILIGENCIAR FECHA SALIDA PROGRAMA","REVISAR FORMULA"))))))))))</f>
        <v>#REF!</v>
      </c>
      <c r="HR8" s="46" t="str">
        <f t="shared" si="49"/>
        <v>SALIO PROGRAMA</v>
      </c>
      <c r="HS8" s="31" t="s">
        <v>824</v>
      </c>
      <c r="HT8" s="31" t="s">
        <v>832</v>
      </c>
      <c r="HU8" s="35">
        <v>44866</v>
      </c>
      <c r="HV8" s="35" t="s">
        <v>850</v>
      </c>
      <c r="HW8" s="35">
        <v>44835</v>
      </c>
      <c r="HX8" s="35" t="s">
        <v>850</v>
      </c>
      <c r="HY8" s="35">
        <v>44866</v>
      </c>
      <c r="HZ8" s="35" t="s">
        <v>850</v>
      </c>
      <c r="IA8" s="40" t="s">
        <v>836</v>
      </c>
      <c r="IB8" s="35">
        <v>44737</v>
      </c>
      <c r="IC8" s="43">
        <f t="shared" si="50"/>
        <v>10</v>
      </c>
      <c r="ID8" s="40" t="s">
        <v>824</v>
      </c>
      <c r="IE8" s="40" t="s">
        <v>851</v>
      </c>
      <c r="IF8" s="35"/>
      <c r="IG8" s="35"/>
      <c r="IH8" s="151"/>
      <c r="II8" s="151"/>
      <c r="IJ8" s="151"/>
      <c r="IK8" s="37" t="e">
        <f>IF(AND(BK8="",#REF!="SD"),"SIN DATO EDAD GESTACIONAL",IF(AND(BK8="",#REF!=""),"",IF(AND(AND(BQ8&gt;0,BQ8&lt;12),#REF!=""),"MENOR 12 SEMANAS",IF(AND(BQ8&gt;11.6,#REF!="",HJ8="BAJO RIESGO O SE DESCARTA INFECCIÓN POR SARS-CoV2"),"PROGRAMAR APLICACION DE VACUNA",IF(OR(AND(BQ8&gt;11.6,#REF!=""),HJ8="FACTOR DE RIESGO PARA COVID19",HJ8="COVID19 PRIMER TRIMESTRE",HJ8="COVID19 SEGUNDO TRIMESTRE",HJ8="COVID19 TERCER TRIMESTRE",HJ8="COVID19 PUERPERIO"),"DIFERIR FECHA DE VACUNACION SEGÚN LINEAMIENTOS",IF(AND(BQ8&gt;11.6,#REF!="Error Jansen X Fecha Segunda Dosis"),"Error Jansen X Fecha Segunda Dosis",IF(AND(BQ8&gt;11.6,#REF!="Firma"),"FIRMA DISENTIMIENTO",IF(AND(BQ8&gt;11.6,#REF!="Firma3"),"NO ACEPTA VACUNA Y NO FIRMA DISCENTIMIENTO",IF(AND(BQ8&gt;11.6,#REF!="Firma2"),"Error en Fecha x Firma Disentimiento",IF(AND(BQ8&gt;11.6,#REF!="Firma4"),"Error en Fecha x No Acepta no Firma",IF(AND(BQ8&gt;11.6,#REF!="Completo",Tabla1[[#This Row],[Fecha Refuerzo Anti COVID-20]]=""),"PENDIENTE REFUERZO",IF(AND(BQ8&gt;11.6,#REF!="Completo",Tabla1[[#This Row],[Fecha Refuerzo Anti COVID-20]]&lt;&gt;""),"CON REFUERZO",IF(AND(BQ8&gt;11.6,#REF!="Falta Dosis"),#REF!,IF(OR(AND(BQ8&gt;11.6,#REF!=""),HJ8="",HJ8="NO SE EVALUA RIESGO INFECCIÓN COVID19"),"DEFINIR RIESGO CONTAGIO SARS-CoV2, columna GZ",""))))))))))))))</f>
        <v>#REF!</v>
      </c>
      <c r="IL8" s="151">
        <v>44803</v>
      </c>
      <c r="IM8" s="35">
        <v>44803</v>
      </c>
      <c r="IN8" s="35" t="e">
        <f>IF(AND(BK8="",#REF!="SD"),"SIN DATO EDAD GESTACIONAL",IF(AND(BK8="",IM8=""),"",IF(AND(AND(BQ8&gt;0,BQ8&lt;20),IM8=""),"EN ESPERA PARA VACUNAR",IF(AND(AND(BQ8&gt;19,BQ8&lt;27),IM8=""),"PROGRAMAR APLICACION DE VACUNA",IF(AND(AND(BQ8&gt;26,BQ8&lt;43),IM8=""),"INASISTENTE",IF(AND(AND(#REF!&gt;19,#REF!&lt;27),IM8&gt;0),"VACUNA APLICADA ENTRE SEMANA 20 Y SEMANA 26",IF(AND(#REF!&lt;20,IM8&gt;0),"VACUNA APLICADA ANTES SEMANA 20",IF(AND(#REF!&gt;26,IM8&gt;0),"VACUNA APLICADA ENTRE SEMANA 27 Y EL PARTO",IF(AND(OR(IT8="CESAREA",IT8="PARTO"),IR8="POSIBLEMENTE NACIO",IM8=""),"SALE SIN VACUNA","")))))))))</f>
        <v>#REF!</v>
      </c>
      <c r="IO8" s="35"/>
      <c r="IP8" s="35">
        <f t="shared" si="51"/>
        <v>44947</v>
      </c>
      <c r="IQ8" s="44">
        <f t="shared" ca="1" si="52"/>
        <v>-284</v>
      </c>
      <c r="IR8" s="35" t="str">
        <f t="shared" ca="1" si="53"/>
        <v>POSIBLEMENTE NACIO</v>
      </c>
      <c r="IS8" s="35"/>
      <c r="IT8" s="31" t="s">
        <v>864</v>
      </c>
      <c r="IU8" s="31" t="s">
        <v>854</v>
      </c>
      <c r="IV8" s="51" t="s">
        <v>865</v>
      </c>
      <c r="IW8" s="35">
        <v>44935</v>
      </c>
      <c r="IX8" s="31" t="s">
        <v>856</v>
      </c>
      <c r="IY8" s="44">
        <f t="shared" si="54"/>
        <v>38.285714285714285</v>
      </c>
      <c r="IZ8" s="52" t="s">
        <v>857</v>
      </c>
      <c r="JA8" s="31" t="s">
        <v>858</v>
      </c>
      <c r="JB8" s="31" t="s">
        <v>859</v>
      </c>
      <c r="JC8" s="31" t="s">
        <v>866</v>
      </c>
      <c r="JD8" s="31" t="s">
        <v>824</v>
      </c>
      <c r="JE8" s="31" t="s">
        <v>824</v>
      </c>
      <c r="JF8" s="31"/>
      <c r="JG8" s="31" t="s">
        <v>824</v>
      </c>
      <c r="JH8" s="31" t="s">
        <v>824</v>
      </c>
      <c r="JI8" s="31"/>
      <c r="JJ8" s="31" t="s">
        <v>867</v>
      </c>
      <c r="JK8" s="46">
        <v>1</v>
      </c>
      <c r="JL8" s="31" t="s">
        <v>868</v>
      </c>
      <c r="JM8" s="53">
        <v>2564</v>
      </c>
      <c r="JN8" s="31" t="str">
        <f t="shared" si="55"/>
        <v>PESO ADECUADO EDAD GESTACIONAL</v>
      </c>
      <c r="JO8" s="209">
        <v>44935</v>
      </c>
      <c r="JP8" s="31"/>
      <c r="JQ8" s="31"/>
      <c r="JR8" s="31"/>
      <c r="JS8" s="46" t="s">
        <v>842</v>
      </c>
      <c r="JT8" s="35">
        <v>44935</v>
      </c>
      <c r="JU8" s="35">
        <v>44935</v>
      </c>
      <c r="JV8" s="31"/>
      <c r="JW8" s="53"/>
      <c r="JX8" s="31" t="str">
        <f t="shared" si="56"/>
        <v/>
      </c>
      <c r="JY8" s="35"/>
      <c r="JZ8" s="31"/>
      <c r="KA8" s="31"/>
      <c r="KB8" s="31"/>
      <c r="KC8" s="46"/>
      <c r="KD8" s="35"/>
      <c r="KE8" s="35"/>
      <c r="KF8" s="50">
        <v>44942</v>
      </c>
      <c r="KG8" s="43">
        <f t="shared" si="57"/>
        <v>7</v>
      </c>
      <c r="KH8" s="50">
        <v>44942</v>
      </c>
      <c r="KI8" s="43">
        <f t="shared" si="58"/>
        <v>7</v>
      </c>
      <c r="KJ8" s="31" t="s">
        <v>824</v>
      </c>
      <c r="KK8" s="31" t="s">
        <v>824</v>
      </c>
      <c r="KL8" s="31" t="s">
        <v>824</v>
      </c>
      <c r="KM8" s="54">
        <v>44935</v>
      </c>
      <c r="KN8" s="43" t="s">
        <v>863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48"/>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3:N4"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BO1:BQ3450 CC1:CD3450 B1 DT1 DR1 HQ1:HR1 HV1 CG1:CG3450 EX1:FF1 KY1:LB1 HX1 JD2:MP2 B3469 B3451:C3468 FH1:FI1 FK1:FL1 FN1:FO1 FQ1:FZ1 GB1:GC1 GE1:GF1 GH1:HC1 HJ1:HN1 FL2 FO2:FP2 JD1:KW1 IX2:JB2 CL1:CL3450 CN1:CO3450 CR1:CR3450 HZ1:JB1 MQ1:XCB1 HD3:HI5 CU1:CU3450 AD58:AD62 FE56:FE60 FH56:FH60 FK56:FL60 FN56:FO60 HD56:HI60 FL61 FO61 FE62 FK62:FL62 FC56:FC62 EY56:FA62 GX56:GX62 EN56:EN62 FN62:FO62 HD62:HI62 HS56:HT62 FH62 JD61:JM61 IT56:IV62 IX56:IX62 HE63:HI82 KR146:MP146 FE83:FE142 FH83:FH142 FK83:FL142 FN83:FO142 HD83:HI142 FL143 FO143 FK144:FL162 FK163 GF165 FK164:FL180 FK181 JD143:JM143 CZ1:CZ3450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DW1:DZ3450 AD563:AD670 GF645 GX563:GX670 EY563:FA670 FC563:FC670 FH563:FH670 EN563:EN670 FN563:FO670 FE563:FE670 FK563:FL670 HS558:HT670 IX558:IX670 IT558:IV670 AD684:AD707 EY684:FA707 FC684:FC707 FE684:FE707 FH684:FH707 FK684:FL707 GX684:GX707 JC671:JC685 EP1:EQ3450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LO755:MP756 JY756:KE756 EU2:EU3450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GS2:GS3450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GV2:GV3450 IT970:IV971 IX795:IX968 JB969 IT967:IU968 IT962:IV966 IT972:IU972 IT973:IV974 IT975:IU975 IT976:IV978 IT979:IU979 FI1528 FH1331:FH1658 FH1660:FH1737 KJ56:MP62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1886:MP1953 KJ3419:KS3420 KJ3421:MP3450 KJ83:MP145 KJ147:MP318 KJ146:KP146 KJ558:MP670 KJ513:MP552 KJ684:MP730 KJ757:MP769 KJ782:MP787 KJ824:LD824 KJ795:MP823 KJ825:MP842 KJ844:LD844 KJ843:LT843 KJ845:MP846 KJ847:LF849 KJ850:MP860 KJ861:LJ862 KJ863:MP863 KJ865:MP877 KJ878:LC879 KJ880:MP894 KJ895:LD950 KJ951:MP952 KJ953:LE953 KJ954:MP968 KJ970:MP1880 KJ1954:KP1996 KJ2108:MP2151 KJ2230:MP2305 KJ2320:MP2379 KJ2381:MP2384 KJ2386:MP2439 KJ2440:LE2440 KJ2595:KO2595 KJ2441:MP2594 KJ2596:MP2752 KJ2756:MP3418 IX3:MP8 KJ9:MP29 FN9:FO29 HD9:HI29 IX9:IX29 EN9:EN29 EL9:EM3450 FP9:FP3450 HA9:HC3450 HS9:HT29 HM9:HR3450 IZ9:JM29 IY9:IY3450 JO9:JW29 JN9:JN3450 JY9:KF29 JX9:JX3450 KH9:KH29 KG9:KG3450 HA6:HI8 KI9:KI3450 AD1:AD29 FE3:FE29 GX2:GX29 EY2:FA29 FC2:FC29 IT2:IV29 FH3:FH29 FK3:FL29 IC2:IC3450 N2 P2:P3450 E1:P1 N5:N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826B5988-D47A-4FF3-8B8B-00DB08DD572D}"/>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N3:N4"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2023-11-01T15:33:37Z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