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23A9D856-C2A0-4976-A5F7-DB90D38C9FBA}"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Q8" i="5" l="1"/>
  <c r="PO8" i="5"/>
  <c r="PP8" i="5" s="1"/>
  <c r="PM8" i="5"/>
  <c r="PL8" i="5"/>
  <c r="PN8" i="5" s="1"/>
  <c r="OH8" i="5"/>
  <c r="OF8" i="5"/>
  <c r="NZ8" i="5"/>
  <c r="NX8" i="5"/>
  <c r="NW8" i="5"/>
  <c r="NV8" i="5"/>
  <c r="NU8" i="5"/>
  <c r="NT8" i="5"/>
  <c r="NS8" i="5"/>
  <c r="NR8" i="5"/>
  <c r="DT8" i="5" s="1"/>
  <c r="NQ8" i="5"/>
  <c r="NP8" i="5"/>
  <c r="AK8" i="5" s="1"/>
  <c r="NO8" i="5"/>
  <c r="NL8" i="5"/>
  <c r="NK8" i="5"/>
  <c r="NJ8" i="5"/>
  <c r="NI8" i="5"/>
  <c r="NG8" i="5"/>
  <c r="NF8" i="5"/>
  <c r="NE8" i="5"/>
  <c r="ND8" i="5"/>
  <c r="NC8" i="5"/>
  <c r="MZ8" i="5"/>
  <c r="NB8" i="5" s="1"/>
  <c r="MX8" i="5"/>
  <c r="MW8" i="5"/>
  <c r="MY8" i="5" s="1"/>
  <c r="MV8" i="5"/>
  <c r="MU8" i="5"/>
  <c r="MT8" i="5"/>
  <c r="MR8" i="5"/>
  <c r="MQ8" i="5"/>
  <c r="KI8" i="5"/>
  <c r="KG8" i="5"/>
  <c r="IY8" i="5"/>
  <c r="JX8" i="5" s="1"/>
  <c r="IP8" i="5"/>
  <c r="HR8" i="5"/>
  <c r="HK8" i="5"/>
  <c r="HC8" i="5"/>
  <c r="HA8" i="5"/>
  <c r="HB8" i="5" s="1"/>
  <c r="GS8" i="5"/>
  <c r="FP8" i="5"/>
  <c r="EU8" i="5"/>
  <c r="EQ8" i="5"/>
  <c r="EL8" i="5"/>
  <c r="DW8" i="5"/>
  <c r="DX8" i="5" s="1"/>
  <c r="DU8" i="5"/>
  <c r="DV8" i="5" s="1"/>
  <c r="DS8" i="5"/>
  <c r="DR8" i="5"/>
  <c r="CZ8" i="5"/>
  <c r="CU8" i="5"/>
  <c r="CR8" i="5"/>
  <c r="CM8" i="5"/>
  <c r="CL8" i="5"/>
  <c r="CH8" i="5"/>
  <c r="CG8" i="5"/>
  <c r="CC8" i="5"/>
  <c r="CD8" i="5" s="1"/>
  <c r="BQ8" i="5"/>
  <c r="IN8" i="5" s="1"/>
  <c r="OG8" i="5" s="1"/>
  <c r="BO8" i="5"/>
  <c r="BN8" i="5"/>
  <c r="BM8" i="5"/>
  <c r="NN8" i="5" s="1"/>
  <c r="HO8" i="5" s="1"/>
  <c r="HM8" i="5" s="1"/>
  <c r="P8" i="5"/>
  <c r="N8" i="5"/>
  <c r="PQ7" i="5"/>
  <c r="PO7" i="5"/>
  <c r="PP7" i="5" s="1"/>
  <c r="PM7" i="5"/>
  <c r="PL7" i="5"/>
  <c r="PN7" i="5" s="1"/>
  <c r="OH7" i="5"/>
  <c r="OF7" i="5"/>
  <c r="NX7" i="5"/>
  <c r="NW7" i="5"/>
  <c r="NV7" i="5"/>
  <c r="NU7" i="5"/>
  <c r="NT7" i="5"/>
  <c r="NS7" i="5"/>
  <c r="NR7" i="5"/>
  <c r="DT7" i="5" s="1"/>
  <c r="NQ7" i="5"/>
  <c r="NP7" i="5"/>
  <c r="AK7" i="5" s="1"/>
  <c r="NO7" i="5"/>
  <c r="NL7" i="5"/>
  <c r="NK7" i="5"/>
  <c r="NJ7" i="5"/>
  <c r="NI7" i="5"/>
  <c r="NG7" i="5"/>
  <c r="NF7" i="5"/>
  <c r="NE7" i="5"/>
  <c r="ND7" i="5"/>
  <c r="NC7" i="5"/>
  <c r="MZ7" i="5"/>
  <c r="NB7" i="5" s="1"/>
  <c r="MX7" i="5"/>
  <c r="MW7" i="5"/>
  <c r="MY7" i="5" s="1"/>
  <c r="MV7" i="5"/>
  <c r="MU7" i="5"/>
  <c r="MT7" i="5"/>
  <c r="MR7" i="5"/>
  <c r="MQ7" i="5"/>
  <c r="KI7" i="5"/>
  <c r="KG7" i="5"/>
  <c r="IY7" i="5"/>
  <c r="JN7" i="5" s="1"/>
  <c r="IP7" i="5"/>
  <c r="HR7" i="5"/>
  <c r="HK7" i="5"/>
  <c r="HC7" i="5"/>
  <c r="HA7" i="5"/>
  <c r="HB7" i="5" s="1"/>
  <c r="GS7" i="5"/>
  <c r="FP7" i="5"/>
  <c r="EU7" i="5"/>
  <c r="EQ7" i="5"/>
  <c r="EL7" i="5"/>
  <c r="DW7" i="5"/>
  <c r="DX7" i="5" s="1"/>
  <c r="DU7" i="5"/>
  <c r="DV7" i="5" s="1"/>
  <c r="DS7" i="5"/>
  <c r="DR7" i="5"/>
  <c r="CZ7" i="5"/>
  <c r="CU7" i="5"/>
  <c r="CR7" i="5"/>
  <c r="HP7" i="5" s="1"/>
  <c r="CM7" i="5"/>
  <c r="CL7" i="5"/>
  <c r="CH7" i="5"/>
  <c r="CG7" i="5"/>
  <c r="CC7" i="5"/>
  <c r="CD7" i="5" s="1"/>
  <c r="BQ7" i="5"/>
  <c r="NH7" i="5" s="1"/>
  <c r="BO7" i="5"/>
  <c r="OA7" i="5" s="1"/>
  <c r="BN7" i="5"/>
  <c r="BM7" i="5"/>
  <c r="P7" i="5"/>
  <c r="N7" i="5"/>
  <c r="PQ6" i="5"/>
  <c r="PO6" i="5"/>
  <c r="PP6" i="5" s="1"/>
  <c r="PM6" i="5"/>
  <c r="IK6" i="5" s="1"/>
  <c r="PL6" i="5"/>
  <c r="PN6" i="5" s="1"/>
  <c r="OH6" i="5"/>
  <c r="OF6" i="5"/>
  <c r="NZ6" i="5"/>
  <c r="NX6" i="5"/>
  <c r="NW6" i="5"/>
  <c r="NV6" i="5"/>
  <c r="NU6" i="5"/>
  <c r="NT6" i="5"/>
  <c r="NS6" i="5"/>
  <c r="NR6" i="5"/>
  <c r="DT6" i="5" s="1"/>
  <c r="NQ6" i="5"/>
  <c r="NP6" i="5"/>
  <c r="AK6" i="5" s="1"/>
  <c r="NO6" i="5"/>
  <c r="NL6" i="5"/>
  <c r="NK6" i="5"/>
  <c r="NJ6" i="5"/>
  <c r="NI6" i="5"/>
  <c r="NG6" i="5"/>
  <c r="NF6" i="5"/>
  <c r="NE6" i="5"/>
  <c r="ND6" i="5"/>
  <c r="NC6" i="5"/>
  <c r="MZ6" i="5"/>
  <c r="NA6" i="5" s="1"/>
  <c r="MX6" i="5"/>
  <c r="MW6" i="5"/>
  <c r="MY6" i="5" s="1"/>
  <c r="MV6" i="5"/>
  <c r="MU6" i="5"/>
  <c r="MT6" i="5"/>
  <c r="MR6" i="5"/>
  <c r="MQ6" i="5"/>
  <c r="KI6" i="5"/>
  <c r="KG6" i="5"/>
  <c r="IY6" i="5"/>
  <c r="JN6" i="5" s="1"/>
  <c r="IP6" i="5"/>
  <c r="HR6" i="5"/>
  <c r="HK6" i="5"/>
  <c r="HC6" i="5"/>
  <c r="HA6" i="5"/>
  <c r="HB6" i="5" s="1"/>
  <c r="GS6" i="5"/>
  <c r="FP6" i="5"/>
  <c r="EU6" i="5"/>
  <c r="EQ6" i="5"/>
  <c r="EL6" i="5"/>
  <c r="DW6" i="5"/>
  <c r="DX6" i="5" s="1"/>
  <c r="DU6" i="5"/>
  <c r="DV6" i="5" s="1"/>
  <c r="DS6" i="5"/>
  <c r="DR6" i="5"/>
  <c r="CZ6" i="5"/>
  <c r="CU6" i="5"/>
  <c r="CR6" i="5"/>
  <c r="CM6" i="5"/>
  <c r="PD6" i="5" s="1"/>
  <c r="CL6" i="5"/>
  <c r="CH6" i="5"/>
  <c r="CG6" i="5"/>
  <c r="CC6" i="5"/>
  <c r="CD6" i="5" s="1"/>
  <c r="BQ6" i="5"/>
  <c r="NH6" i="5" s="1"/>
  <c r="BO6" i="5"/>
  <c r="BP6" i="5" s="1"/>
  <c r="BN6" i="5"/>
  <c r="BM6" i="5"/>
  <c r="P6" i="5"/>
  <c r="N6" i="5"/>
  <c r="KI3" i="5"/>
  <c r="KI4" i="5"/>
  <c r="KI5" i="5"/>
  <c r="KG3" i="5"/>
  <c r="KG4" i="5"/>
  <c r="KG5" i="5"/>
  <c r="IY3" i="5"/>
  <c r="IY4" i="5"/>
  <c r="IY5" i="5"/>
  <c r="IP3" i="5"/>
  <c r="IP4" i="5"/>
  <c r="IP5" i="5"/>
  <c r="HK3" i="5"/>
  <c r="HR3" i="5"/>
  <c r="HK4" i="5"/>
  <c r="HR4" i="5"/>
  <c r="HK5" i="5"/>
  <c r="HR5" i="5"/>
  <c r="HA3" i="5"/>
  <c r="HB3" i="5" s="1"/>
  <c r="HC3" i="5"/>
  <c r="HA4" i="5"/>
  <c r="HB4" i="5" s="1"/>
  <c r="HC4" i="5"/>
  <c r="HA5" i="5"/>
  <c r="HB5" i="5" s="1"/>
  <c r="HC5" i="5"/>
  <c r="GS3" i="5"/>
  <c r="GS4" i="5"/>
  <c r="GS5" i="5"/>
  <c r="FP3" i="5"/>
  <c r="FP4" i="5"/>
  <c r="FP5" i="5"/>
  <c r="EU3" i="5"/>
  <c r="EU4" i="5"/>
  <c r="EU5" i="5"/>
  <c r="EQ3" i="5"/>
  <c r="EQ4" i="5"/>
  <c r="EQ5" i="5"/>
  <c r="EL3" i="5"/>
  <c r="EL4" i="5"/>
  <c r="EL5" i="5"/>
  <c r="DU3" i="5"/>
  <c r="DV3" i="5" s="1"/>
  <c r="DW3" i="5"/>
  <c r="DX3" i="5" s="1"/>
  <c r="DU4" i="5"/>
  <c r="DV4" i="5" s="1"/>
  <c r="DW4" i="5"/>
  <c r="DX4" i="5" s="1"/>
  <c r="DU5" i="5"/>
  <c r="DV5" i="5" s="1"/>
  <c r="DW5" i="5"/>
  <c r="DX5" i="5" s="1"/>
  <c r="DR3" i="5"/>
  <c r="DR4" i="5"/>
  <c r="DR5" i="5"/>
  <c r="CZ3" i="5"/>
  <c r="CZ4" i="5"/>
  <c r="CZ5" i="5"/>
  <c r="CU3" i="5"/>
  <c r="CU4" i="5"/>
  <c r="CU5" i="5"/>
  <c r="CR3" i="5"/>
  <c r="CR4" i="5"/>
  <c r="CR5" i="5"/>
  <c r="HP5" i="5" s="1"/>
  <c r="CL3" i="5"/>
  <c r="CM3" i="5"/>
  <c r="CN3" i="5" s="1"/>
  <c r="CL4" i="5"/>
  <c r="CM4" i="5"/>
  <c r="CL5" i="5"/>
  <c r="CM5" i="5"/>
  <c r="CG3" i="5"/>
  <c r="CH3" i="5"/>
  <c r="CI3" i="5" s="1"/>
  <c r="CG4" i="5"/>
  <c r="CH4" i="5"/>
  <c r="CG5" i="5"/>
  <c r="CH5" i="5"/>
  <c r="CC3" i="5"/>
  <c r="CD3" i="5" s="1"/>
  <c r="CC4" i="5"/>
  <c r="CD4" i="5" s="1"/>
  <c r="CC5" i="5"/>
  <c r="CD5" i="5" s="1"/>
  <c r="BM3" i="5"/>
  <c r="BN3" i="5"/>
  <c r="BO3" i="5"/>
  <c r="DY3" i="5" s="1"/>
  <c r="BQ3" i="5"/>
  <c r="BM4" i="5"/>
  <c r="BO4" i="5"/>
  <c r="DY4" i="5" s="1"/>
  <c r="BQ4" i="5"/>
  <c r="BM5" i="5"/>
  <c r="BO5" i="5"/>
  <c r="DY5" i="5" s="1"/>
  <c r="BQ5" i="5"/>
  <c r="P3" i="5"/>
  <c r="P4" i="5"/>
  <c r="P5" i="5"/>
  <c r="N3" i="5"/>
  <c r="N4" i="5"/>
  <c r="N5" i="5"/>
  <c r="BP8" i="5" l="1"/>
  <c r="EX8" i="5" s="1"/>
  <c r="PK6" i="5"/>
  <c r="OT7" i="5"/>
  <c r="HP6" i="5"/>
  <c r="PK7" i="5"/>
  <c r="NZ7" i="5"/>
  <c r="HP8" i="5"/>
  <c r="IK7" i="5"/>
  <c r="OL6" i="5"/>
  <c r="NY6" i="5"/>
  <c r="PC7" i="5"/>
  <c r="OK8" i="5"/>
  <c r="JX6" i="5"/>
  <c r="DY7" i="5"/>
  <c r="DZ7" i="5" s="1"/>
  <c r="PA8" i="5"/>
  <c r="PC6" i="5"/>
  <c r="DY6" i="5"/>
  <c r="DZ6" i="5" s="1"/>
  <c r="IK8" i="5"/>
  <c r="JX7" i="5"/>
  <c r="PB6" i="5"/>
  <c r="DY8" i="5"/>
  <c r="DZ8" i="5" s="1"/>
  <c r="MS8" i="5"/>
  <c r="NN7" i="5"/>
  <c r="HO7" i="5" s="1"/>
  <c r="HM7" i="5" s="1"/>
  <c r="OU7" i="5"/>
  <c r="PJ7" i="5"/>
  <c r="NH8" i="5"/>
  <c r="IN7" i="5"/>
  <c r="OG7" i="5" s="1"/>
  <c r="HQ8" i="5"/>
  <c r="HQ7" i="5"/>
  <c r="HQ6" i="5"/>
  <c r="MS6" i="5"/>
  <c r="FG8" i="5"/>
  <c r="FD8" i="5"/>
  <c r="FB8" i="5" s="1"/>
  <c r="NM8" i="5" s="1"/>
  <c r="DQ8" i="5"/>
  <c r="IQ8" i="5"/>
  <c r="IR8" i="5" s="1"/>
  <c r="GU8" i="5"/>
  <c r="GV8" i="5" s="1"/>
  <c r="ET8" i="5"/>
  <c r="GP8" i="5"/>
  <c r="EP8" i="5"/>
  <c r="IC8" i="5"/>
  <c r="GG8" i="5"/>
  <c r="GD8" i="5"/>
  <c r="EK8" i="5"/>
  <c r="EM8" i="5" s="1"/>
  <c r="FV8" i="5"/>
  <c r="FS8" i="5"/>
  <c r="FM8" i="5"/>
  <c r="FJ8" i="5"/>
  <c r="FM6" i="5"/>
  <c r="FG6" i="5"/>
  <c r="EX6" i="5"/>
  <c r="ET6" i="5"/>
  <c r="FS6" i="5"/>
  <c r="FJ6" i="5"/>
  <c r="GU6" i="5"/>
  <c r="GV6" i="5" s="1"/>
  <c r="FD6" i="5"/>
  <c r="FB6" i="5" s="1"/>
  <c r="DQ6" i="5"/>
  <c r="GP6" i="5"/>
  <c r="EP6" i="5"/>
  <c r="IC6" i="5"/>
  <c r="GG6" i="5"/>
  <c r="GD6" i="5"/>
  <c r="GA6" i="5"/>
  <c r="EK6" i="5"/>
  <c r="EM6" i="5" s="1"/>
  <c r="FV6" i="5"/>
  <c r="IQ6" i="5"/>
  <c r="IR6" i="5" s="1"/>
  <c r="IN6" i="5" s="1"/>
  <c r="OG6" i="5" s="1"/>
  <c r="OV7" i="5"/>
  <c r="OL8" i="5"/>
  <c r="PB8" i="5"/>
  <c r="OO6" i="5"/>
  <c r="PE6" i="5"/>
  <c r="OP6" i="5"/>
  <c r="PF6" i="5"/>
  <c r="OA6" i="5"/>
  <c r="OQ6" i="5"/>
  <c r="PG6" i="5"/>
  <c r="NA7" i="5"/>
  <c r="OM8" i="5"/>
  <c r="PC8" i="5"/>
  <c r="CN6" i="5"/>
  <c r="OW7" i="5"/>
  <c r="OR6" i="5"/>
  <c r="PH6" i="5"/>
  <c r="BP7" i="5"/>
  <c r="MS7" i="5" s="1"/>
  <c r="OX7" i="5"/>
  <c r="CI8" i="5"/>
  <c r="ON8" i="5"/>
  <c r="PD8" i="5"/>
  <c r="OS6" i="5"/>
  <c r="PI6" i="5"/>
  <c r="OI7" i="5"/>
  <c r="OY7" i="5"/>
  <c r="NY8" i="5"/>
  <c r="OO8" i="5"/>
  <c r="PE8" i="5"/>
  <c r="NN6" i="5"/>
  <c r="HO6" i="5" s="1"/>
  <c r="HM6" i="5" s="1"/>
  <c r="OT6" i="5"/>
  <c r="PJ6" i="5"/>
  <c r="OJ7" i="5"/>
  <c r="OZ7" i="5"/>
  <c r="OP8" i="5"/>
  <c r="PF8" i="5"/>
  <c r="OK7" i="5"/>
  <c r="PA7" i="5"/>
  <c r="CN8" i="5"/>
  <c r="OA8" i="5"/>
  <c r="OQ8" i="5"/>
  <c r="PG8" i="5"/>
  <c r="OV6" i="5"/>
  <c r="OL7" i="5"/>
  <c r="PB7" i="5"/>
  <c r="OR8" i="5"/>
  <c r="PH8" i="5"/>
  <c r="OS8" i="5"/>
  <c r="PI8" i="5"/>
  <c r="OM7" i="5"/>
  <c r="NB6" i="5"/>
  <c r="OX6" i="5"/>
  <c r="CI7" i="5"/>
  <c r="ON7" i="5"/>
  <c r="PD7" i="5"/>
  <c r="OT8" i="5"/>
  <c r="PJ8" i="5"/>
  <c r="OI6" i="5"/>
  <c r="OY6" i="5"/>
  <c r="NY7" i="5"/>
  <c r="OO7" i="5"/>
  <c r="PE7" i="5"/>
  <c r="OU8" i="5"/>
  <c r="PK8" i="5"/>
  <c r="OM6" i="5"/>
  <c r="CI6" i="5"/>
  <c r="OZ6" i="5"/>
  <c r="OV8" i="5"/>
  <c r="OK6" i="5"/>
  <c r="PA6" i="5"/>
  <c r="CN7" i="5"/>
  <c r="OQ7" i="5"/>
  <c r="PG7" i="5"/>
  <c r="NA8" i="5"/>
  <c r="OW8" i="5"/>
  <c r="ON6" i="5"/>
  <c r="OU6" i="5"/>
  <c r="OW6" i="5"/>
  <c r="OJ6" i="5"/>
  <c r="OP7" i="5"/>
  <c r="PF7" i="5"/>
  <c r="OR7" i="5"/>
  <c r="PH7" i="5"/>
  <c r="OX8" i="5"/>
  <c r="OS7" i="5"/>
  <c r="PI7" i="5"/>
  <c r="JN8" i="5"/>
  <c r="OI8" i="5"/>
  <c r="OY8" i="5"/>
  <c r="OJ8" i="5"/>
  <c r="OZ8" i="5"/>
  <c r="HP4" i="5"/>
  <c r="HP3" i="5"/>
  <c r="DZ4" i="5"/>
  <c r="DZ3" i="5"/>
  <c r="JN5" i="5"/>
  <c r="JX5" i="5"/>
  <c r="JN4" i="5"/>
  <c r="JX4" i="5"/>
  <c r="JN3" i="5"/>
  <c r="JX3" i="5"/>
  <c r="DZ5" i="5"/>
  <c r="CO3" i="5"/>
  <c r="HL3" i="5" s="1"/>
  <c r="CO8" i="5" l="1"/>
  <c r="HL8" i="5" s="1"/>
  <c r="GA8" i="5"/>
  <c r="OC8" i="5" s="1"/>
  <c r="OE8" i="5" s="1"/>
  <c r="CO6" i="5"/>
  <c r="HL6" i="5" s="1"/>
  <c r="CO7" i="5"/>
  <c r="HL7" i="5" s="1"/>
  <c r="OC6" i="5"/>
  <c r="OB6" i="5"/>
  <c r="OB8" i="5"/>
  <c r="OD8" i="5" s="1"/>
  <c r="OE6" i="5"/>
  <c r="OD6" i="5"/>
  <c r="IQ7" i="5"/>
  <c r="IR7" i="5" s="1"/>
  <c r="HN8" i="5"/>
  <c r="IC7" i="5"/>
  <c r="GG7" i="5"/>
  <c r="GD7" i="5"/>
  <c r="GA7" i="5"/>
  <c r="EK7" i="5"/>
  <c r="EM7" i="5" s="1"/>
  <c r="FJ7" i="5"/>
  <c r="EP7" i="5"/>
  <c r="FV7" i="5"/>
  <c r="FS7" i="5"/>
  <c r="GP7" i="5"/>
  <c r="FM7" i="5"/>
  <c r="FG7" i="5"/>
  <c r="FD7" i="5"/>
  <c r="FB7" i="5" s="1"/>
  <c r="EX7" i="5"/>
  <c r="DQ7" i="5"/>
  <c r="GU7" i="5"/>
  <c r="GV7" i="5" s="1"/>
  <c r="ET7" i="5"/>
  <c r="HN6" i="5"/>
  <c r="NM6" i="5"/>
  <c r="HM2" i="5"/>
  <c r="KG2" i="5"/>
  <c r="KI2" i="5"/>
  <c r="BP3" i="5"/>
  <c r="BP4" i="5"/>
  <c r="BP5" i="5"/>
  <c r="OC7" i="5" l="1"/>
  <c r="OE7" i="5" s="1"/>
  <c r="NM7" i="5"/>
  <c r="HN7" i="5"/>
  <c r="OB7" i="5"/>
  <c r="OD7" i="5" s="1"/>
  <c r="IQ5" i="5"/>
  <c r="IR5" i="5" s="1"/>
  <c r="IC5" i="5"/>
  <c r="IC4" i="5"/>
  <c r="IQ4" i="5"/>
  <c r="IR4" i="5" s="1"/>
  <c r="IC3" i="5"/>
  <c r="IQ3" i="5"/>
  <c r="IR3" i="5" s="1"/>
  <c r="GU5" i="5"/>
  <c r="GV5" i="5" s="1"/>
  <c r="GP5" i="5"/>
  <c r="GU4" i="5"/>
  <c r="GV4" i="5" s="1"/>
  <c r="GP4" i="5"/>
  <c r="GU3" i="5"/>
  <c r="GV3" i="5" s="1"/>
  <c r="GP3" i="5"/>
  <c r="GD3" i="5"/>
  <c r="GG3" i="5"/>
  <c r="GD5" i="5"/>
  <c r="GG5" i="5"/>
  <c r="GG4" i="5"/>
  <c r="GD4" i="5"/>
  <c r="FV3" i="5"/>
  <c r="GA3" i="5"/>
  <c r="FV5" i="5"/>
  <c r="GA5" i="5"/>
  <c r="FV4" i="5"/>
  <c r="GA4" i="5"/>
  <c r="FS5" i="5"/>
  <c r="FS3" i="5"/>
  <c r="FS4" i="5"/>
  <c r="FJ5" i="5"/>
  <c r="FM5" i="5"/>
  <c r="FJ3" i="5"/>
  <c r="FM3" i="5"/>
  <c r="FJ4" i="5"/>
  <c r="FM4" i="5"/>
  <c r="FD5" i="5"/>
  <c r="FB5" i="5" s="1"/>
  <c r="EX5" i="5"/>
  <c r="FG5" i="5"/>
  <c r="FD4" i="5"/>
  <c r="FB4" i="5" s="1"/>
  <c r="EX4" i="5"/>
  <c r="FG4" i="5"/>
  <c r="FD3" i="5"/>
  <c r="FB3" i="5" s="1"/>
  <c r="EX3" i="5"/>
  <c r="FG3" i="5"/>
  <c r="EP5" i="5"/>
  <c r="ET5" i="5"/>
  <c r="EP4" i="5"/>
  <c r="ET4" i="5"/>
  <c r="EP3" i="5"/>
  <c r="ET3" i="5"/>
  <c r="DQ3" i="5"/>
  <c r="EK3" i="5"/>
  <c r="EM3" i="5" s="1"/>
  <c r="DQ4" i="5"/>
  <c r="EK4" i="5"/>
  <c r="EM4" i="5" s="1"/>
  <c r="DQ5" i="5"/>
  <c r="EK5" i="5"/>
  <c r="EM5" i="5" s="1"/>
  <c r="OG2" i="5"/>
  <c r="OF2" i="5" l="1"/>
  <c r="OF3" i="5"/>
  <c r="OF4" i="5"/>
  <c r="OF5" i="5"/>
  <c r="OA2" i="5"/>
  <c r="XFD105" i="30"/>
  <c r="IY2" i="5" l="1"/>
  <c r="OE2" i="5" l="1"/>
  <c r="OD2" i="5"/>
  <c r="NM2" i="5"/>
  <c r="HN2" i="5"/>
  <c r="NZ2" i="5" l="1"/>
  <c r="NZ3" i="5"/>
  <c r="NZ4" i="5"/>
  <c r="NZ5" i="5"/>
  <c r="NJ2" i="5" l="1"/>
  <c r="NJ3" i="5"/>
  <c r="NJ4" i="5"/>
  <c r="NJ5" i="5"/>
  <c r="NL2" i="5" l="1"/>
  <c r="NL3" i="5"/>
  <c r="NL4" i="5"/>
  <c r="NL5" i="5"/>
  <c r="NK2" i="5"/>
  <c r="NK3" i="5"/>
  <c r="NK4" i="5"/>
  <c r="NK5" i="5"/>
  <c r="FP2" i="5"/>
  <c r="DR2" i="5" l="1"/>
  <c r="PO2" i="5"/>
  <c r="PL3" i="5"/>
  <c r="PL4" i="5"/>
  <c r="PL5" i="5"/>
  <c r="PL2" i="5"/>
  <c r="PN2" i="5" s="1"/>
  <c r="PQ4" i="5"/>
  <c r="PQ5" i="5"/>
  <c r="NR2" i="5" l="1"/>
  <c r="DS3" i="5"/>
  <c r="DS4" i="5"/>
  <c r="DS5" i="5"/>
  <c r="B29" i="30" l="1"/>
  <c r="B18" i="30"/>
  <c r="D29" i="30"/>
  <c r="D30" i="30"/>
  <c r="B30" i="30"/>
  <c r="B27" i="30"/>
  <c r="D27" i="30"/>
  <c r="B26" i="30"/>
  <c r="D26" i="30"/>
  <c r="D24" i="30"/>
  <c r="B24" i="30"/>
  <c r="D21" i="30"/>
  <c r="B17" i="30"/>
  <c r="C17" i="30" s="1"/>
  <c r="D18" i="30"/>
  <c r="B21" i="30"/>
  <c r="D17" i="30"/>
  <c r="OA5" i="5"/>
  <c r="OA4" i="5"/>
  <c r="OA3" i="5"/>
  <c r="NR3" i="5"/>
  <c r="NR5" i="5"/>
  <c r="NR4" i="5"/>
  <c r="PN3" i="5"/>
  <c r="PM3" i="5"/>
  <c r="PO3" i="5"/>
  <c r="PP3" i="5" s="1"/>
  <c r="PQ3" i="5" s="1"/>
  <c r="PN4" i="5"/>
  <c r="PM4" i="5"/>
  <c r="PO4" i="5"/>
  <c r="PP4" i="5" s="1"/>
  <c r="PN5" i="5"/>
  <c r="PM5" i="5"/>
  <c r="PO5" i="5"/>
  <c r="PP5" i="5" s="1"/>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OH5" i="5"/>
  <c r="OI5" i="5"/>
  <c r="OJ5" i="5"/>
  <c r="OK5" i="5"/>
  <c r="OL5" i="5"/>
  <c r="OM5" i="5"/>
  <c r="ON5" i="5"/>
  <c r="OO5" i="5"/>
  <c r="OP5" i="5"/>
  <c r="OQ5" i="5"/>
  <c r="OR5" i="5"/>
  <c r="OS5" i="5"/>
  <c r="OT5" i="5"/>
  <c r="OU5" i="5"/>
  <c r="OV5" i="5"/>
  <c r="OW5" i="5"/>
  <c r="OX5" i="5"/>
  <c r="OY5" i="5"/>
  <c r="OZ5" i="5"/>
  <c r="PA5" i="5"/>
  <c r="PB5" i="5"/>
  <c r="PC5" i="5"/>
  <c r="PD5" i="5"/>
  <c r="PE5" i="5"/>
  <c r="PF5" i="5"/>
  <c r="PG5" i="5"/>
  <c r="PH5" i="5"/>
  <c r="PI5" i="5"/>
  <c r="PJ5" i="5"/>
  <c r="PK5" i="5"/>
  <c r="NV3" i="5"/>
  <c r="NW3" i="5"/>
  <c r="NX3" i="5"/>
  <c r="NY3" i="5"/>
  <c r="NV4" i="5"/>
  <c r="NW4" i="5"/>
  <c r="NX4" i="5"/>
  <c r="NY4" i="5"/>
  <c r="NV5" i="5"/>
  <c r="NW5" i="5"/>
  <c r="NX5" i="5"/>
  <c r="NY5" i="5"/>
  <c r="NS3" i="5"/>
  <c r="NT3" i="5"/>
  <c r="NU3" i="5"/>
  <c r="NS4" i="5"/>
  <c r="NT4" i="5"/>
  <c r="NU4" i="5"/>
  <c r="NS5" i="5"/>
  <c r="NT5" i="5"/>
  <c r="NU5" i="5"/>
  <c r="NO3" i="5"/>
  <c r="IN3" i="5" s="1"/>
  <c r="NP3" i="5"/>
  <c r="AK3" i="5" s="1"/>
  <c r="NQ3" i="5"/>
  <c r="NO4" i="5"/>
  <c r="IN4" i="5" s="1"/>
  <c r="NP4" i="5"/>
  <c r="AK4" i="5" s="1"/>
  <c r="NQ4" i="5"/>
  <c r="BN4" i="5" s="1"/>
  <c r="NO5" i="5"/>
  <c r="IN5" i="5" s="1"/>
  <c r="NP5" i="5"/>
  <c r="AK5" i="5" s="1"/>
  <c r="NQ5" i="5"/>
  <c r="BN5" i="5" s="1"/>
  <c r="NG3" i="5"/>
  <c r="NI3" i="5"/>
  <c r="NG4" i="5"/>
  <c r="NI4" i="5"/>
  <c r="NG5" i="5"/>
  <c r="NI5" i="5"/>
  <c r="NC3" i="5"/>
  <c r="ND3" i="5"/>
  <c r="NE3" i="5"/>
  <c r="NF3" i="5"/>
  <c r="NC4" i="5"/>
  <c r="ND4" i="5"/>
  <c r="NE4" i="5"/>
  <c r="NF4" i="5"/>
  <c r="NC5" i="5"/>
  <c r="ND5" i="5"/>
  <c r="NE5" i="5"/>
  <c r="NF5" i="5"/>
  <c r="MZ3" i="5"/>
  <c r="NA3" i="5" s="1"/>
  <c r="MZ4" i="5"/>
  <c r="NN4" i="5" s="1"/>
  <c r="HO4" i="5" s="1"/>
  <c r="MZ5" i="5"/>
  <c r="NN5" i="5" s="1"/>
  <c r="HO5" i="5" s="1"/>
  <c r="MU3" i="5"/>
  <c r="MV3" i="5"/>
  <c r="MW3" i="5"/>
  <c r="MY3" i="5" s="1"/>
  <c r="MX3" i="5"/>
  <c r="MU4" i="5"/>
  <c r="MV4" i="5"/>
  <c r="MW4" i="5"/>
  <c r="MY4" i="5" s="1"/>
  <c r="MX4" i="5"/>
  <c r="MU5" i="5"/>
  <c r="MV5" i="5"/>
  <c r="MW5" i="5"/>
  <c r="MY5" i="5" s="1"/>
  <c r="MX5" i="5"/>
  <c r="MQ3" i="5"/>
  <c r="MR3" i="5"/>
  <c r="MT3" i="5"/>
  <c r="MQ4" i="5"/>
  <c r="MR4" i="5"/>
  <c r="MT4" i="5"/>
  <c r="MQ5" i="5"/>
  <c r="MR5" i="5"/>
  <c r="MT5" i="5"/>
  <c r="NH3" i="5"/>
  <c r="NH4" i="5"/>
  <c r="NH5" i="5"/>
  <c r="IK4" i="5" l="1"/>
  <c r="HN3" i="5"/>
  <c r="CN5" i="5"/>
  <c r="IK5" i="5"/>
  <c r="IK3" i="5"/>
  <c r="DT3" i="5"/>
  <c r="HQ3" i="5"/>
  <c r="DT4" i="5"/>
  <c r="HQ4" i="5"/>
  <c r="DT5" i="5"/>
  <c r="HQ5" i="5"/>
  <c r="CN4" i="5"/>
  <c r="CI5" i="5"/>
  <c r="CI4" i="5"/>
  <c r="C29" i="30"/>
  <c r="E17" i="30"/>
  <c r="C26" i="30"/>
  <c r="E29" i="30"/>
  <c r="OG5" i="5"/>
  <c r="E26" i="30"/>
  <c r="OG4" i="5"/>
  <c r="OG3" i="5"/>
  <c r="OB4" i="5"/>
  <c r="OD4" i="5" s="1"/>
  <c r="OB5" i="5"/>
  <c r="OD5" i="5" s="1"/>
  <c r="OC4" i="5"/>
  <c r="OE4" i="5" s="1"/>
  <c r="NA5" i="5"/>
  <c r="HN5" i="5" s="1"/>
  <c r="NN3" i="5"/>
  <c r="HO3" i="5" s="1"/>
  <c r="NB5" i="5"/>
  <c r="NA4" i="5"/>
  <c r="NM4" i="5" s="1"/>
  <c r="NB4" i="5"/>
  <c r="NB3" i="5"/>
  <c r="PP2" i="5"/>
  <c r="PQ2" i="5" s="1"/>
  <c r="PM2" i="5"/>
  <c r="NO2" i="5"/>
  <c r="CO5" i="5" l="1"/>
  <c r="HL5" i="5" s="1"/>
  <c r="HN4" i="5"/>
  <c r="CO4" i="5"/>
  <c r="HL4" i="5" s="1"/>
  <c r="HM4" i="5" s="1"/>
  <c r="NM5" i="5"/>
  <c r="NM3" i="5"/>
  <c r="HM3" i="5" s="1"/>
  <c r="OC3" i="5"/>
  <c r="OE3" i="5" s="1"/>
  <c r="OC5" i="5"/>
  <c r="OE5" i="5" s="1"/>
  <c r="OB3" i="5"/>
  <c r="OD3" i="5" s="1"/>
  <c r="BO2" i="5"/>
  <c r="HM5" i="5" l="1"/>
  <c r="F10" i="30"/>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Q2" i="5"/>
  <c r="IK2" i="5" l="1"/>
  <c r="MS4" i="5"/>
  <c r="MS5" i="5"/>
  <c r="MS3" i="5"/>
  <c r="N2" i="5"/>
  <c r="B14" i="30" l="1"/>
  <c r="B15" i="30"/>
  <c r="B23" i="30"/>
  <c r="C23" i="30" s="1"/>
  <c r="D14" i="30"/>
  <c r="D15" i="30"/>
  <c r="B20" i="30"/>
  <c r="C20" i="30" s="1"/>
  <c r="D23" i="30"/>
  <c r="E23" i="30" s="1"/>
  <c r="D20" i="30"/>
  <c r="E20" i="30" s="1"/>
  <c r="C14" i="30" l="1"/>
  <c r="E14" i="30"/>
  <c r="OH2" i="5"/>
  <c r="P2" i="5" l="1"/>
  <c r="BM2" i="5"/>
  <c r="BN2" i="5"/>
  <c r="CC2" i="5"/>
  <c r="CD2" i="5" s="1"/>
  <c r="CG2" i="5"/>
  <c r="CH2" i="5"/>
  <c r="CL2" i="5"/>
  <c r="CM2" i="5"/>
  <c r="CR2" i="5"/>
  <c r="CU2" i="5"/>
  <c r="CZ2" i="5"/>
  <c r="DU2" i="5"/>
  <c r="DW2" i="5"/>
  <c r="EL2" i="5"/>
  <c r="EQ2" i="5"/>
  <c r="EU2" i="5"/>
  <c r="GS2" i="5"/>
  <c r="HA2" i="5"/>
  <c r="HB2" i="5" s="1"/>
  <c r="HC2" i="5"/>
  <c r="HK2" i="5"/>
  <c r="HR2" i="5"/>
  <c r="IP2" i="5"/>
  <c r="JN2" i="5" l="1"/>
  <c r="HP2" i="5"/>
  <c r="BP2" i="5"/>
  <c r="NY2" i="5"/>
  <c r="B7" i="30"/>
  <c r="DX2" i="5"/>
  <c r="DV2" i="5"/>
  <c r="DS2" i="5" s="1"/>
  <c r="CN2" i="5"/>
  <c r="OX2" i="5"/>
  <c r="PB2" i="5"/>
  <c r="PF2" i="5"/>
  <c r="PJ2" i="5"/>
  <c r="OY2" i="5"/>
  <c r="PC2" i="5"/>
  <c r="PG2" i="5"/>
  <c r="PK2" i="5"/>
  <c r="OZ2" i="5"/>
  <c r="PD2" i="5"/>
  <c r="PH2" i="5"/>
  <c r="PA2" i="5"/>
  <c r="PE2" i="5"/>
  <c r="PI2" i="5"/>
  <c r="CI2" i="5"/>
  <c r="OL2" i="5"/>
  <c r="OP2" i="5"/>
  <c r="OT2" i="5"/>
  <c r="OI2" i="5"/>
  <c r="OM2" i="5"/>
  <c r="OQ2" i="5"/>
  <c r="OU2" i="5"/>
  <c r="OJ2" i="5"/>
  <c r="ON2" i="5"/>
  <c r="OR2" i="5"/>
  <c r="OV2" i="5"/>
  <c r="OK2" i="5"/>
  <c r="OO2" i="5"/>
  <c r="OS2" i="5"/>
  <c r="OW2" i="5"/>
  <c r="DY2" i="5"/>
  <c r="JX2" i="5"/>
  <c r="GG2" i="5" l="1"/>
  <c r="GA2" i="5"/>
  <c r="GD2" i="5"/>
  <c r="FM2" i="5"/>
  <c r="FJ2" i="5"/>
  <c r="FG2" i="5"/>
  <c r="DQ2" i="5"/>
  <c r="GP2" i="5"/>
  <c r="IC2" i="5"/>
  <c r="EX2" i="5"/>
  <c r="FS2" i="5"/>
  <c r="GU2" i="5"/>
  <c r="GV2" i="5" s="1"/>
  <c r="FD2" i="5"/>
  <c r="FB2" i="5" s="1"/>
  <c r="ET2" i="5"/>
  <c r="EP2" i="5"/>
  <c r="FV2" i="5"/>
  <c r="EK2" i="5"/>
  <c r="EM2" i="5" s="1"/>
  <c r="IQ2" i="5"/>
  <c r="DZ2" i="5"/>
  <c r="CO2" i="5"/>
  <c r="HL2" i="5" s="1"/>
  <c r="OC2" i="5" l="1"/>
  <c r="OB2" i="5"/>
  <c r="IR2" i="5"/>
  <c r="IN2" i="5" s="1"/>
  <c r="NP2" i="5"/>
  <c r="AK2" i="5" s="1"/>
  <c r="NQ2" i="5" l="1"/>
  <c r="NT2" i="5" l="1"/>
  <c r="B126" i="30" s="1"/>
  <c r="NS2" i="5"/>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MQ2" i="5" l="1"/>
  <c r="MR2" i="5"/>
  <c r="MT2" i="5"/>
  <c r="MU2" i="5"/>
  <c r="MV2" i="5"/>
  <c r="MW2" i="5"/>
  <c r="MY2" i="5" s="1"/>
  <c r="MX2" i="5"/>
  <c r="MZ2" i="5"/>
  <c r="NN2" i="5" s="1"/>
  <c r="HO2" i="5" s="1"/>
  <c r="NC2" i="5"/>
  <c r="ND2" i="5"/>
  <c r="NE2" i="5"/>
  <c r="NF2" i="5"/>
  <c r="NG2" i="5"/>
  <c r="NI2" i="5"/>
  <c r="NU2" i="5"/>
  <c r="NV2" i="5"/>
  <c r="NW2" i="5"/>
  <c r="NX2" i="5"/>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NA2" i="5"/>
  <c r="NB2" i="5"/>
  <c r="F52" i="30" l="1"/>
  <c r="E52" i="30"/>
  <c r="G52" i="30"/>
  <c r="H52" i="30"/>
  <c r="K52" i="30"/>
  <c r="L52" i="30"/>
  <c r="I52" i="30"/>
  <c r="M52" i="30"/>
  <c r="J52" i="30"/>
  <c r="N48" i="30"/>
  <c r="B49" i="30"/>
  <c r="B52" i="30"/>
  <c r="D52" i="30"/>
  <c r="C52" i="30"/>
  <c r="N50" i="30"/>
  <c r="N51" i="30"/>
  <c r="B42" i="30"/>
  <c r="C44" i="30"/>
  <c r="B44" i="30"/>
  <c r="NH2" i="5"/>
  <c r="N52" i="30" l="1"/>
  <c r="DT2" i="5"/>
  <c r="HQ2" i="5"/>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S2" i="5"/>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<sst xmlns="http://schemas.openxmlformats.org/spreadsheetml/2006/main" count="1800" uniqueCount="922">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</sst>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4">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164" fontId="5" fillId="33" borderId="20" xfId="1" applyNumberFormat="1" applyFont="1" applyFill="1" applyBorder="1" applyAlignment="1">
      <alignment horizontal="center" vertical="center" wrapText="1"/>
    </xf>
    <xf numFmtId="14" fontId="5" fillId="33" borderId="20" xfId="1" applyNumberFormat="1" applyFont="1" applyFill="1" applyBorder="1" applyAlignment="1">
      <alignment horizontal="center" vertical="center" wrapText="1"/>
    </xf>
    <xf numFmtId="0" fontId="5" fillId="33" borderId="20"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33">
    <dxf>
      <fill>
        <patternFill>
          <bgColor theme="7"/>
        </patternFill>
      </fill>
    </dxf>
    <dxf>
      <fill>
        <patternFill>
          <bgColor theme="7"/>
        </patternFill>
      </fill>
    </dxf>
    <dxf>
      <font>
        <b/>
        <i val="0"/>
        <color theme="0"/>
      </font>
      <fill>
        <patternFill>
          <bgColor rgb="FFFF0000"/>
        </patternFill>
      </fill>
    </dxf>
    <dxf>
      <fill>
        <patternFill>
          <bgColor theme="9" tint="0.39994506668294322"/>
        </patternFill>
      </fill>
    </dxf>
    <dxf>
      <fill>
        <patternFill>
          <bgColor theme="3" tint="0.59996337778862885"/>
        </patternFill>
      </fill>
    </dxf>
    <dxf>
      <fill>
        <patternFill>
          <bgColor rgb="FFFF0000"/>
        </patternFill>
      </fill>
    </dxf>
    <dxf>
      <fill>
        <patternFill>
          <bgColor rgb="FF92D050"/>
        </patternFill>
      </fill>
    </dxf>
    <dxf>
      <fill>
        <patternFill>
          <bgColor rgb="FF92D050"/>
        </patternFill>
      </fill>
    </dxf>
    <dxf>
      <fill>
        <patternFill>
          <bgColor theme="3" tint="0.59996337778862885"/>
        </patternFill>
      </fill>
    </dxf>
    <dxf>
      <fill>
        <patternFill>
          <bgColor rgb="FFFF0000"/>
        </patternFill>
      </fill>
    </dxf>
    <dxf>
      <fill>
        <patternFill>
          <bgColor rgb="FF92D050"/>
        </patternFill>
      </fill>
    </dxf>
    <dxf>
      <fill>
        <patternFill>
          <bgColor rgb="FFFF0000"/>
        </patternFill>
      </fill>
    </dxf>
    <dxf>
      <fill>
        <patternFill>
          <bgColor rgb="FFFFFF00"/>
        </patternFill>
      </fill>
    </dxf>
    <dxf>
      <font>
        <b/>
        <i val="0"/>
        <color theme="0"/>
      </font>
      <fill>
        <patternFill>
          <bgColor rgb="FFC00000"/>
        </patternFill>
      </fill>
    </dxf>
    <dxf>
      <fill>
        <patternFill>
          <bgColor rgb="FFFF0000"/>
        </patternFill>
      </fill>
    </dxf>
    <dxf>
      <fill>
        <patternFill>
          <bgColor theme="3" tint="0.59996337778862885"/>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font>
      <fill>
        <patternFill>
          <bgColor rgb="FF92D050"/>
        </patternFill>
      </fill>
    </dxf>
    <dxf>
      <font>
        <b/>
        <i val="0"/>
        <color theme="1"/>
      </font>
      <fill>
        <patternFill>
          <bgColor rgb="FFFFC00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FFC000"/>
        </patternFill>
      </fill>
    </dxf>
    <dxf>
      <fill>
        <patternFill>
          <bgColor theme="3" tint="0.59996337778862885"/>
        </patternFill>
      </fill>
    </dxf>
    <dxf>
      <fill>
        <patternFill>
          <bgColor theme="7" tint="0.59996337778862885"/>
        </patternFill>
      </fill>
    </dxf>
    <dxf>
      <fill>
        <patternFill>
          <bgColor theme="5" tint="0.39994506668294322"/>
        </patternFill>
      </fill>
    </dxf>
    <dxf>
      <fill>
        <patternFill>
          <bgColor rgb="FF92D050"/>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7" tint="0.59996337778862885"/>
        </patternFill>
      </fill>
    </dxf>
    <dxf>
      <fill>
        <patternFill>
          <bgColor theme="2" tint="-0.24994659260841701"/>
        </patternFill>
      </fill>
    </dxf>
    <dxf>
      <fill>
        <patternFill>
          <bgColor theme="8" tint="-0.24994659260841701"/>
        </patternFill>
      </fill>
    </dxf>
    <dxf>
      <fill>
        <patternFill>
          <bgColor rgb="FF92D050"/>
        </patternFill>
      </fill>
    </dxf>
    <dxf>
      <fill>
        <patternFill>
          <bgColor theme="5" tint="0.39994506668294322"/>
        </patternFill>
      </fill>
    </dxf>
    <dxf>
      <fill>
        <patternFill>
          <bgColor theme="7" tint="0.59996337778862885"/>
        </patternFill>
      </fill>
    </dxf>
    <dxf>
      <fill>
        <patternFill>
          <bgColor theme="3" tint="0.59996337778862885"/>
        </patternFill>
      </fill>
    </dxf>
    <dxf>
      <fill>
        <patternFill>
          <bgColor theme="9" tint="-0.24994659260841701"/>
        </patternFill>
      </fill>
    </dxf>
    <dxf>
      <fill>
        <patternFill>
          <bgColor theme="6" tint="0.79998168889431442"/>
        </patternFill>
      </fill>
    </dxf>
    <dxf>
      <fill>
        <patternFill>
          <bgColor theme="6" tint="-0.499984740745262"/>
        </patternFill>
      </fill>
    </dxf>
    <dxf>
      <fill>
        <patternFill>
          <bgColor rgb="FF92D050"/>
        </patternFill>
      </fill>
    </dxf>
    <dxf>
      <font>
        <b/>
        <i val="0"/>
        <color theme="0"/>
      </font>
      <fill>
        <patternFill>
          <bgColor theme="1"/>
        </patternFill>
      </fill>
    </dxf>
    <dxf>
      <fill>
        <patternFill>
          <bgColor rgb="FFFFC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theme="3" tint="0.59996337778862885"/>
        </patternFill>
      </fill>
    </dxf>
    <dxf>
      <fill>
        <patternFill>
          <bgColor theme="5" tint="0.59996337778862885"/>
        </patternFill>
      </fill>
    </dxf>
    <dxf>
      <fill>
        <patternFill>
          <bgColor theme="9" tint="0.59996337778862885"/>
        </patternFill>
      </fill>
    </dxf>
    <dxf>
      <fill>
        <patternFill>
          <bgColor rgb="FF92D050"/>
        </patternFill>
      </fill>
    </dxf>
    <dxf>
      <fill>
        <patternFill>
          <bgColor rgb="FFFFFF00"/>
        </patternFill>
      </fill>
    </dxf>
    <dxf>
      <font>
        <b/>
        <i val="0"/>
        <color theme="0"/>
      </font>
      <fill>
        <patternFill>
          <bgColor rgb="FFC00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theme="9" tint="0.39994506668294322"/>
        </patternFill>
      </fill>
    </dxf>
    <dxf>
      <fill>
        <patternFill>
          <bgColor rgb="FF92D050"/>
        </patternFill>
      </fill>
    </dxf>
    <dxf>
      <font>
        <color theme="0"/>
      </font>
      <fill>
        <patternFill>
          <bgColor rgb="FFFF0000"/>
        </patternFill>
      </fill>
    </dxf>
    <dxf>
      <fill>
        <patternFill>
          <bgColor rgb="FFFFFF00"/>
        </patternFill>
      </fill>
    </dxf>
    <dxf>
      <font>
        <b/>
        <i val="0"/>
        <color theme="0"/>
      </font>
      <fill>
        <patternFill>
          <bgColor rgb="FFC00000"/>
        </patternFill>
      </fill>
    </dxf>
    <dxf>
      <font>
        <b/>
        <i val="0"/>
        <color theme="0"/>
      </font>
      <fill>
        <patternFill>
          <bgColor rgb="FFC00000"/>
        </patternFill>
      </fill>
    </dxf>
    <dxf>
      <fill>
        <patternFill>
          <bgColor rgb="FF92D050"/>
        </patternFill>
      </fill>
    </dxf>
    <dxf>
      <fill>
        <patternFill>
          <bgColor theme="8" tint="0.39994506668294322"/>
        </patternFill>
      </fill>
    </dxf>
    <dxf>
      <fill>
        <patternFill>
          <bgColor rgb="FFFF0000"/>
        </patternFill>
      </fill>
    </dxf>
    <dxf>
      <fill>
        <patternFill>
          <bgColor rgb="FFFFFF00"/>
        </patternFill>
      </fill>
    </dxf>
    <dxf>
      <fill>
        <patternFill>
          <bgColor theme="7" tint="0.39994506668294322"/>
        </patternFill>
      </fill>
    </dxf>
    <dxf>
      <fill>
        <patternFill>
          <bgColor rgb="FFFFC000"/>
        </patternFill>
      </fill>
    </dxf>
    <dxf>
      <fill>
        <patternFill>
          <bgColor theme="6" tint="0.39994506668294322"/>
        </patternFill>
      </fill>
    </dxf>
    <dxf>
      <fill>
        <patternFill>
          <bgColor rgb="FF92D050"/>
        </patternFill>
      </fill>
    </dxf>
    <dxf>
      <fill>
        <patternFill>
          <bgColor rgb="FFFFC000"/>
        </patternFill>
      </fill>
    </dxf>
    <dxf>
      <fill>
        <patternFill>
          <bgColor rgb="FFFFFF00"/>
        </patternFill>
      </fill>
    </dxf>
    <dxf>
      <font>
        <b/>
        <i val="0"/>
        <color theme="0"/>
      </font>
      <fill>
        <patternFill>
          <bgColor rgb="FFC00000"/>
        </patternFill>
      </fill>
    </dxf>
    <dxf>
      <font>
        <b/>
        <i val="0"/>
        <color theme="0"/>
      </font>
      <fill>
        <patternFill>
          <bgColor theme="3" tint="-0.499984740745262"/>
        </patternFill>
      </fill>
    </dxf>
    <dxf>
      <fill>
        <patternFill>
          <bgColor rgb="FFFFFF00"/>
        </patternFill>
      </fill>
    </dxf>
    <dxf>
      <fill>
        <patternFill>
          <bgColor rgb="FFFF0000"/>
        </patternFill>
      </fill>
    </dxf>
    <dxf>
      <fill>
        <patternFill>
          <bgColor rgb="FF92D050"/>
        </patternFill>
      </fill>
    </dxf>
    <dxf>
      <font>
        <b/>
        <i val="0"/>
        <color theme="0"/>
      </font>
      <fill>
        <patternFill>
          <bgColor rgb="FFC00000"/>
        </patternFill>
      </fill>
    </dxf>
    <dxf>
      <fill>
        <patternFill>
          <bgColor theme="2" tint="-0.499984740745262"/>
        </patternFill>
      </fill>
    </dxf>
    <dxf>
      <font>
        <b/>
        <i val="0"/>
        <color theme="1"/>
      </font>
      <fill>
        <patternFill>
          <bgColor rgb="FF00B050"/>
        </patternFill>
      </fill>
    </dxf>
    <dxf>
      <fill>
        <patternFill>
          <bgColor rgb="FFFFC000"/>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FF00"/>
        </patternFill>
      </fill>
    </dxf>
    <dxf>
      <font>
        <b/>
        <i val="0"/>
        <color theme="0"/>
      </font>
      <fill>
        <patternFill>
          <bgColor rgb="FF00B050"/>
        </patternFill>
      </fill>
    </dxf>
    <dxf>
      <font>
        <b/>
        <i val="0"/>
        <color auto="1"/>
      </font>
      <fill>
        <patternFill>
          <bgColor rgb="FFFF0000"/>
        </patternFill>
      </fill>
    </dxf>
    <dxf>
      <font>
        <color rgb="FF9C0006"/>
      </font>
      <fill>
        <patternFill>
          <bgColor rgb="FFFFC7CE"/>
        </patternFill>
      </fill>
    </dxf>
    <dxf>
      <fill>
        <patternFill>
          <bgColor theme="7" tint="0.39994506668294322"/>
        </patternFill>
      </fill>
    </dxf>
    <dxf>
      <fill>
        <patternFill>
          <bgColor rgb="FFFFFF00"/>
        </patternFill>
      </fill>
    </dxf>
    <dxf>
      <fill>
        <patternFill>
          <bgColor rgb="FF92D050"/>
        </patternFill>
      </fill>
    </dxf>
    <dxf>
      <font>
        <b/>
        <i val="0"/>
        <color theme="0"/>
      </font>
      <fill>
        <patternFill>
          <bgColor rgb="FFC00000"/>
        </patternFill>
      </fill>
    </dxf>
    <dxf>
      <font>
        <color rgb="FF9C0006"/>
      </font>
      <fill>
        <patternFill>
          <bgColor rgb="FFFFC7CE"/>
        </patternFill>
      </fill>
    </dxf>
    <dxf>
      <font>
        <b/>
        <i val="0"/>
        <color theme="0"/>
      </font>
      <fill>
        <patternFill>
          <bgColor rgb="FFFF0000"/>
        </patternFill>
      </fill>
    </dxf>
    <dxf>
      <font>
        <b/>
        <i val="0"/>
      </font>
      <fill>
        <patternFill>
          <bgColor rgb="FF92D050"/>
        </patternFill>
      </fill>
    </dxf>
    <dxf>
      <font>
        <b/>
        <i val="0"/>
      </font>
      <fill>
        <patternFill>
          <bgColor rgb="FF92D05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b/>
        <i val="0"/>
        <color auto="1"/>
      </font>
      <fill>
        <patternFill patternType="solid">
          <fgColor auto="1"/>
          <bgColor rgb="FFFB4D3B"/>
        </patternFill>
      </fill>
    </dxf>
    <dxf>
      <font>
        <color rgb="FF006100"/>
      </font>
      <fill>
        <patternFill>
          <bgColor rgb="FFC6EFCE"/>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C000"/>
        </patternFill>
      </fill>
    </dxf>
    <dxf>
      <font>
        <color rgb="FFC00000"/>
      </font>
      <fill>
        <patternFill>
          <bgColor theme="5" tint="0.39994506668294322"/>
        </patternFill>
      </fill>
    </dxf>
    <dxf>
      <fill>
        <patternFill>
          <bgColor rgb="FF00B05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ont>
        <b/>
        <i val="0"/>
        <color theme="0"/>
      </font>
      <fill>
        <patternFill>
          <bgColor rgb="FFFF0066"/>
        </patternFill>
      </fill>
    </dxf>
    <dxf>
      <fill>
        <patternFill>
          <bgColor theme="6" tint="0.79998168889431442"/>
        </patternFill>
      </fill>
    </dxf>
    <dxf>
      <fill>
        <patternFill>
          <bgColor theme="7"/>
        </patternFill>
      </fill>
    </dxf>
    <dxf>
      <fill>
        <patternFill>
          <bgColor rgb="FF92D050"/>
        </patternFill>
      </fill>
    </dxf>
    <dxf>
      <font>
        <b val="0"/>
        <i/>
      </font>
      <fill>
        <patternFill>
          <bgColor theme="6" tint="0.39994506668294322"/>
        </patternFill>
      </fill>
    </dxf>
    <dxf>
      <fill>
        <patternFill>
          <bgColor rgb="FFFFFF00"/>
        </patternFill>
      </fill>
    </dxf>
    <dxf>
      <font>
        <b/>
        <i val="0"/>
        <color theme="0"/>
      </font>
      <fill>
        <patternFill>
          <bgColor rgb="FFA50021"/>
        </patternFill>
      </fill>
    </dxf>
    <dxf>
      <fill>
        <patternFill>
          <bgColor theme="6" tint="0.79998168889431442"/>
        </patternFill>
      </fill>
    </dxf>
    <dxf>
      <fill>
        <patternFill>
          <bgColor theme="7"/>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ont>
        <b/>
        <i val="0"/>
        <color theme="0"/>
      </font>
      <fill>
        <patternFill>
          <bgColor rgb="FFFF0066"/>
        </patternFill>
      </fill>
    </dxf>
    <dxf>
      <fill>
        <patternFill>
          <bgColor rgb="FF92D050"/>
        </patternFill>
      </fill>
    </dxf>
    <dxf>
      <font>
        <b val="0"/>
        <i/>
      </font>
      <fill>
        <patternFill>
          <bgColor theme="6" tint="0.39994506668294322"/>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ill>
        <patternFill>
          <bgColor rgb="FFFFFF00"/>
        </patternFill>
      </fill>
    </dxf>
    <dxf>
      <font>
        <b/>
        <i val="0"/>
        <color theme="0"/>
      </font>
      <fill>
        <patternFill>
          <bgColor rgb="FFA50021"/>
        </patternFill>
      </fill>
    </dxf>
    <dxf>
      <fill>
        <patternFill>
          <bgColor theme="6" tint="0.79998168889431442"/>
        </patternFill>
      </fill>
    </dxf>
    <dxf>
      <fill>
        <patternFill>
          <bgColor theme="7"/>
        </patternFill>
      </fill>
    </dxf>
    <dxf>
      <font>
        <b/>
        <i val="0"/>
        <color theme="0"/>
      </font>
      <fill>
        <patternFill>
          <bgColor rgb="FFFF0066"/>
        </patternFill>
      </fill>
    </dxf>
    <dxf>
      <fill>
        <patternFill>
          <bgColor rgb="FFFFFF00"/>
        </patternFill>
      </fill>
    </dxf>
    <dxf>
      <fill>
        <patternFill>
          <bgColor rgb="FF92D050"/>
        </patternFill>
      </fill>
    </dxf>
    <dxf>
      <font>
        <b/>
        <i val="0"/>
        <color theme="0"/>
      </font>
      <fill>
        <patternFill>
          <bgColor rgb="FFC00000"/>
        </patternFill>
      </fill>
    </dxf>
    <dxf>
      <fill>
        <patternFill>
          <bgColor theme="6" tint="0.39994506668294322"/>
        </patternFill>
      </fill>
    </dxf>
    <dxf>
      <fill>
        <patternFill>
          <bgColor rgb="FFFF0000"/>
        </patternFill>
      </fill>
    </dxf>
    <dxf>
      <fill>
        <patternFill>
          <bgColor theme="9" tint="-0.24994659260841701"/>
        </patternFill>
      </fill>
    </dxf>
    <dxf>
      <font>
        <b/>
        <i val="0"/>
        <color theme="0"/>
      </font>
      <fill>
        <patternFill>
          <bgColor rgb="FFFF0066"/>
        </patternFill>
      </fill>
    </dxf>
    <dxf>
      <fill>
        <patternFill>
          <bgColor theme="7"/>
        </patternFill>
      </fill>
    </dxf>
    <dxf>
      <font>
        <b val="0"/>
        <i/>
      </font>
      <fill>
        <patternFill>
          <bgColor theme="6" tint="0.39994506668294322"/>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A50021"/>
        </patternFill>
      </fill>
    </dxf>
    <dxf>
      <fill>
        <patternFill>
          <bgColor rgb="FFFFFF00"/>
        </patternFill>
      </fill>
    </dxf>
    <dxf>
      <fill>
        <patternFill>
          <bgColor rgb="FFFF0000"/>
        </patternFill>
      </fill>
    </dxf>
    <dxf>
      <fill>
        <patternFill>
          <bgColor rgb="FF92D050"/>
        </patternFill>
      </fill>
    </dxf>
    <dxf>
      <font>
        <b/>
        <i val="0"/>
        <color rgb="FFFF0000"/>
      </font>
      <fill>
        <patternFill>
          <bgColor rgb="FF92D050"/>
        </patternFill>
      </fill>
    </dxf>
    <dxf>
      <font>
        <b/>
        <i val="0"/>
        <color theme="1"/>
      </font>
      <fill>
        <patternFill>
          <bgColor rgb="FFFFFF00"/>
        </patternFill>
      </fill>
    </dxf>
    <dxf>
      <font>
        <b/>
        <i val="0"/>
        <color theme="0"/>
      </font>
      <fill>
        <patternFill>
          <bgColor rgb="FFFF0000"/>
        </patternFill>
      </fill>
    </dxf>
    <dxf>
      <font>
        <b/>
        <i val="0"/>
        <color theme="0"/>
      </font>
      <fill>
        <patternFill>
          <bgColor rgb="FFA50021"/>
        </patternFill>
      </fill>
    </dxf>
    <dxf>
      <font>
        <b/>
        <i val="0"/>
        <color rgb="FFFF0000"/>
      </font>
      <fill>
        <patternFill>
          <bgColor theme="7" tint="0.39994506668294322"/>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ont>
        <color rgb="FF9C0006"/>
      </font>
      <fill>
        <patternFill>
          <bgColor rgb="FFFFC7CE"/>
        </patternFill>
      </fill>
    </dxf>
    <dxf>
      <fill>
        <patternFill>
          <bgColor theme="9" tint="-0.24994659260841701"/>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ont>
        <b/>
        <i val="0"/>
        <color theme="0"/>
      </font>
      <fill>
        <patternFill>
          <bgColor rgb="FF7030A0"/>
        </patternFill>
      </fill>
    </dxf>
    <dxf>
      <fill>
        <patternFill>
          <bgColor rgb="FFFFFF00"/>
        </patternFill>
      </fill>
    </dxf>
    <dxf>
      <fill>
        <patternFill>
          <bgColor rgb="FF92D05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ill>
        <patternFill>
          <bgColor theme="8"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theme="8" tint="0.59996337778862885"/>
        </patternFill>
      </fill>
    </dxf>
    <dxf>
      <font>
        <color theme="0"/>
      </font>
      <fill>
        <patternFill>
          <bgColor rgb="FFC00000"/>
        </patternFill>
      </fill>
    </dxf>
    <dxf>
      <fill>
        <patternFill>
          <bgColor rgb="FF92D050"/>
        </patternFill>
      </fill>
    </dxf>
    <dxf>
      <fill>
        <patternFill>
          <bgColor rgb="FFFFC000"/>
        </patternFill>
      </fill>
    </dxf>
    <dxf>
      <fill>
        <patternFill>
          <bgColor rgb="FFFF0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ill>
        <patternFill>
          <bgColor rgb="FF92D050"/>
        </patternFill>
      </fill>
    </dxf>
    <dxf>
      <font>
        <color theme="0"/>
      </font>
      <fill>
        <patternFill>
          <bgColor rgb="FFC00000"/>
        </patternFill>
      </fill>
    </dxf>
    <dxf>
      <fill>
        <patternFill>
          <bgColor rgb="FFFFFF00"/>
        </patternFill>
      </fill>
    </dxf>
    <dxf>
      <fill>
        <patternFill>
          <bgColor theme="7" tint="0.39994506668294322"/>
        </patternFill>
      </fill>
    </dxf>
    <dxf>
      <font>
        <color theme="0"/>
      </font>
      <fill>
        <patternFill>
          <bgColor theme="7" tint="-0.24994659260841701"/>
        </patternFill>
      </fill>
    </dxf>
    <dxf>
      <fill>
        <patternFill>
          <bgColor rgb="FFFFFF00"/>
        </patternFill>
      </fill>
    </dxf>
    <dxf>
      <fill>
        <patternFill>
          <bgColor theme="7" tint="0.39994506668294322"/>
        </patternFill>
      </fill>
    </dxf>
    <dxf>
      <font>
        <color theme="0"/>
      </font>
      <fill>
        <patternFill>
          <bgColor rgb="FFC00000"/>
        </patternFill>
      </fill>
    </dxf>
    <dxf>
      <fill>
        <patternFill>
          <bgColor rgb="FFFF0000"/>
        </patternFill>
      </fill>
    </dxf>
    <dxf>
      <fill>
        <patternFill>
          <bgColor rgb="FF92D050"/>
        </patternFill>
      </fill>
    </dxf>
    <dxf>
      <font>
        <color theme="0"/>
      </font>
      <fill>
        <patternFill>
          <bgColor theme="7" tint="-0.24994659260841701"/>
        </patternFill>
      </fill>
    </dxf>
    <dxf>
      <fill>
        <patternFill>
          <bgColor rgb="FFFFFF00"/>
        </patternFill>
      </fill>
    </dxf>
    <dxf>
      <fill>
        <patternFill>
          <bgColor rgb="FFFF0000"/>
        </patternFill>
      </fill>
    </dxf>
    <dxf>
      <fill>
        <patternFill>
          <bgColor rgb="FF92D050"/>
        </patternFill>
      </fill>
    </dxf>
    <dxf>
      <font>
        <color theme="0"/>
      </font>
      <fill>
        <patternFill>
          <bgColor rgb="FFC00000"/>
        </patternFill>
      </fill>
    </dxf>
    <dxf>
      <font>
        <color theme="0"/>
      </font>
      <fill>
        <patternFill>
          <bgColor theme="5" tint="-0.24994659260841701"/>
        </patternFill>
      </fill>
    </dxf>
    <dxf>
      <fill>
        <patternFill>
          <bgColor rgb="FFFFC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FFFF00"/>
        </patternFill>
      </fill>
    </dxf>
    <dxf>
      <font>
        <color theme="0"/>
      </font>
      <fill>
        <patternFill>
          <bgColor theme="5" tint="-0.24994659260841701"/>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ill>
        <patternFill>
          <bgColor rgb="FFFF0000"/>
        </patternFill>
      </fill>
    </dxf>
    <dxf>
      <fill>
        <patternFill>
          <bgColor rgb="FF92D050"/>
        </patternFill>
      </fill>
    </dxf>
    <dxf>
      <font>
        <color rgb="FF9C6500"/>
      </font>
      <fill>
        <patternFill>
          <bgColor rgb="FFFFEB9C"/>
        </patternFill>
      </fill>
    </dxf>
    <dxf>
      <font>
        <color rgb="FF9C6500"/>
      </font>
      <fill>
        <patternFill>
          <bgColor rgb="FFFFEB9C"/>
        </patternFill>
      </fill>
    </dxf>
    <dxf>
      <font>
        <color theme="0"/>
      </font>
      <fill>
        <patternFill>
          <bgColor rgb="FFFF0000"/>
        </patternFill>
      </fill>
    </dxf>
    <dxf>
      <font>
        <color theme="0"/>
      </font>
      <fill>
        <patternFill>
          <bgColor rgb="FFFF0000"/>
        </patternFill>
      </fill>
    </dxf>
    <dxf>
      <font>
        <b/>
        <i val="0"/>
        <color theme="0"/>
      </font>
      <fill>
        <patternFill>
          <bgColor rgb="FFC00000"/>
        </patternFill>
      </fill>
    </dxf>
    <dxf>
      <fill>
        <patternFill>
          <bgColor rgb="FF92D050"/>
        </patternFill>
      </fill>
    </dxf>
    <dxf>
      <font>
        <color rgb="FF9C0006"/>
      </font>
      <fill>
        <patternFill>
          <bgColor rgb="FFFFC7CE"/>
        </patternFill>
      </fill>
    </dxf>
    <dxf>
      <fill>
        <patternFill>
          <bgColor rgb="FFFF0000"/>
        </patternFill>
      </fill>
    </dxf>
    <dxf>
      <fill>
        <patternFill>
          <bgColor rgb="FF92D050"/>
        </patternFill>
      </fill>
    </dxf>
    <dxf>
      <fill>
        <patternFill>
          <bgColor rgb="FFFFC000"/>
        </patternFill>
      </fill>
    </dxf>
    <dxf>
      <fill>
        <patternFill>
          <bgColor theme="5" tint="0.39994506668294322"/>
        </patternFill>
      </fill>
    </dxf>
    <dxf>
      <font>
        <b/>
        <i val="0"/>
        <color theme="0"/>
      </font>
      <fill>
        <patternFill>
          <bgColor rgb="FFFF0000"/>
        </patternFill>
      </fill>
    </dxf>
    <dxf>
      <font>
        <b/>
        <i val="0"/>
        <color theme="1"/>
      </font>
      <fill>
        <patternFill>
          <bgColor rgb="FF92D050"/>
        </patternFill>
      </fill>
    </dxf>
    <dxf>
      <font>
        <b/>
        <i val="0"/>
      </font>
      <fill>
        <patternFill>
          <bgColor rgb="FFFF0000"/>
        </patternFill>
      </fill>
    </dxf>
    <dxf>
      <font>
        <b/>
        <i val="0"/>
      </font>
      <fill>
        <patternFill>
          <bgColor rgb="FF92D050"/>
        </patternFill>
      </fill>
    </dxf>
    <dxf>
      <font>
        <b/>
        <i val="0"/>
      </font>
      <fill>
        <patternFill>
          <bgColor rgb="FFFF0000"/>
        </patternFill>
      </fill>
    </dxf>
    <dxf>
      <font>
        <b/>
        <i val="0"/>
      </font>
      <fill>
        <patternFill>
          <bgColor rgb="FF92D050"/>
        </patternFill>
      </fill>
    </dxf>
    <dxf>
      <font>
        <color rgb="FF9C0006"/>
      </font>
      <fill>
        <patternFill>
          <bgColor rgb="FFFFC7CE"/>
        </patternFill>
      </fill>
    </dxf>
    <dxf>
      <fill>
        <patternFill>
          <bgColor theme="9" tint="0.39994506668294322"/>
        </patternFill>
      </fill>
    </dxf>
    <dxf>
      <font>
        <color rgb="FF9C6500"/>
      </font>
      <fill>
        <patternFill>
          <bgColor rgb="FFFFEB9C"/>
        </patternFill>
      </fill>
    </dxf>
    <dxf>
      <fill>
        <patternFill>
          <bgColor rgb="FFFF6600"/>
        </patternFill>
      </fill>
    </dxf>
    <dxf>
      <fill>
        <patternFill>
          <bgColor rgb="FF92D050"/>
        </patternFill>
      </fill>
    </dxf>
    <dxf>
      <font>
        <color theme="0"/>
      </font>
      <fill>
        <patternFill>
          <bgColor theme="5" tint="-0.24994659260841701"/>
        </patternFill>
      </fill>
    </dxf>
    <dxf>
      <fill>
        <patternFill>
          <bgColor rgb="FFFFC000"/>
        </patternFill>
      </fill>
    </dxf>
    <dxf>
      <fill>
        <patternFill>
          <bgColor theme="8" tint="0.39994506668294322"/>
        </patternFill>
      </fill>
    </dxf>
    <dxf>
      <font>
        <b/>
        <i val="0"/>
        <color theme="0"/>
      </font>
      <fill>
        <patternFill>
          <bgColor theme="9" tint="-0.24994659260841701"/>
        </patternFill>
      </fill>
    </dxf>
    <dxf>
      <font>
        <b/>
        <i val="0"/>
        <color theme="0"/>
      </font>
      <fill>
        <patternFill>
          <bgColor rgb="FFFF0000"/>
        </patternFill>
      </fill>
    </dxf>
    <dxf>
      <fill>
        <patternFill>
          <bgColor rgb="FFFFFF00"/>
        </patternFill>
      </fill>
    </dxf>
    <dxf>
      <font>
        <color rgb="FF9C0006"/>
      </font>
      <fill>
        <patternFill>
          <bgColor rgb="FFFFC7CE"/>
        </patternFill>
      </fill>
    </dxf>
    <dxf>
      <fill>
        <patternFill>
          <bgColor rgb="FF92D050"/>
        </patternFill>
      </fill>
    </dxf>
    <dxf>
      <font>
        <b/>
        <i val="0"/>
        <color theme="0"/>
      </font>
      <fill>
        <patternFill>
          <bgColor rgb="FFFF0000"/>
        </patternFill>
      </fill>
    </dxf>
    <dxf>
      <font>
        <color rgb="FF9C0006"/>
      </font>
      <fill>
        <patternFill>
          <bgColor rgb="FFFFC7CE"/>
        </patternFill>
      </fill>
    </dxf>
    <dxf>
      <fill>
        <patternFill>
          <bgColor rgb="FFFFFF0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32"/>
      <tableStyleElement type="firstRowStripe" dxfId="731"/>
      <tableStyleElement type="secondRowStripe" dxfId="730"/>
      <tableStyleElement type="firstColumnStripe" dxfId="729"/>
    </tableStyle>
    <tableStyle name="Estilo de tabla 2" pivot="0" count="3" xr9:uid="{00000000-0011-0000-FFFF-FFFF01000000}">
      <tableStyleElement type="headerRow" dxfId="728"/>
      <tableStyleElement type="firstRowStripe" dxfId="727"/>
      <tableStyleElement type="secondRowStripe" dxfId="726"/>
    </tableStyle>
    <tableStyle name="Estilo de tabla 3" pivot="0" count="2" xr9:uid="{00000000-0011-0000-FFFF-FFFF02000000}">
      <tableStyleElement type="headerRow" dxfId="725"/>
      <tableStyleElement type="firstRowStripe" dxfId="724"/>
    </tableStyle>
    <tableStyle name="Estilo de tabla 4" pivot="0" count="0" xr9:uid="{00000000-0011-0000-FFFF-FFFF03000000}"/>
    <tableStyle name="Estilo de tabla 5" pivot="0" count="2" xr9:uid="{00000000-0011-0000-FFFF-FFFF04000000}">
      <tableStyleElement type="wholeTable" dxfId="723"/>
      <tableStyleElement type="headerRow" dxfId="722"/>
    </tableStyle>
    <tableStyle name="Estilo de tabla 6" pivot="0" count="3" xr9:uid="{00000000-0011-0000-FFFF-FFFF05000000}">
      <tableStyleElement type="headerRow" dxfId="721"/>
      <tableStyleElement type="firstRowStripe" dxfId="720"/>
      <tableStyleElement type="secondRowStripe" dxfId="719"/>
    </tableStyle>
    <tableStyle name="Estilo de tabla 7" pivot="0" count="3" xr9:uid="{00000000-0011-0000-FFFF-FFFF06000000}">
      <tableStyleElement type="headerRow" dxfId="718"/>
      <tableStyleElement type="firstRowStripe" dxfId="717"/>
      <tableStyleElement type="secondRowStripe" dxfId="716"/>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5" totalsRowShown="0" headerRowDxfId="715" dataDxfId="714" headerRowCellStyle="Énfasis5" dataCellStyle="Normal 2">
  <autoFilter ref="A1:OG5" xr:uid="{00000000-0009-0000-0100-000001000000}"/>
  <tableColumns count="397">
    <tableColumn id="101" xr3:uid="{00000000-0010-0000-0000-000065000000}" name="OBSERVACIONES PARA SEGUIMIENTO" dataDxfId="713"/>
    <tableColumn id="1" xr3:uid="{00000000-0010-0000-0000-000001000000}" name="RESPONSABLE DE LA ZONA" dataDxfId="712"/>
    <tableColumn id="77" xr3:uid="{00000000-0010-0000-0000-00004D000000}" name="PUNTO O CENTRO DE ATENCION" dataDxfId="711"/>
    <tableColumn id="2" xr3:uid="{00000000-0010-0000-0000-000002000000}" name="ATENCIÓN PRECONCEPCIONAL" dataDxfId="710"/>
    <tableColumn id="3" xr3:uid="{00000000-0010-0000-0000-000003000000}" name="APELLIDO" dataDxfId="709"/>
    <tableColumn id="4" xr3:uid="{00000000-0010-0000-0000-000004000000}" name="APELLIDO 2" dataDxfId="708"/>
    <tableColumn id="5" xr3:uid="{00000000-0010-0000-0000-000005000000}" name="NOMBRE 1" dataDxfId="707"/>
    <tableColumn id="6" xr3:uid="{00000000-0010-0000-0000-000006000000}" name="NOMBRE 2" dataDxfId="706"/>
    <tableColumn id="7" xr3:uid="{00000000-0010-0000-0000-000007000000}" name="TIPO DE DOCUMENTO" dataDxfId="705"/>
    <tableColumn id="8" xr3:uid="{00000000-0010-0000-0000-000008000000}" name="No DE IDENTIFICACION" dataDxfId="704"/>
    <tableColumn id="9" xr3:uid="{00000000-0010-0000-0000-000009000000}" name="ESTADO CIVIL" dataDxfId="703"/>
    <tableColumn id="10" xr3:uid="{00000000-0010-0000-0000-00000A000000}" name="OCUPACION" dataDxfId="702"/>
    <tableColumn id="11" xr3:uid="{00000000-0010-0000-0000-00000B000000}" name="FECHA DE NACIMIENTO" dataDxfId="701" dataCellStyle="Normal 2"/>
    <tableColumn id="12" xr3:uid="{00000000-0010-0000-0000-00000C000000}" name="EDAD ACTUAL" dataDxfId="700" dataCellStyle="Normal 2">
      <calculatedColumnFormula>IF(M2&gt;0,SUM(TODAY()-M2)/365,"")</calculatedColumnFormula>
    </tableColumn>
    <tableColumn id="13" xr3:uid="{00000000-0010-0000-0000-00000D000000}" name="FECHA DE IDENTIFICACION DE LA GESTANTE" dataDxfId="699" dataCellStyle="Normal 2"/>
    <tableColumn id="14" xr3:uid="{00000000-0010-0000-0000-00000E000000}" name="EFECTIVIDAD DEMANDA" dataDxfId="698"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97" dataCellStyle="Normal 2"/>
    <tableColumn id="16" xr3:uid="{00000000-0010-0000-0000-000010000000}" name="FECHA CONSULTA PRIMERA VEZ PROGRAMA CPN " dataDxfId="696" dataCellStyle="Normal 2"/>
    <tableColumn id="24" xr3:uid="{00000000-0010-0000-0000-000018000000}" name="REGIMEN" dataDxfId="695" dataCellStyle="Normal 2"/>
    <tableColumn id="25" xr3:uid="{00000000-0010-0000-0000-000019000000}" name="ASEGURADORA" dataDxfId="694" dataCellStyle="Normal 2"/>
    <tableColumn id="26" xr3:uid="{00000000-0010-0000-0000-00001A000000}" name="MUNICIPIO DE RESIDENCIA" dataDxfId="693" dataCellStyle="Normal 2"/>
    <tableColumn id="27" xr3:uid="{00000000-0010-0000-0000-00001B000000}" name="ZONA DE RESIDENCIA" dataDxfId="692" dataCellStyle="Normal 2"/>
    <tableColumn id="28" xr3:uid="{00000000-0010-0000-0000-00001C000000}" name="VEREDA/BARRIO" dataDxfId="691" dataCellStyle="Normal 2"/>
    <tableColumn id="29" xr3:uid="{00000000-0010-0000-0000-00001D000000}" name="DIRECCION - (ESPECIFICAR UBICACIÓN EN VEREDA)" dataDxfId="690" dataCellStyle="Normal 2"/>
    <tableColumn id="30" xr3:uid="{00000000-0010-0000-0000-00001E000000}" name="RESGUARDO / CORREGIMIENTO / COMUNA / LOCALIDAD" dataDxfId="689" dataCellStyle="Normal 2"/>
    <tableColumn id="31" xr3:uid="{00000000-0010-0000-0000-00001F000000}" name="TELEFONO FIJO O CELULAR" dataDxfId="688" dataCellStyle="Normal 2"/>
    <tableColumn id="32" xr3:uid="{00000000-0010-0000-0000-000020000000}" name="TIPO DE ETNIA" dataDxfId="687" dataCellStyle="Normal 2"/>
    <tableColumn id="33" xr3:uid="{00000000-0010-0000-0000-000021000000}" name="PUEBLO INDIGENA ESPECIFICO" dataDxfId="686" dataCellStyle="Normal 2"/>
    <tableColumn id="34" xr3:uid="{00000000-0010-0000-0000-000022000000}" name="ESTUDIOS" dataDxfId="685" dataCellStyle="Normal 2"/>
    <tableColumn id="68" xr3:uid="{00000000-0010-0000-0000-000044000000}" name="PROGRAMAS DE APOYO SOCIAL " dataDxfId="684" dataCellStyle="Normal 2"/>
    <tableColumn id="35" xr3:uid="{00000000-0010-0000-0000-000023000000}" name="EMBARAZO ACEPTADO Y/O  DESEADO" dataDxfId="683" dataCellStyle="Normal 2"/>
    <tableColumn id="36" xr3:uid="{00000000-0010-0000-0000-000024000000}" name="APOYO FAMILIAR" dataDxfId="682" dataCellStyle="Normal 2"/>
    <tableColumn id="37" xr3:uid="{00000000-0010-0000-0000-000025000000}" name="MUJER CABEZA DE FAMILIA" dataDxfId="681" dataCellStyle="Normal 2"/>
    <tableColumn id="38" xr3:uid="{00000000-0010-0000-0000-000026000000}" name="ANSIEDAD (Tensión emocional, Humor depresivo y sx angustia)." dataDxfId="680" dataCellStyle="Normal 2"/>
    <tableColumn id="39" xr3:uid="{00000000-0010-0000-0000-000027000000}" name="GRUPO DE POBLACION ESPECIAL" dataDxfId="679" dataCellStyle="Normal 2"/>
    <tableColumn id="40" xr3:uid="{00000000-0010-0000-0000-000028000000}" name="HA SIDO VICTIMA DE VIOLENCIA BASADA EN GENERO" dataDxfId="678" dataCellStyle="Normal 2"/>
    <tableColumn id="41" xr3:uid="{00000000-0010-0000-0000-000029000000}" name="RIESGO PSICOSOCIAL" dataDxfId="677">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76" dataCellStyle="Normal 2"/>
    <tableColumn id="44" xr3:uid="{00000000-0010-0000-0000-00002C000000}" name="ANTECEDENTE. RETENCION PLACENTARIA O HEMORRAGIA POSTPARTO" dataDxfId="675" dataCellStyle="Normal 2"/>
    <tableColumn id="45" xr3:uid="{00000000-0010-0000-0000-00002D000000}" name="ANTECEDENTE. PESO BEBE MAYOR A 4000 o MENOR A  2500" dataDxfId="674" dataCellStyle="Normal 2"/>
    <tableColumn id="47" xr3:uid="{00000000-0010-0000-0000-00002F000000}" name="ANTECEDENTE. EMBARAZO GEMELAR" dataDxfId="673" dataCellStyle="Normal 2"/>
    <tableColumn id="48" xr3:uid="{00000000-0010-0000-0000-000030000000}" name="ANTECEDENTE. Trabajo de Parto PROLONGADO/PARTO DIFICIL" dataDxfId="672" dataCellStyle="Normal 2"/>
    <tableColumn id="49" xr3:uid="{00000000-0010-0000-0000-000031000000}" name="ANTECEDENTE. FLIAR PREECLAMPSIA" dataDxfId="671" dataCellStyle="Normal 2"/>
    <tableColumn id="51" xr3:uid="{00000000-0010-0000-0000-000033000000}" name="ANTECEDENTE GRAVIDA" dataDxfId="670" dataCellStyle="Normal 2"/>
    <tableColumn id="52" xr3:uid="{00000000-0010-0000-0000-000034000000}" name="ANTECEDENTE PARTOS" dataDxfId="669" dataCellStyle="Normal 2"/>
    <tableColumn id="53" xr3:uid="{00000000-0010-0000-0000-000035000000}" name="ANTECEDENTE ABORTOS" dataDxfId="668" dataCellStyle="Normal 2"/>
    <tableColumn id="54" xr3:uid="{00000000-0010-0000-0000-000036000000}" name="ANTE. 3 ABORTOS SEGUIDOS O INFERTILIDAD" dataDxfId="667" dataCellStyle="Normal 2"/>
    <tableColumn id="55" xr3:uid="{00000000-0010-0000-0000-000037000000}" name="ANTECEDENTE CESAREAS" dataDxfId="666" dataCellStyle="Normal 2"/>
    <tableColumn id="56" xr3:uid="{00000000-0010-0000-0000-000038000000}" name="ANTECEDENTE OBITO FETAL Y/O MUERTE PERINATAL NEONATAL TEMPRANA" dataDxfId="665" dataCellStyle="Normal 2"/>
    <tableColumn id="57" xr3:uid="{00000000-0010-0000-0000-000039000000}" name="ANTECEDENTE EMBARAZO ECTOPICO O CX UTERINA (MIOMECTOMIA)" dataDxfId="664" dataCellStyle="Normal 2"/>
    <tableColumn id="58" xr3:uid="{00000000-0010-0000-0000-00003A000000}" name="ANTECEDENTE EMBARAZO MOLAR" dataDxfId="663" dataCellStyle="Normal 2"/>
    <tableColumn id="59" xr3:uid="{00000000-0010-0000-0000-00003B000000}" name="ANTECEDENTE MUERTE NEONATAL TARDIA" dataDxfId="662" dataCellStyle="Normal 2"/>
    <tableColumn id="64" xr3:uid="{00000000-0010-0000-0000-000040000000}" name="TIENE ENFERMEDADES AUTOINMUNES" dataDxfId="661" dataCellStyle="Normal 2"/>
    <tableColumn id="65" xr3:uid="{00000000-0010-0000-0000-000041000000}" name="TIENE DIABETES MELLITUS" dataDxfId="660" dataCellStyle="Normal 2"/>
    <tableColumn id="66" xr3:uid="{00000000-0010-0000-0000-000042000000}" name="TIENE ENFERMEDAD CARDIACA" dataDxfId="659" dataCellStyle="Normal 2"/>
    <tableColumn id="315" xr3:uid="{00000000-0010-0000-0000-00003B010000}" name="TIENE HTA CRONICA" dataDxfId="658" dataCellStyle="Normal 2"/>
    <tableColumn id="305" xr3:uid="{00000000-0010-0000-0000-000031010000}" name="TIENE ENF RENAL CRONICA" dataDxfId="657" dataCellStyle="Normal 2"/>
    <tableColumn id="74" xr3:uid="{00000000-0010-0000-0000-00004A000000}" name="EN EMB ACTUAL ENFERMEDADES INFECCIOSAS AGUDAS(BACTERIANAS)" dataDxfId="656" dataCellStyle="Normal 2"/>
    <tableColumn id="76" xr3:uid="{00000000-0010-0000-0000-00004C000000}" name="EN EMB ACTUAL RPM" dataDxfId="655" dataCellStyle="Normal 2"/>
    <tableColumn id="79" xr3:uid="{00000000-0010-0000-0000-00004F000000}" name=" EN EMB ACTUAL HEMORRAGIA VAGINAL &gt; 20 SEM22" dataDxfId="654" dataCellStyle="Normal 2"/>
    <tableColumn id="81" xr3:uid="{00000000-0010-0000-0000-000051000000}" name="EN EMB ACTUAL HEMORRAGIA VAGINAL &lt; 20 SEM" dataDxfId="653" dataCellStyle="Normal 2"/>
    <tableColumn id="87" xr3:uid="{00000000-0010-0000-0000-000057000000}" name="FECHA TERMINACIÓN ÚLTIMO EMBARAZO" dataDxfId="652" dataCellStyle="Normal 2"/>
    <tableColumn id="89" xr3:uid="{00000000-0010-0000-0000-000059000000}" name="FUM" dataDxfId="651" dataCellStyle="Normal 2"/>
    <tableColumn id="90" xr3:uid="{00000000-0010-0000-0000-00005A000000}" name="FUM FORMULA CONFIABLE" dataDxfId="650" dataCellStyle="Normal 2"/>
    <tableColumn id="20" xr3:uid="{00000000-0010-0000-0000-000014000000}" name="PERIODO INTERGENESICO (MESES)" dataDxfId="649" dataCellStyle="Normal 2">
      <calculatedColumnFormula>IF(OR(BJ2="SD",BK2=""),"",IF(BJ2="",0,SUM(BK2-BJ2)/30))</calculatedColumnFormula>
    </tableColumn>
    <tableColumn id="19" xr3:uid="{00000000-0010-0000-0000-000013000000}" name="FUM X ECO 1" dataDxfId="648" dataCellStyle="Normal 2">
      <calculatedColumnFormula>IF(BS2&gt;0,SUM(BR2-NQ2),"")</calculatedColumnFormula>
    </tableColumn>
    <tableColumn id="94" xr3:uid="{00000000-0010-0000-0000-00005E000000}" name="SEMANAS DE GESTACION AL INGRESO" dataDxfId="647"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46"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45" dataCellStyle="Normal 2">
      <calculatedColumnFormula>IF(SUM((TODAY()-BK2)/7)&gt;43.1,"",IF(AND(BK2&gt;0,OR(BL2="si",BL2="Corregida",BL2="NO")),SUM((TODAY()-BK2)/7),""))</calculatedColumnFormula>
    </tableColumn>
    <tableColumn id="99" xr3:uid="{00000000-0010-0000-0000-000063000000}" name="FECHA ECO 1" dataDxfId="644" dataCellStyle="Normal 2"/>
    <tableColumn id="100" xr3:uid="{00000000-0010-0000-0000-000064000000}" name="SEMANAS GESTACION ECO 1" dataDxfId="643" dataCellStyle="Normal 2"/>
    <tableColumn id="104" xr3:uid="{00000000-0010-0000-0000-000068000000}" name="FECHA ECO 2" dataDxfId="642" dataCellStyle="Normal 2"/>
    <tableColumn id="105" xr3:uid="{00000000-0010-0000-0000-000069000000}" name="SEMANAS GESTACION ECO 2" dataDxfId="641" dataCellStyle="Normal 2"/>
    <tableColumn id="279" xr3:uid="{00000000-0010-0000-0000-000017010000}" name="EN EMB. ACTUAL  RCIU" dataDxfId="640" dataCellStyle="Normal 2"/>
    <tableColumn id="280" xr3:uid="{00000000-0010-0000-0000-000018010000}" name="TIENE EMB. MUTIPLE ACTUAL " dataDxfId="639" dataCellStyle="Normal 2"/>
    <tableColumn id="287" xr3:uid="{00000000-0010-0000-0000-00001F010000}" name="PRESENTACION DEL FETO - ACTUALIZAR DESPUÉS DE LA SEMANA 32" dataDxfId="638" dataCellStyle="Normal 2"/>
    <tableColumn id="293" xr3:uid="{00000000-0010-0000-0000-000025010000}" name="TIENE POLIHIDRAMNIOS" dataDxfId="637" dataCellStyle="Normal 2"/>
    <tableColumn id="110" xr3:uid="{00000000-0010-0000-0000-00006E000000}" name="FECHA DE REGISTRO DE PESO Y/O TALLA PREGESTACIONAL O I TRIM GESTACION" dataDxfId="636" dataCellStyle="Normal 2"/>
    <tableColumn id="111" xr3:uid="{00000000-0010-0000-0000-00006F000000}" name="TALLA EN Mts     " dataDxfId="635" dataCellStyle="Normal 2"/>
    <tableColumn id="112" xr3:uid="{00000000-0010-0000-0000-000070000000}" name="PESO EN Kg INGRESO I TRIM O PRE GESTACION" dataDxfId="634" dataCellStyle="Normal 2"/>
    <tableColumn id="113" xr3:uid="{00000000-0010-0000-0000-000071000000}" name="IMC" dataDxfId="633" dataCellStyle="Normal 2">
      <calculatedColumnFormula>IF(AND(OR(O2&gt;0,R2&gt;0),CA2=""),"SD",IF(AND(OR(O2="",R2=""),CA2=""),"",IF(AND(OR(O2&gt;0,R2&gt;0),CA2&gt;0,CB2&gt;0),SUM(CB2)/(CA2*CA2),"X")))</calculatedColumnFormula>
    </tableColumn>
    <tableColumn id="114" xr3:uid="{00000000-0010-0000-0000-000072000000}" name="CLASIFICACION NUTRICIONAL 1" dataDxfId="632"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31" dataCellStyle="Normal 2"/>
    <tableColumn id="117" xr3:uid="{00000000-0010-0000-0000-000075000000}" name="IMC5 II TRIM" dataDxfId="630" dataCellStyle="Normal 2">
      <calculatedColumnFormula>IF(AND(OR(O2&gt;0,R2&gt;0),CA2=""),"SD",IF(AND(OR(O2="",R2=""),CA2=""),"",IF(AND(OR(O2&gt;0,R2&gt;0),CA2&gt;0),SUM(CF2)/(CA2*CA2),"X")))</calculatedColumnFormula>
    </tableColumn>
    <tableColumn id="118" xr3:uid="{00000000-0010-0000-0000-000076000000}" name="SEMANAS DE GESTACION II TRIM" dataDxfId="629" dataCellStyle="Normal 2">
      <calculatedColumnFormula>IF(AND(CE2="",BK2=""),"",IF(AND(BK2&gt;0,CE2=""),"NA",IF(CE2&lt;BK2,"REVISAR FUM O FECHA PESO",IF(CE2&gt;0,INT(SUM(CE2-BK2)/7)))))</calculatedColumnFormula>
    </tableColumn>
    <tableColumn id="119" xr3:uid="{00000000-0010-0000-0000-000077000000}" name="CLASIFICACION SEGÚN CURVA ATALAH - II TRIM" dataDxfId="628"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627" dataCellStyle="Normal 2"/>
    <tableColumn id="121" xr3:uid="{00000000-0010-0000-0000-000079000000}" name="PESO EN Kg (29 A 42 SEMANAS)" dataDxfId="626" dataCellStyle="Normal 2"/>
    <tableColumn id="123" xr3:uid="{00000000-0010-0000-0000-00007B000000}" name="IMC8 III TRIM" dataDxfId="625" dataCellStyle="Normal 2">
      <calculatedColumnFormula>IF(AND(OR(O2&gt;0,R2&gt;0),CA2=""),"SD",IF(AND(OR(O2="",R2=""),CA2=""),"",IF(AND(OR(O2&gt;0,R2&gt;0),CA2&gt;0),SUM(CK2)/(CA2*CA2),"X")))</calculatedColumnFormula>
    </tableColumn>
    <tableColumn id="124" xr3:uid="{00000000-0010-0000-0000-00007C000000}" name="SEMANAS DE GESTACION9 III TRIM" dataDxfId="624" dataCellStyle="Normal 2">
      <calculatedColumnFormula>IF(AND(CJ2="",BK2=""),"",IF(AND(BK2&gt;0,CJ2=""),"NA",IF(CJ2&lt;BK2,"REVISAR FUM O FECHA PESO",IF(CJ2&gt;0,INT(SUM(CJ2-BK2)/7)))))</calculatedColumnFormula>
    </tableColumn>
    <tableColumn id="125" xr3:uid="{00000000-0010-0000-0000-00007D000000}" name="CLASIFICACION SEGÚN CURVA ATALAH - III TRIM" dataDxfId="623"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622"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621" dataCellStyle="Normal 2"/>
    <tableColumn id="127" xr3:uid="{00000000-0010-0000-0000-00007F000000}" name="T.A. DIASTOLICA - ANTES DE SEMANA 12" dataDxfId="620" dataCellStyle="Normal 2"/>
    <tableColumn id="128" xr3:uid="{00000000-0010-0000-0000-000080000000}" name="ALARMA 1 T.A.  ANTES 12 SEMANAS" dataDxfId="619"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618" dataCellStyle="Normal 2"/>
    <tableColumn id="130" xr3:uid="{00000000-0010-0000-0000-000082000000}" name="T.A. DIATOLICA (Entre semana 20 y 26)" dataDxfId="617" dataCellStyle="Normal 2"/>
    <tableColumn id="131" xr3:uid="{00000000-0010-0000-0000-000083000000}" name="ALARMA 2 T.A.  ENTRE SEMANA 20 Y 26 " dataDxfId="616"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615"/>
    <tableColumn id="133" xr3:uid="{00000000-0010-0000-0000-000085000000}" name="TA. DIASTOLICA SEM 30 A 34" dataDxfId="614" dataCellStyle="Normal 2"/>
    <tableColumn id="134" xr3:uid="{00000000-0010-0000-0000-000086000000}" name="TA SISTOLICA SEM 35 A 37 ULTIMO CONTROL" dataDxfId="613" dataCellStyle="Normal 2"/>
    <tableColumn id="135" xr3:uid="{00000000-0010-0000-0000-000087000000}" name="TA DIASTOLICA SEM 35 A 37 ULTIMO CONTROL" dataDxfId="612" dataCellStyle="Normal 2"/>
    <tableColumn id="136" xr3:uid="{00000000-0010-0000-0000-000088000000}" name="ALARMA 3 T.A.  III TRIMESTRE" dataDxfId="611"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610" dataCellStyle="Normal 2"/>
    <tableColumn id="138" xr3:uid="{00000000-0010-0000-0000-00008A000000}" name="FECHA ASESORIA EN ANTICONCEPCION DURANTE CPN" dataDxfId="609" dataCellStyle="Normal 2"/>
    <tableColumn id="139" xr3:uid="{00000000-0010-0000-0000-00008B000000}" name="FECHA C2" dataDxfId="608" dataCellStyle="Normal 2"/>
    <tableColumn id="144" xr3:uid="{00000000-0010-0000-0000-000090000000}" name="FECHA C3" dataDxfId="607" dataCellStyle="Normal 2"/>
    <tableColumn id="145" xr3:uid="{00000000-0010-0000-0000-000091000000}" name="FECHA C4" dataDxfId="606" dataCellStyle="Normal 2"/>
    <tableColumn id="146" xr3:uid="{00000000-0010-0000-0000-000092000000}" name="FECHA C5" dataDxfId="605" dataCellStyle="Normal 2"/>
    <tableColumn id="147" xr3:uid="{00000000-0010-0000-0000-000093000000}" name="FECHA C6" dataDxfId="604" dataCellStyle="Normal 2"/>
    <tableColumn id="148" xr3:uid="{00000000-0010-0000-0000-000094000000}" name="FECHA C7" dataDxfId="603" dataCellStyle="Normal 2"/>
    <tableColumn id="149" xr3:uid="{00000000-0010-0000-0000-000095000000}" name="FECHA C8" dataDxfId="602" dataCellStyle="Normal 2"/>
    <tableColumn id="150" xr3:uid="{00000000-0010-0000-0000-000096000000}" name="FECHA C9" dataDxfId="601" dataCellStyle="Normal 2"/>
    <tableColumn id="151" xr3:uid="{00000000-0010-0000-0000-000097000000}" name="FECHA C10" dataDxfId="600" dataCellStyle="Normal 2"/>
    <tableColumn id="152" xr3:uid="{00000000-0010-0000-0000-000098000000}" name="FECHA C11" dataDxfId="599" dataCellStyle="Normal 2"/>
    <tableColumn id="153" xr3:uid="{00000000-0010-0000-0000-000099000000}" name="FECHA C12" dataDxfId="598" dataCellStyle="Normal 2"/>
    <tableColumn id="83" xr3:uid="{00000000-0010-0000-0000-000053000000}" name="FECHA C13" dataDxfId="597" dataCellStyle="Normal 2"/>
    <tableColumn id="341" xr3:uid="{00000000-0010-0000-0000-000055010000}" name="CURSO DE MATERNIDAD Y PATERNIDAD" dataDxfId="596" dataCellStyle="Normal 2"/>
    <tableColumn id="342" xr3:uid="{00000000-0010-0000-0000-000056010000}" name="FECHA DE CONCERTACIÓN PLAN DE PARTO (Soporte HC)" dataDxfId="595" dataCellStyle="Normal 2"/>
    <tableColumn id="343" xr3:uid="{00000000-0010-0000-0000-000057010000}" name="ALERTA DE PLAN DE PARTO" dataDxfId="594"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93"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92"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91"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590"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89"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88" dataCellStyle="Normal 2">
      <calculatedColumnFormula>IF(R2&gt;0,SUM(COUNTA(DC2:DN2)+COUNTA(Tabla1[[#This Row],[FECHA CONSULTA PRIMERA VEZ PROGRAMA CPN ]])),"")</calculatedColumnFormula>
    </tableColumn>
    <tableColumn id="155" xr3:uid="{00000000-0010-0000-0000-00009B000000}" name="ADHERENCIA AL CPN" dataDxfId="587" dataCellStyle="Normal 2">
      <calculatedColumnFormula>IF(AND(DW2&gt;=0,DW2&lt;4),"NO",IF(AND(DW2&gt;=4,DW2&lt;12),"SI",""))</calculatedColumnFormula>
    </tableColumn>
    <tableColumn id="156" xr3:uid="{00000000-0010-0000-0000-00009C000000}" name="CONTROLES PROGRAMADOS " dataDxfId="586" dataCellStyle="Normal 2">
      <calculatedColumnFormula>IF(BO2="","",IF(BO2&gt;0,INT(SUM(((40-BO2)/4)+2)),"X"))</calculatedColumnFormula>
    </tableColumn>
    <tableColumn id="157" xr3:uid="{00000000-0010-0000-0000-00009D000000}" name="% CUMPLIM INDIVIDUAL" dataDxfId="585" dataCellStyle="Normal 2">
      <calculatedColumnFormula>IF(DY2="","",IF(DW2&gt;0,SUM(DW2/DY2),"X"))</calculatedColumnFormula>
    </tableColumn>
    <tableColumn id="158" xr3:uid="{00000000-0010-0000-0000-00009E000000}" name="FECHA  REMISION PSICOLOGIA" dataDxfId="584" dataCellStyle="Normal 2"/>
    <tableColumn id="159" xr3:uid="{00000000-0010-0000-0000-00009F000000}" name="FECHA ASISTENCIA A CONSULTA PSICOLOGIA" dataDxfId="583" dataCellStyle="Normal 2"/>
    <tableColumn id="160" xr3:uid="{00000000-0010-0000-0000-0000A0000000}" name="FECHA  REMISION NUTRICION" dataDxfId="582" dataCellStyle="Normal 2"/>
    <tableColumn id="161" xr3:uid="{00000000-0010-0000-0000-0000A1000000}" name="FECHA ASISTENCIA A CONSULTA NUTRICION" dataDxfId="581" dataCellStyle="Normal 2"/>
    <tableColumn id="162" xr3:uid="{00000000-0010-0000-0000-0000A2000000}" name="FECHA  REMISION GINECOLOGO" dataDxfId="580" dataCellStyle="Normal 2"/>
    <tableColumn id="163" xr3:uid="{00000000-0010-0000-0000-0000A3000000}" name="FECHA ASISTENCIA PRIMERA VEZ CON GINECOLOGÍA" dataDxfId="579" dataCellStyle="Normal 2"/>
    <tableColumn id="250" xr3:uid="{00000000-0010-0000-0000-0000FA000000}" name="FECHA ULTIMA ASISTENCIA A CONSULTA GINECO" dataDxfId="578" dataCellStyle="Normal 2"/>
    <tableColumn id="164" xr3:uid="{00000000-0010-0000-0000-0000A4000000}" name="No CONSULTAS GINECOLOGO" dataDxfId="577" dataCellStyle="Normal 2"/>
    <tableColumn id="165" xr3:uid="{00000000-0010-0000-0000-0000A5000000}" name="RESULTADO HEMOGLOBINA INGRESO" dataDxfId="576" dataCellStyle="Normal 2"/>
    <tableColumn id="167" xr3:uid="{00000000-0010-0000-0000-0000A7000000}" name="FECHA RESULTADO HB" dataDxfId="575" dataCellStyle="Normal 2"/>
    <tableColumn id="168" xr3:uid="{00000000-0010-0000-0000-0000A8000000}" name="EDAD GESTACIONAL HB" dataDxfId="574"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73"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72"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71" dataCellStyle="Normal 2"/>
    <tableColumn id="171" xr3:uid="{00000000-0010-0000-0000-0000AB000000}" name="FECHA RESULTADO HB SEM 28" dataDxfId="570" dataCellStyle="Normal 2"/>
    <tableColumn id="172" xr3:uid="{00000000-0010-0000-0000-0000AC000000}" name="EDAD GESTACIONAL HB - SEM 28" dataDxfId="569"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68"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67" dataCellStyle="Normal 2"/>
    <tableColumn id="175" xr3:uid="{00000000-0010-0000-0000-0000AF000000}" name="FECHA RESULTADO GRUPO SANGUINEO" dataDxfId="566" dataCellStyle="Normal 2"/>
    <tableColumn id="176" xr3:uid="{00000000-0010-0000-0000-0000B0000000}" name="EDAD GESTACIONAL GRUPO SANGUINEO" dataDxfId="565"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64"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63" dataCellStyle="Normal 2"/>
    <tableColumn id="179" xr3:uid="{00000000-0010-0000-0000-0000B3000000}" name="FECHA GLICEMIA" dataDxfId="562" dataCellStyle="Normal 2"/>
    <tableColumn id="180" xr3:uid="{00000000-0010-0000-0000-0000B4000000}" name="EDAD GESTACIONAL GLICEMIA" dataDxfId="561"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60" dataCellStyle="Normal 2"/>
    <tableColumn id="185" xr3:uid="{00000000-0010-0000-0000-0000B9000000}" name="PTOG. carga 75 gr 1 HORA - VALOR" dataDxfId="559" dataCellStyle="Normal 2"/>
    <tableColumn id="186" xr3:uid="{00000000-0010-0000-0000-0000BA000000}" name="PTOG. carga 75 gr 2 HORA - VALOR" dataDxfId="558" dataCellStyle="Normal 2"/>
    <tableColumn id="187" xr3:uid="{00000000-0010-0000-0000-0000BB000000}" name="PTOG. carga 75 gr - RESULTADO" dataDxfId="557"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56" dataCellStyle="Normal 2"/>
    <tableColumn id="189" xr3:uid="{00000000-0010-0000-0000-0000BD000000}" name="EDAD GESTACIONAL P.T.O.G" dataDxfId="555"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54" dataCellStyle="Normal 2"/>
    <tableColumn id="200" xr3:uid="{00000000-0010-0000-0000-0000C8000000}" name="FECHA RESULTADO I TRIM" dataDxfId="553" dataCellStyle="Normal 2"/>
    <tableColumn id="201" xr3:uid="{00000000-0010-0000-0000-0000C9000000}" name="ALARMA TAMIZAJE SIFILIS I TRIMESTRE" dataDxfId="552"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51" dataCellStyle="Normal 2"/>
    <tableColumn id="203" xr3:uid="{00000000-0010-0000-0000-0000CB000000}" name="FECHA RESULTADO PR-  II TRIM" dataDxfId="550" dataCellStyle="Normal 2"/>
    <tableColumn id="204" xr3:uid="{00000000-0010-0000-0000-0000CC000000}" name="ALARMA TAMIZAJE SIFILIS II TRIMESTRE2" dataDxfId="549"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48" dataCellStyle="Normal 2"/>
    <tableColumn id="206" xr3:uid="{00000000-0010-0000-0000-0000CE000000}" name="FECHA RESULTADO PR-  III TRIM" dataDxfId="547" dataCellStyle="Normal 2"/>
    <tableColumn id="207" xr3:uid="{00000000-0010-0000-0000-0000CF000000}" name="ALARMA TAMIZAJE SIFILIS III TRIMESTRE22" dataDxfId="546"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45" dataCellStyle="Normal 2"/>
    <tableColumn id="209" xr3:uid="{00000000-0010-0000-0000-0000D1000000}" name="FECHA RESULTADO PR INTRAPARTO" dataDxfId="544" dataCellStyle="Normal 2"/>
    <tableColumn id="210" xr3:uid="{00000000-0010-0000-0000-0000D2000000}" name="ALARMA CONSOLIDADA CASOS SIFILIS GESTACIONAL" dataDxfId="543"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42" dataCellStyle="Normal 2"/>
    <tableColumn id="216" xr3:uid="{00000000-0010-0000-0000-0000D8000000}" name="FECHA RESULTADO UROANALISIS ULTIMO" dataDxfId="541" dataCellStyle="Normal 2"/>
    <tableColumn id="217" xr3:uid="{00000000-0010-0000-0000-0000D9000000}" name="EDAD GESTACIONAL UROANALSIS ULTIMO" dataDxfId="540"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39" dataCellStyle="Normal 2"/>
    <tableColumn id="219" xr3:uid="{00000000-0010-0000-0000-0000DB000000}" name="FECHA RESULTADO UROCULTIVO" dataDxfId="538" dataCellStyle="Normal 2"/>
    <tableColumn id="220" xr3:uid="{00000000-0010-0000-0000-0000DC000000}" name="EDAD GESTACIONAL UROCULTIVO" dataDxfId="537"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36"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35" dataCellStyle="Normal 2"/>
    <tableColumn id="223" xr3:uid="{00000000-0010-0000-0000-0000DF000000}" name="TAMIZAJE  PARA VIH I TRIM" dataDxfId="534" dataCellStyle="Normal 2"/>
    <tableColumn id="224" xr3:uid="{00000000-0010-0000-0000-0000E0000000}" name="FECHA RESULTADO TAMIZAJE VIH I TRIMESTRE" dataDxfId="533" dataCellStyle="Normal 2"/>
    <tableColumn id="225" xr3:uid="{00000000-0010-0000-0000-0000E1000000}" name="ALARMA TAMIZAJE VIH - I TRIM" dataDxfId="532"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31" dataCellStyle="Normal 2"/>
    <tableColumn id="103" xr3:uid="{00000000-0010-0000-0000-000067000000}" name="FECHA RESULTADO TAMIZAJE VIH II TRIM" dataDxfId="530" dataCellStyle="Normal 2"/>
    <tableColumn id="345" xr3:uid="{00000000-0010-0000-0000-000059010000}" name="ALARMA TAMIZAJE VIH - II TRIM" dataDxfId="529"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28" dataCellStyle="Normal 2"/>
    <tableColumn id="228" xr3:uid="{00000000-0010-0000-0000-0000E4000000}" name="FECHA RESULTADO TAMIZAJE VIH III TRIM" dataDxfId="527" dataCellStyle="Normal 2"/>
    <tableColumn id="229" xr3:uid="{00000000-0010-0000-0000-0000E5000000}" name="ALARMA TAMIZAJE VIH - III TRIM" dataDxfId="526"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25" dataCellStyle="Normal 2"/>
    <tableColumn id="91" xr3:uid="{00000000-0010-0000-0000-00005B000000}" name="FECHA RESULTADO TAMIZAJE INTRAPARTO" dataDxfId="524" dataCellStyle="Normal 2"/>
    <tableColumn id="84" xr3:uid="{00000000-0010-0000-0000-000054000000}" name="SEGUNDA PRUEBA ELISA O PR PARA DEFINIR DIAGNOSTICO VIH SEGÚN PROTOCOLO INS" dataDxfId="523" dataCellStyle="Normal 2"/>
    <tableColumn id="140" xr3:uid="{00000000-0010-0000-0000-00008C000000}" name="FECHA RESULTADO SEGUNDA PRUEBA ELISA O PR PARA DEFINIR DIAGNOSTICO VIH SEGÚN PROTOCOLO INS" dataDxfId="522" dataCellStyle="Normal 2"/>
    <tableColumn id="141" xr3:uid="{00000000-0010-0000-0000-00008D000000}" name="RESULTADO CARGA VIRAL SEGÚN PROTOCOLO INS" dataDxfId="521" dataCellStyle="Normal 2"/>
    <tableColumn id="142" xr3:uid="{00000000-0010-0000-0000-00008E000000}" name="FECHA RESULTADO CARGA VIRAL SEGÚN PROTOCOLO INS" dataDxfId="520" dataCellStyle="Normal 2"/>
    <tableColumn id="143" xr3:uid="{00000000-0010-0000-0000-00008F000000}" name="RESULTADO HEP B ANTIGENO SUPERFICIE" dataDxfId="519" dataCellStyle="Normal 2"/>
    <tableColumn id="232" xr3:uid="{00000000-0010-0000-0000-0000E8000000}" name="FECHA RESULTADO H ASB" dataDxfId="518" dataCellStyle="Normal 2"/>
    <tableColumn id="233" xr3:uid="{00000000-0010-0000-0000-0000E9000000}" name="EDAD GESTACIONAL18" dataDxfId="517"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516" dataCellStyle="Normal 2"/>
    <tableColumn id="236" xr3:uid="{00000000-0010-0000-0000-0000EC000000}" name="RESULTADO CONFIRM. TOXO. IgM" dataDxfId="515" dataCellStyle="Normal 2"/>
    <tableColumn id="237" xr3:uid="{00000000-0010-0000-0000-0000ED000000}" name="ALARMA TOXOPLASMOSIS" dataDxfId="514"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513" dataCellStyle="Normal 2"/>
    <tableColumn id="239" xr3:uid="{00000000-0010-0000-0000-0000EF000000}" name="EDAD GESTACIONAL21" dataDxfId="512"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511"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510" dataCellStyle="Normal 2"/>
    <tableColumn id="243" xr3:uid="{00000000-0010-0000-0000-0000F3000000}" name="NUMERO VECES TOMA TOXOPLASMA IgM - Control" dataDxfId="509" dataCellStyle="Normal 2"/>
    <tableColumn id="244" xr3:uid="{00000000-0010-0000-0000-0000F4000000}" name="RESULTADO ULTIMA CITOLOGIA (SEGÚN NORMA Y VIGENTE)" dataDxfId="508" dataCellStyle="Normal 2"/>
    <tableColumn id="245" xr3:uid="{00000000-0010-0000-0000-0000F5000000}" name="FECHA RESULTADO2" dataDxfId="507" dataCellStyle="Normal 2"/>
    <tableColumn id="246" xr3:uid="{00000000-0010-0000-0000-0000F6000000}" name="TIEMPO DE LA TOMA" dataDxfId="506" dataCellStyle="Normal 2">
      <calculatedColumnFormula>IF(GZ2&gt;0,SUM(GZ2-BK2)/7,"")</calculatedColumnFormula>
    </tableColumn>
    <tableColumn id="247" xr3:uid="{00000000-0010-0000-0000-0000F7000000}" name="CLASIFICACION TIEMPO TOMA" dataDxfId="505"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504"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503" dataCellStyle="Normal 2"/>
    <tableColumn id="368" xr3:uid="{00000000-0010-0000-0000-000070010000}" name="FECHA RESULTADO TAMIZAJE CHAGAS" dataDxfId="502" dataCellStyle="Normal 2"/>
    <tableColumn id="356" xr3:uid="{00000000-0010-0000-0000-000064010000}" name="TAMIZAJE INICIAL DE GOTA GRUESA PARA MALARIA (En zonas endémicas)" dataDxfId="501" dataCellStyle="Normal 2"/>
    <tableColumn id="352" xr3:uid="{00000000-0010-0000-0000-000060010000}" name="FECHA RESULTADO TAMIZAJE INICIAL GOTA GRUESA PARA MALARIA" dataDxfId="500" dataCellStyle="Normal 2"/>
    <tableColumn id="351" xr3:uid="{00000000-0010-0000-0000-00005F010000}" name="RESULTADO ULTIMO TAMIZAJE GOTA GRUESA (Para Zonas endémicas)" dataDxfId="499" dataCellStyle="Normal 2"/>
    <tableColumn id="346" xr3:uid="{00000000-0010-0000-0000-00005A010000}" name="NUMERO TAMIZAJES TOMADOS DE GOTA GRUESA PARA MALARIA (Debe ser mensual para zonas endémicas)" dataDxfId="498" dataCellStyle="Normal 2"/>
    <tableColumn id="249" xr3:uid="{00000000-0010-0000-0000-0000F9000000}" name="DIAGNOSTICO POSITIVO COVID19 - INFECCIÓN POR SARS CoV2" dataDxfId="497" dataCellStyle="Normal 2"/>
    <tableColumn id="252" xr3:uid="{00000000-0010-0000-0000-0000FC000000}" name="ENFERMEDADES PROPIAS O CULTURALES" dataDxfId="496"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95"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94"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493"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92"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491"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90"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489"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88" dataCellStyle="Normal 2"/>
    <tableColumn id="102" xr3:uid="{00000000-0010-0000-0000-000066000000}" name="SUMINISTRO DE ASA SEGÚN GPC" dataDxfId="487" dataCellStyle="Normal 2"/>
    <tableColumn id="23" xr3:uid="{00000000-0010-0000-0000-000017000000}" name="FECHA INICIO SUMINISTRO CALCIO" dataDxfId="486" dataCellStyle="Normal 2"/>
    <tableColumn id="181" xr3:uid="{00000000-0010-0000-0000-0000B5000000}" name="SUMINISTRO CALCIO " dataDxfId="485" dataCellStyle="Normal 2"/>
    <tableColumn id="60" xr3:uid="{00000000-0010-0000-0000-00003C000000}" name="FECHA INICIO SUMINISTRO ACIDO FOLICO " dataDxfId="484" dataCellStyle="Normal 2"/>
    <tableColumn id="241" xr3:uid="{00000000-0010-0000-0000-0000F1000000}" name="SUMINISTRO DE ACIDO FOLICO " dataDxfId="483" dataCellStyle="Normal 2"/>
    <tableColumn id="256" xr3:uid="{00000000-0010-0000-0000-000000010000}" name="FECHA INICIO SUMINISTRO SULFATO FERROSO " dataDxfId="482" dataCellStyle="Normal 2"/>
    <tableColumn id="254" xr3:uid="{00000000-0010-0000-0000-0000FE000000}" name="SUMINISTRO DE SULFATO FERROSO " dataDxfId="481" dataCellStyle="Normal 2"/>
    <tableColumn id="257" xr3:uid="{00000000-0010-0000-0000-000001010000}" name="SUPLEMENTACION ALIMENTARIA  O DIRECCIONAMIENTO A AUTONOMIA ALIMENTARIA" dataDxfId="480" dataCellStyle="Normal 2"/>
    <tableColumn id="63" xr3:uid="{00000000-0010-0000-0000-00003F000000}" name="FECHA CONSULTA DE 1RA VEZ POR ODONTOLOGIA" dataDxfId="479" dataCellStyle="Normal 2"/>
    <tableColumn id="258" xr3:uid="{00000000-0010-0000-0000-000002010000}" name="SEMANAS DE GESTACION A LA CONSULTA ODONTOLOGICA" dataDxfId="478"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77" dataCellStyle="Normal 2"/>
    <tableColumn id="388" xr3:uid="{00000000-0010-0000-0000-000084010000}" name="Tipo Biológico Vacuna anti COVID-19 (Disentimiento)" dataDxfId="476"/>
    <tableColumn id="386" xr3:uid="{00000000-0010-0000-0000-000082010000}" name="Fecha 1ra Dosis Anti COVID-19" dataDxfId="475"/>
    <tableColumn id="336" xr3:uid="{00000000-0010-0000-0000-000050010000}" name="Tipo Biológico Vacuna anti COVID-19 (2da Dosis)" dataDxfId="474"/>
    <tableColumn id="382" xr3:uid="{00000000-0010-0000-0000-00007E010000}" name="Fecha 2da Dosis Anti COVID-19" dataDxfId="473"/>
    <tableColumn id="339" xr3:uid="{00000000-0010-0000-0000-000053010000}" name="Tipo Biológico Vacuna anti COVID-19 (Refuerzo)" dataDxfId="472"/>
    <tableColumn id="335" xr3:uid="{00000000-0010-0000-0000-00004F010000}" name="Fecha Refuerzo Anti COVID-20" dataDxfId="471"/>
    <tableColumn id="381" xr3:uid="{00000000-0010-0000-0000-00007D010000}" name="Alarma Vacunación Anti COVID-19" dataDxfId="470">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69" dataCellStyle="Normal 2"/>
    <tableColumn id="268" xr3:uid="{00000000-0010-0000-0000-00000C010000}" name="FECHA VACUNA DPT ACELULAR" dataDxfId="468" dataCellStyle="Normal 2"/>
    <tableColumn id="269" xr3:uid="{00000000-0010-0000-0000-00000D010000}" name="ALARMA DPT ACELULAR" dataDxfId="467"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66" dataCellStyle="Normal 2"/>
    <tableColumn id="271" xr3:uid="{00000000-0010-0000-0000-00000F010000}" name="FPP2" dataDxfId="465" dataCellStyle="Normal 2">
      <calculatedColumnFormula>IF(OR(BL2="SI",BL2="Corregida",BL2="NO"),(BK2+280),IF(BL2="Sin Dato","DEFINIR FPP POR ECO",""))</calculatedColumnFormula>
    </tableColumn>
    <tableColumn id="72" xr3:uid="{00000000-0010-0000-0000-000048000000}" name="DIAS PARA EL PARTO2" dataDxfId="464" dataCellStyle="Normal 2">
      <calculatedColumnFormula>IF(OR(IP2="DEFINIR FPP POR ECO",BP2="ERROR FUM O INGRESO"),"SIN DEFINIR",IF(IP2="","",IF(IP2&gt;0,SUM(IP2-TODAY()),"X")))</calculatedColumnFormula>
    </tableColumn>
    <tableColumn id="70" xr3:uid="{00000000-0010-0000-0000-000046000000}" name="ALERTA PARA PARTO3" dataDxfId="463"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62" dataCellStyle="Normal 2"/>
    <tableColumn id="273" xr3:uid="{00000000-0010-0000-0000-000011010000}" name="SALE DEL PROGRAMA POR" dataDxfId="461" dataCellStyle="Normal 2"/>
    <tableColumn id="275" xr3:uid="{00000000-0010-0000-0000-000013010000}" name=" EVENTO DE INTERES EN SALUD PÚBLICA DE LA MADRE" dataDxfId="460" dataCellStyle="Normal 2"/>
    <tableColumn id="276" xr3:uid="{00000000-0010-0000-0000-000014010000}" name=" EVENTO DE INTERES EN SALUD PÚBLICA DEL RECIÉN NACIDO2" dataDxfId="459" dataCellStyle="Normal 2"/>
    <tableColumn id="277" xr3:uid="{00000000-0010-0000-0000-000015010000}" name="FECHA DE SALIDA  DEL PROGRAMA" dataDxfId="458" dataCellStyle="Normal 2"/>
    <tableColumn id="278" xr3:uid="{00000000-0010-0000-0000-000016010000}" name="LUGAR DE ATENCION DEL PARTO" dataDxfId="457" dataCellStyle="Normal 2"/>
    <tableColumn id="281" xr3:uid="{00000000-0010-0000-0000-000019010000}" name="EDAD GESTACIONAL SALIDA PROGRAMA" dataDxfId="456" dataCellStyle="Normal 2">
      <calculatedColumnFormula>IF(AND(IW2&gt;0,IT2&lt;&gt;""),SUM(IW2-BK2)/7,"")</calculatedColumnFormula>
    </tableColumn>
    <tableColumn id="282" xr3:uid="{00000000-0010-0000-0000-00001A010000}" name="NOMBRE DE LA INSTITUCION DONDE SE ATENDIO EL PARTO O LUGAR ESPECIFICO DEL PARTO SI APLICA" dataDxfId="455" dataCellStyle="Normal 2"/>
    <tableColumn id="283" xr3:uid="{00000000-0010-0000-0000-00001B010000}" name="NIVEL DE COMPLEJIDAD DE LA ATENCION DE LA INSTITUCION DONDE SE ATENDIO EL PARTO" dataDxfId="454" dataCellStyle="Normal 2"/>
    <tableColumn id="284" xr3:uid="{00000000-0010-0000-0000-00001C010000}" name="PROFESIONAL O PERSONA QUE ATIENDE EL PARTO" dataDxfId="453" dataCellStyle="Normal 2"/>
    <tableColumn id="373" xr3:uid="{00000000-0010-0000-0000-000075010000}" name="INICIO TRABAJO DE PARTO" dataDxfId="452" dataCellStyle="Normal 2"/>
    <tableColumn id="285" xr3:uid="{00000000-0010-0000-0000-00001D010000}" name="ACOMPAÑAMIENTO POR PERSONA DE CONFIANZA DURANTE TRABAJO DE PARTO Y PARTO" dataDxfId="451" dataCellStyle="Normal 2"/>
    <tableColumn id="251" xr3:uid="{00000000-0010-0000-0000-0000FB000000}" name="DILIGENCIAMIENTO DE PARTOGRAMA (NO APLICA EN EXPULSIVO)" dataDxfId="450" dataCellStyle="Normal 2"/>
    <tableColumn id="261" xr3:uid="{00000000-0010-0000-0000-000005010000}" name="MANEJO ACTIVO DEL TERCER PERIODO DEL PARTO (USO OXITOCINA,MASAJE UTERINO Y TRACCIÓN SOSTENIDA DE CORDÓN)2" dataDxfId="449" dataCellStyle="Normal 2"/>
    <tableColumn id="262" xr3:uid="{00000000-0010-0000-0000-000006010000}" name="CONTACTO PIEL A PIEL DURANTE MÍNIMO 30 MINUTOS " dataDxfId="448" dataCellStyle="Normal 2"/>
    <tableColumn id="263" xr3:uid="{00000000-0010-0000-0000-000007010000}" name="INICIO DE LACTANCIA MATERNA DURANTE EL CONTACTO PIEL A PIEL O EN LA PRIMERA HORA DE VIDA" dataDxfId="447" dataCellStyle="Normal 2"/>
    <tableColumn id="92" xr3:uid="{00000000-0010-0000-0000-00005C000000}" name="MONITORIA CADA 15 MINUTOS DE SIGNOS VITALES DURANTES LAS PRIMERAS DOS HORAS POSTPARTO (SOPORTE EN HC - 8 VALORACIONES EN LAS PRIMERAS 2 HORAS)" dataDxfId="446" dataCellStyle="Normal 2"/>
    <tableColumn id="264" xr3:uid="{00000000-0010-0000-0000-000008010000}" name="COMPLICACIONES POSTPARTO - HASTA 42 DÍAS" dataDxfId="445" dataCellStyle="Normal 2"/>
    <tableColumn id="286" xr3:uid="{00000000-0010-0000-0000-00001E010000}" name="NUMERO NACIDOS VIVOS" dataDxfId="444" dataCellStyle="Normal 2"/>
    <tableColumn id="288" xr3:uid="{00000000-0010-0000-0000-000020010000}" name="SEXO RN" dataDxfId="443" dataCellStyle="Normal 2"/>
    <tableColumn id="289" xr3:uid="{00000000-0010-0000-0000-000021010000}" name="PESO RN  EN GRAMOS" dataDxfId="442" dataCellStyle="Normal 2"/>
    <tableColumn id="290" xr3:uid="{00000000-0010-0000-0000-000022010000}" name="PESO AL NACER POR EDAD GESTACIONAL" dataDxfId="441"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40" dataCellStyle="Normal 2"/>
    <tableColumn id="294" xr3:uid="{00000000-0010-0000-0000-000026010000}" name="RESULTADO TSH" dataDxfId="439" dataCellStyle="Normal 2"/>
    <tableColumn id="295" xr3:uid="{00000000-0010-0000-0000-000027010000}" name=" FECHA RESULTADO TSH" dataDxfId="438" dataCellStyle="Normal 2"/>
    <tableColumn id="296" xr3:uid="{00000000-0010-0000-0000-000028010000}" name="APLICACIÓN DE VIT K" dataDxfId="437" dataCellStyle="Normal 2"/>
    <tableColumn id="297" xr3:uid="{00000000-0010-0000-0000-000029010000}" name="GRUPO SANGUINEO RN" dataDxfId="436" dataCellStyle="Normal 2"/>
    <tableColumn id="298" xr3:uid="{00000000-0010-0000-0000-00002A010000}" name="FECHA APLICACIÓN VACUNA HEPATITIS B" dataDxfId="435" dataCellStyle="Normal 2"/>
    <tableColumn id="299" xr3:uid="{00000000-0010-0000-0000-00002B010000}" name="FECHA APLICACIÓN VACUNA BCG" dataDxfId="434" dataCellStyle="Normal 2"/>
    <tableColumn id="300" xr3:uid="{00000000-0010-0000-0000-00002C010000}" name="SEXO RN 2" dataDxfId="433" dataCellStyle="Normal 2"/>
    <tableColumn id="301" xr3:uid="{00000000-0010-0000-0000-00002D010000}" name="PESO RN 2 EN GRAMOS2" dataDxfId="432" dataCellStyle="Normal 2"/>
    <tableColumn id="302" xr3:uid="{00000000-0010-0000-0000-00002E010000}" name="PESO AL NACER POR EDAD GESTACIONAL RN 2" dataDxfId="431"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30" dataCellStyle="Normal 2"/>
    <tableColumn id="306" xr3:uid="{00000000-0010-0000-0000-000032010000}" name="RESULTADO TSH 2" dataDxfId="429" dataCellStyle="Normal 2"/>
    <tableColumn id="307" xr3:uid="{00000000-0010-0000-0000-000033010000}" name=" FECHA RESULTADO TSH 2" dataDxfId="428" dataCellStyle="Normal 2"/>
    <tableColumn id="308" xr3:uid="{00000000-0010-0000-0000-000034010000}" name="APLICACIÓN DE VIT K 2" dataDxfId="427" dataCellStyle="Normal 2"/>
    <tableColumn id="309" xr3:uid="{00000000-0010-0000-0000-000035010000}" name="GRUPO SANGUINEO RN 2" dataDxfId="426" dataCellStyle="Normal 2"/>
    <tableColumn id="310" xr3:uid="{00000000-0010-0000-0000-000036010000}" name="FECHA APLICACIÓN VACUNA HEPATITIS B 2" dataDxfId="425" dataCellStyle="Normal 2"/>
    <tableColumn id="311" xr3:uid="{00000000-0010-0000-0000-000037010000}" name="FECHA APLICACIÓN VACUNA BCG 2" dataDxfId="424" dataCellStyle="Normal 2"/>
    <tableColumn id="312" xr3:uid="{00000000-0010-0000-0000-000038010000}" name="CONTROL RN FECHA ASISTIO " dataDxfId="423" dataCellStyle="Normal 2"/>
    <tableColumn id="313" xr3:uid="{00000000-0010-0000-0000-000039010000}" name="ALARMA 1 CONTROL RN" dataDxfId="422"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421" dataCellStyle="Normal 2"/>
    <tableColumn id="316" xr3:uid="{00000000-0010-0000-0000-00003C010000}" name="ALARMA CONTROL PUERPERIO" dataDxfId="420"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419" dataCellStyle="Normal 2"/>
    <tableColumn id="265" xr3:uid="{00000000-0010-0000-0000-000009010000}" name="ASESORIA EN PLANIFICACIÓN FAMILIAR POST EVENTO OBSTETRICO EN AMBITO HOSPITALARIO" dataDxfId="418" dataCellStyle="Normal 2"/>
    <tableColumn id="240" xr3:uid="{00000000-0010-0000-0000-0000F0000000}" name="PUERPERA SALE CON PLANIFICACIÓN FAMILIAR POST EVENTO OBSTETRICO " dataDxfId="417" dataCellStyle="Normal 2"/>
    <tableColumn id="97" xr3:uid="{00000000-0010-0000-0000-000061000000}" name="FECHA INSCRIPCION A PLANIFICACION FAMILIAR2" dataDxfId="416" dataCellStyle="Normal 2"/>
    <tableColumn id="319" xr3:uid="{00000000-0010-0000-0000-00003F010000}" name="METODO DE ANTICONCEPCION INICIADO POSTPARTO" dataDxfId="415" dataCellStyle="Normal 2"/>
    <tableColumn id="320" xr3:uid="{00000000-0010-0000-0000-000040010000}" name="TIPO DE APOYO REALIZADO POR LA EPS" dataDxfId="414" dataCellStyle="Normal 2"/>
    <tableColumn id="321" xr3:uid="{00000000-0010-0000-0000-000041010000}" name="TIPO DE APOYO REALIZADO POR LA IPS PRIMARIA" dataDxfId="413" dataCellStyle="Normal 2"/>
    <tableColumn id="322" xr3:uid="{00000000-0010-0000-0000-000042010000}" name="FECHA SEGUIMIENTO INICIAL POR PERSONAL DE SALUD EN TERRENO" dataDxfId="412" dataCellStyle="Normal 2"/>
    <tableColumn id="304" xr3:uid="{00000000-0010-0000-0000-000030010000}" name="FECHA ÚLTIMO SEGUIMIENTO" dataDxfId="411" dataCellStyle="Normal 2"/>
    <tableColumn id="318" xr3:uid="{00000000-0010-0000-0000-00003E010000}" name="NÚMERO DE SEGUIMIENTOS CPN" dataDxfId="410" dataCellStyle="Normal 2"/>
    <tableColumn id="183" xr3:uid="{00000000-0010-0000-0000-0000B7000000}" name="HALLAZGO GESTACIÓN SEGUIMIENTO POR VISITA DOMICILIARIA" dataDxfId="409" dataCellStyle="Normal 2"/>
    <tableColumn id="332" xr3:uid="{00000000-0010-0000-0000-00004C010000}" name="FECHA SEGUIMIENTOS TELÉFONICOS" dataDxfId="408" dataCellStyle="Normal 2"/>
    <tableColumn id="266" xr3:uid="{00000000-0010-0000-0000-00000A010000}" name="NÚMERO SEGUIMIENTOS TELÉFONCOS" dataDxfId="407" dataCellStyle="Normal 2"/>
    <tableColumn id="267" xr3:uid="{00000000-0010-0000-0000-00000B010000}" name="OBSERVACIÓN SEGUIMIENTO TELÉFONCO" dataDxfId="406" dataCellStyle="Normal 2"/>
    <tableColumn id="272" xr3:uid="{00000000-0010-0000-0000-000010010000}" name="FECHA SEGUIMIENTO POR PERSONAL DE SALUD EN TERRENO  EN PUERPERIO" dataDxfId="405" dataCellStyle="Normal 2"/>
    <tableColumn id="344" xr3:uid="{00000000-0010-0000-0000-000058010000}" name="HALLAZGOS ACOMPAÑAMIENTO PERSONAL DE SALUD PUERPERA" dataDxfId="404" dataCellStyle="Normal 2"/>
    <tableColumn id="347" xr3:uid="{00000000-0010-0000-0000-00005B010000}" name="HALLAZGOS ACOMPAÑAMIENTO PERSONAL DE SALUD RECIEN NACIDO" dataDxfId="403" dataCellStyle="Normal 2"/>
    <tableColumn id="348" xr3:uid="{00000000-0010-0000-0000-00005C010000}" name="FECHA ULTIMO SEGUIMIENTO POR PERSONAL DE SALUD EN TERRENO  EN PUERPERIO" dataDxfId="402" dataCellStyle="Normal 2"/>
    <tableColumn id="349" xr3:uid="{00000000-0010-0000-0000-00005D010000}" name="NÚMERO DE SEGUIMIENTOS EN PUERPERIO" dataDxfId="401" dataCellStyle="Normal 2"/>
    <tableColumn id="350" xr3:uid="{00000000-0010-0000-0000-00005E010000}" name="FECHA PRIMER ACOMPAÑAMIENTO SABEDOR ANCESTRAL" dataDxfId="400" dataCellStyle="Normal 2"/>
    <tableColumn id="22" xr3:uid="{00000000-0010-0000-0000-000016000000}" name="TIPO DE SABEDOR" dataDxfId="399" dataCellStyle="Normal 2"/>
    <tableColumn id="191" xr3:uid="{00000000-0010-0000-0000-0000BF000000}" name="NECESIDAD O DESARMONIA DESDE LO PROPIO 1" dataDxfId="398" dataCellStyle="Normal 2"/>
    <tableColumn id="353" xr3:uid="{00000000-0010-0000-0000-000061010000}" name="ACTIVIDAD O RITUALIDAD REALIZADA1" dataDxfId="397" dataCellStyle="Normal 2"/>
    <tableColumn id="93" xr3:uid="{00000000-0010-0000-0000-00005D000000}" name="FECHA  ACOMPAÑAMIENTO SABEDOR ANCESTRAL2" dataDxfId="396" dataCellStyle="Normal 2"/>
    <tableColumn id="354" xr3:uid="{00000000-0010-0000-0000-000062010000}" name="TIPO DE SABEDOR2" dataDxfId="395" dataCellStyle="Normal 2"/>
    <tableColumn id="355" xr3:uid="{00000000-0010-0000-0000-000063010000}" name="NECESIDAD O DESARMONIA DESDE LO PROPIO 12" dataDxfId="394" dataCellStyle="Normal 2"/>
    <tableColumn id="107" xr3:uid="{00000000-0010-0000-0000-00006B000000}" name="ACTIVIDAD O RITUALIDAD REALIZADA13" dataDxfId="393" dataCellStyle="Normal 2"/>
    <tableColumn id="357" xr3:uid="{00000000-0010-0000-0000-000065010000}" name="FECHA ACOMPAÑAMIENTO SABEDOR ANCESTRAL3" dataDxfId="392" dataCellStyle="Normal 2"/>
    <tableColumn id="358" xr3:uid="{00000000-0010-0000-0000-000066010000}" name="TIPO DE SABEDOR3" dataDxfId="391" dataCellStyle="Normal 2"/>
    <tableColumn id="359" xr3:uid="{00000000-0010-0000-0000-000067010000}" name="NECESIDAD O DESARMONIA DESDE LO PROPIO 13" dataDxfId="390" dataCellStyle="Normal 2"/>
    <tableColumn id="360" xr3:uid="{00000000-0010-0000-0000-000068010000}" name="ACTIVIDAD O RITUALIDAD REALIZADA14" dataDxfId="389" dataCellStyle="Normal 2"/>
    <tableColumn id="361" xr3:uid="{00000000-0010-0000-0000-000069010000}" name="FECHA ACOMPAÑAMIENTO SABEDOR ANCESTRAL4" dataDxfId="388" dataCellStyle="Normal 2"/>
    <tableColumn id="109" xr3:uid="{00000000-0010-0000-0000-00006D000000}" name="TIPO DE SABEDOR4" dataDxfId="387" dataCellStyle="Normal 2"/>
    <tableColumn id="362" xr3:uid="{00000000-0010-0000-0000-00006A010000}" name="NECESIDAD O DESARMONIA DESDE LO PROPIO 14" dataDxfId="386" dataCellStyle="Normal 2"/>
    <tableColumn id="364" xr3:uid="{00000000-0010-0000-0000-00006C010000}" name="ACTIVIDAD O RITUALIDAD REALIZADA15" dataDxfId="385" dataCellStyle="Normal 2"/>
    <tableColumn id="365" xr3:uid="{00000000-0010-0000-0000-00006D010000}" name="FECHA ACOMPAÑAMIENTO SABEDOR ANCESTRAL5" dataDxfId="384" dataCellStyle="Normal 2"/>
    <tableColumn id="366" xr3:uid="{00000000-0010-0000-0000-00006E010000}" name="TIPO DE SABEDOR5" dataDxfId="383" dataCellStyle="Normal 2"/>
    <tableColumn id="367" xr3:uid="{00000000-0010-0000-0000-00006F010000}" name="NECESIDAD O DESARMONIA DESDE LO PROPIO 15" dataDxfId="382" dataCellStyle="Normal 2"/>
    <tableColumn id="369" xr3:uid="{00000000-0010-0000-0000-000071010000}" name="ACTIVIDAD O RITUALIDAD REALIZADA16" dataDxfId="381" dataCellStyle="Normal 2"/>
    <tableColumn id="370" xr3:uid="{00000000-0010-0000-0000-000072010000}" name="FECHA ACOMPAÑAMIENTO SABEDOR ANCESTRAL PUERPERIO Y RECIEN NACIDO" dataDxfId="380" dataCellStyle="Normal 2"/>
    <tableColumn id="371" xr3:uid="{00000000-0010-0000-0000-000073010000}" name="TIPO DE SABEDOR6" dataDxfId="379" dataCellStyle="Normal 2"/>
    <tableColumn id="372" xr3:uid="{00000000-0010-0000-0000-000074010000}" name="NECESIDAD O DESARMONIA DESDE LO PROPIO 16" dataDxfId="378" dataCellStyle="Normal 2"/>
    <tableColumn id="69" xr3:uid="{00000000-0010-0000-0000-000045000000}" name="ACTIVIDAD O RITUALIDAD REALIZADA 6" dataDxfId="377" dataCellStyle="Normal 2"/>
    <tableColumn id="374" xr3:uid="{00000000-0010-0000-0000-000076010000}" name="FECHA ACOMPAÑAMIENTO SABEDOR ANCESTRAL PUERPERIO Y RECIEN NACIDO2" dataDxfId="376" dataCellStyle="Normal 2"/>
    <tableColumn id="182" xr3:uid="{00000000-0010-0000-0000-0000B6000000}" name="TIPO DE SABEDOR7" dataDxfId="375" dataCellStyle="Normal 2"/>
    <tableColumn id="274" xr3:uid="{00000000-0010-0000-0000-000012010000}" name="NECESIDAD O DESARMONIA DESDE LO PROPIO 17" dataDxfId="374" dataCellStyle="Normal 2"/>
    <tableColumn id="292" xr3:uid="{00000000-0010-0000-0000-000024010000}" name="ACTIVIDAD O RITUALIDAD REALIZADA18" dataDxfId="373" dataCellStyle="Normal 2"/>
    <tableColumn id="323" xr3:uid="{00000000-0010-0000-0000-000043010000}" name="FECHA ACOMPAÑAMIENTO SABEDOR ANCESTRAL PUERPERIO Y RECIEN NACIDO22" dataDxfId="372" dataCellStyle="Normal 2"/>
    <tableColumn id="324" xr3:uid="{00000000-0010-0000-0000-000044010000}" name="TIPO DE SABEDOR73" dataDxfId="371" dataCellStyle="Normal 2"/>
    <tableColumn id="325" xr3:uid="{00000000-0010-0000-0000-000045010000}" name="NECESIDAD O DESARMONIA DESDE LO PROPIO 174" dataDxfId="370" dataCellStyle="Normal 2"/>
    <tableColumn id="326" xr3:uid="{00000000-0010-0000-0000-000046010000}" name="ACTIVIDAD O RITUALIDAD REALIZADA185" dataDxfId="369" dataCellStyle="Normal 2"/>
    <tableColumn id="327" xr3:uid="{00000000-0010-0000-0000-000047010000}" name="FECHA ACOMPAÑAMIENTO SABEDOR ANCESTRAL PUERPERIO Y RECIEN NACIDO222" dataDxfId="368" dataCellStyle="Normal 2"/>
    <tableColumn id="328" xr3:uid="{00000000-0010-0000-0000-000048010000}" name="TIPO DE SABEDOR733" dataDxfId="367" dataCellStyle="Normal 2"/>
    <tableColumn id="329" xr3:uid="{00000000-0010-0000-0000-000049010000}" name="NECESIDAD O DESARMONIA DESDE LO PROPIO 1744" dataDxfId="366" dataCellStyle="Normal 2"/>
    <tableColumn id="330" xr3:uid="{00000000-0010-0000-0000-00004A010000}" name="ACTIVIDAD O RITUALIDAD REALIZADA1855" dataDxfId="365" dataCellStyle="Normal 2"/>
    <tableColumn id="331" xr3:uid="{00000000-0010-0000-0000-00004B010000}" name="FECHA ACOMPAÑAMIENTO SABEDOR ANCESTRAL PUERPERIO Y RECIEN NACIDO2222" dataDxfId="364" dataCellStyle="Normal 2"/>
    <tableColumn id="375" xr3:uid="{00000000-0010-0000-0000-000077010000}" name="TIPO DE SABEDOR7333" dataDxfId="363" dataCellStyle="Normal 2"/>
    <tableColumn id="376" xr3:uid="{00000000-0010-0000-0000-000078010000}" name="NECESIDAD O DESARMONIA DESDE LO PROPIO 17444" dataDxfId="362" dataCellStyle="Normal 2"/>
    <tableColumn id="377" xr3:uid="{00000000-0010-0000-0000-000079010000}" name="ACTIVIDAD O RITUALIDAD REALIZADA18555" dataDxfId="361" dataCellStyle="Normal 2"/>
    <tableColumn id="383" xr3:uid="{00000000-0010-0000-0000-00007F010000}" name="TOTAL SEGUIMIENTOS POR PARTERA" dataDxfId="360">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59">
      <calculatedColumnFormula>IF(BX2="","",IF(OR(BX2="CEFÁLICA",BX2="SD"),0,IF(OR(BX2="PODÁLICA",BX2="TRANSVERSA O DE FRENTE",BX2="OBLICUA"),3,"")))</calculatedColumnFormula>
    </tableColumn>
    <tableColumn id="379" xr3:uid="{00000000-0010-0000-0000-00007B010000}" name="PUNTAJE TAMIZAJE CHAGAS RBPS5" dataDxfId="358">
      <calculatedColumnFormula>IF(HD2="","",IF(HD2="POSITIVO",2,"0"))</calculatedColumnFormula>
    </tableColumn>
    <tableColumn id="380" xr3:uid="{00000000-0010-0000-0000-00007C010000}" name="PUNTAJE TAMIZAJE MALARIA RBPS6" dataDxfId="357">
      <calculatedColumnFormula>IF(AND(HF2="",HH2=""),"",IF(OR(HF2="POSITIVO",HH2="POSITIVO"),3,0))</calculatedColumnFormula>
    </tableColumn>
    <tableColumn id="231" xr3:uid="{00000000-0010-0000-0000-0000E7000000}" name="PUNTAJE TOTAL ERBPS2" dataDxfId="356">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55">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54">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53">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52"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51"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350"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49" dataCellStyle="Normal 2">
      <calculatedColumnFormula>COUNT(FG2,FJ2,FM2,FO2)</calculatedColumnFormula>
    </tableColumn>
    <tableColumn id="392" xr3:uid="{00000000-0010-0000-0000-000088010000}" name="# DE TAMIZAJES VIH TOMADOS " dataDxfId="348" dataCellStyle="Normal 2">
      <calculatedColumnFormula>COUNT(GA2,GD2,GG2,GI2)</calculatedColumnFormula>
    </tableColumn>
    <tableColumn id="396" xr3:uid="{00000000-0010-0000-0000-00008C010000}" name="Alarma de apoyo Tamizaje Sífilis" dataDxfId="347"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46"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45"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44"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C11" sqref="C11"/>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40" t="s">
        <v>475</v>
      </c>
      <c r="B1" s="240"/>
      <c r="C1" s="240"/>
      <c r="D1" s="240"/>
      <c r="E1" s="240"/>
      <c r="F1" s="240"/>
    </row>
    <row r="2" spans="1:342" ht="44.25" customHeight="1" x14ac:dyDescent="0.3">
      <c r="A2" s="241" t="s">
        <v>637</v>
      </c>
      <c r="B2" s="241"/>
      <c r="C2" s="241"/>
      <c r="D2" s="241"/>
      <c r="E2" s="241"/>
      <c r="F2" s="241"/>
    </row>
    <row r="3" spans="1:342" ht="44.25" customHeight="1" x14ac:dyDescent="0.3">
      <c r="A3" s="241" t="s">
        <v>531</v>
      </c>
      <c r="B3" s="241"/>
      <c r="C3" s="241"/>
      <c r="D3" s="241"/>
      <c r="E3" s="241"/>
      <c r="F3" s="241"/>
    </row>
    <row r="4" spans="1:342" ht="100.5" customHeight="1" thickBot="1" x14ac:dyDescent="0.3">
      <c r="A4" s="8" t="s">
        <v>638</v>
      </c>
      <c r="B4" s="8" t="s">
        <v>313</v>
      </c>
      <c r="C4" s="7" t="s">
        <v>32</v>
      </c>
      <c r="D4" s="177"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8"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9" t="s">
        <v>684</v>
      </c>
      <c r="DP4" s="179" t="s">
        <v>708</v>
      </c>
      <c r="DQ4" s="180"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81" t="s">
        <v>691</v>
      </c>
      <c r="FK4" s="83" t="s">
        <v>471</v>
      </c>
      <c r="FL4" s="19" t="s">
        <v>115</v>
      </c>
      <c r="FM4" s="181"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81" t="s">
        <v>694</v>
      </c>
      <c r="GB4" s="83" t="s">
        <v>340</v>
      </c>
      <c r="GC4" s="84" t="s">
        <v>341</v>
      </c>
      <c r="GD4" s="181" t="s">
        <v>695</v>
      </c>
      <c r="GE4" s="83" t="s">
        <v>367</v>
      </c>
      <c r="GF4" s="19" t="s">
        <v>548</v>
      </c>
      <c r="GG4" s="181"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82" t="s">
        <v>697</v>
      </c>
      <c r="HE4" s="177" t="s">
        <v>698</v>
      </c>
      <c r="HF4" s="182" t="s">
        <v>699</v>
      </c>
      <c r="HG4" s="177" t="s">
        <v>700</v>
      </c>
      <c r="HH4" s="182" t="s">
        <v>701</v>
      </c>
      <c r="HI4" s="177" t="s">
        <v>711</v>
      </c>
      <c r="HJ4" s="177"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3" t="s">
        <v>680</v>
      </c>
      <c r="IF4" s="19" t="s">
        <v>671</v>
      </c>
      <c r="IG4" s="183" t="s">
        <v>682</v>
      </c>
      <c r="IH4" s="19" t="s">
        <v>672</v>
      </c>
      <c r="II4" s="183" t="s">
        <v>683</v>
      </c>
      <c r="IJ4" s="19" t="s">
        <v>681</v>
      </c>
      <c r="IK4" s="159" t="s">
        <v>673</v>
      </c>
      <c r="IL4" s="8" t="s">
        <v>117</v>
      </c>
      <c r="IM4" s="7" t="s">
        <v>118</v>
      </c>
      <c r="IN4" s="21" t="s">
        <v>364</v>
      </c>
      <c r="IO4" s="8" t="s">
        <v>573</v>
      </c>
      <c r="IP4" s="21" t="s">
        <v>374</v>
      </c>
      <c r="IQ4" s="60" t="s">
        <v>372</v>
      </c>
      <c r="IR4" s="21" t="s">
        <v>373</v>
      </c>
      <c r="IS4" s="89" t="s">
        <v>285</v>
      </c>
      <c r="IT4" s="89" t="s">
        <v>23</v>
      </c>
      <c r="IU4" s="229" t="s">
        <v>764</v>
      </c>
      <c r="IV4" s="229"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42" t="s">
        <v>211</v>
      </c>
      <c r="AM5" s="242"/>
      <c r="AN5" s="242"/>
      <c r="AO5" s="242"/>
      <c r="AP5" s="242"/>
      <c r="AQ5" s="242"/>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4"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7" t="s">
        <v>533</v>
      </c>
      <c r="DD5" s="238"/>
      <c r="DE5" s="238"/>
      <c r="DF5" s="238"/>
      <c r="DG5" s="238"/>
      <c r="DH5" s="238"/>
      <c r="DI5" s="238"/>
      <c r="DJ5" s="238"/>
      <c r="DK5" s="238"/>
      <c r="DL5" s="238"/>
      <c r="DM5" s="238"/>
      <c r="DN5" s="239"/>
      <c r="DO5" s="175" t="s">
        <v>733</v>
      </c>
      <c r="DP5" s="11" t="s">
        <v>713</v>
      </c>
      <c r="DQ5" s="175" t="s">
        <v>714</v>
      </c>
      <c r="DR5" s="11" t="s">
        <v>535</v>
      </c>
      <c r="DS5" s="11" t="s">
        <v>534</v>
      </c>
      <c r="DT5" s="11" t="s">
        <v>734</v>
      </c>
      <c r="DU5" s="185" t="s">
        <v>536</v>
      </c>
      <c r="DV5" s="185" t="s">
        <v>537</v>
      </c>
      <c r="DW5" s="176" t="s">
        <v>241</v>
      </c>
      <c r="DX5" s="176" t="s">
        <v>242</v>
      </c>
      <c r="DY5" s="11" t="s">
        <v>243</v>
      </c>
      <c r="DZ5" s="176" t="s">
        <v>538</v>
      </c>
      <c r="EA5" s="243" t="s">
        <v>244</v>
      </c>
      <c r="EB5" s="244"/>
      <c r="EC5" s="244"/>
      <c r="ED5" s="244"/>
      <c r="EE5" s="245"/>
      <c r="EF5" s="176" t="s">
        <v>539</v>
      </c>
      <c r="EG5" s="176" t="s">
        <v>540</v>
      </c>
      <c r="EH5" s="176" t="s">
        <v>541</v>
      </c>
      <c r="EI5" s="176" t="s">
        <v>245</v>
      </c>
      <c r="EJ5" s="176" t="s">
        <v>246</v>
      </c>
      <c r="EK5" s="176" t="s">
        <v>247</v>
      </c>
      <c r="EL5" s="176" t="s">
        <v>248</v>
      </c>
      <c r="EM5" s="176" t="s">
        <v>249</v>
      </c>
      <c r="EN5" s="176" t="s">
        <v>250</v>
      </c>
      <c r="EO5" s="176" t="s">
        <v>246</v>
      </c>
      <c r="EP5" s="176" t="s">
        <v>247</v>
      </c>
      <c r="EQ5" s="176" t="s">
        <v>248</v>
      </c>
      <c r="ER5" s="176" t="s">
        <v>542</v>
      </c>
      <c r="ES5" s="176" t="s">
        <v>251</v>
      </c>
      <c r="ET5" s="11" t="s">
        <v>252</v>
      </c>
      <c r="EU5" s="176" t="s">
        <v>253</v>
      </c>
      <c r="EV5" s="176" t="s">
        <v>254</v>
      </c>
      <c r="EW5" s="176" t="s">
        <v>543</v>
      </c>
      <c r="EX5" s="11" t="s">
        <v>255</v>
      </c>
      <c r="EY5" s="176" t="s">
        <v>256</v>
      </c>
      <c r="EZ5" s="176" t="s">
        <v>257</v>
      </c>
      <c r="FA5" s="176" t="s">
        <v>258</v>
      </c>
      <c r="FB5" s="176" t="s">
        <v>259</v>
      </c>
      <c r="FC5" s="176" t="s">
        <v>251</v>
      </c>
      <c r="FD5" s="11" t="s">
        <v>260</v>
      </c>
      <c r="FE5" s="186" t="s">
        <v>715</v>
      </c>
      <c r="FF5" s="176" t="s">
        <v>716</v>
      </c>
      <c r="FG5" s="11" t="s">
        <v>717</v>
      </c>
      <c r="FH5" s="186" t="s">
        <v>718</v>
      </c>
      <c r="FI5" s="176" t="s">
        <v>261</v>
      </c>
      <c r="FJ5" s="11" t="s">
        <v>719</v>
      </c>
      <c r="FK5" s="186" t="s">
        <v>720</v>
      </c>
      <c r="FL5" s="176" t="s">
        <v>261</v>
      </c>
      <c r="FM5" s="11" t="s">
        <v>721</v>
      </c>
      <c r="FN5" s="186" t="s">
        <v>720</v>
      </c>
      <c r="FO5" s="176" t="s">
        <v>262</v>
      </c>
      <c r="FP5" s="11" t="s">
        <v>722</v>
      </c>
      <c r="FQ5" s="11" t="s">
        <v>267</v>
      </c>
      <c r="FR5" s="176" t="s">
        <v>263</v>
      </c>
      <c r="FS5" s="11" t="s">
        <v>264</v>
      </c>
      <c r="FT5" s="11" t="s">
        <v>266</v>
      </c>
      <c r="FU5" s="176" t="s">
        <v>268</v>
      </c>
      <c r="FV5" s="11" t="s">
        <v>265</v>
      </c>
      <c r="FW5" s="11" t="s">
        <v>545</v>
      </c>
      <c r="FX5" s="11" t="s">
        <v>544</v>
      </c>
      <c r="FY5" s="11" t="s">
        <v>546</v>
      </c>
      <c r="FZ5" s="176" t="s">
        <v>547</v>
      </c>
      <c r="GA5" s="11" t="s">
        <v>717</v>
      </c>
      <c r="GB5" s="11" t="s">
        <v>546</v>
      </c>
      <c r="GC5" s="176" t="s">
        <v>547</v>
      </c>
      <c r="GD5" s="11" t="s">
        <v>719</v>
      </c>
      <c r="GE5" s="11" t="s">
        <v>546</v>
      </c>
      <c r="GF5" s="176" t="s">
        <v>269</v>
      </c>
      <c r="GG5" s="11" t="s">
        <v>721</v>
      </c>
      <c r="GH5" s="11" t="s">
        <v>546</v>
      </c>
      <c r="GI5" s="176" t="s">
        <v>547</v>
      </c>
      <c r="GJ5" s="11" t="s">
        <v>550</v>
      </c>
      <c r="GK5" s="176" t="s">
        <v>551</v>
      </c>
      <c r="GL5" s="11" t="s">
        <v>549</v>
      </c>
      <c r="GM5" s="11" t="s">
        <v>552</v>
      </c>
      <c r="GN5" s="11" t="s">
        <v>554</v>
      </c>
      <c r="GO5" s="176" t="s">
        <v>553</v>
      </c>
      <c r="GP5" s="11" t="s">
        <v>271</v>
      </c>
      <c r="GQ5" s="11" t="s">
        <v>554</v>
      </c>
      <c r="GR5" s="11" t="s">
        <v>554</v>
      </c>
      <c r="GS5" s="11" t="s">
        <v>555</v>
      </c>
      <c r="GT5" s="176" t="s">
        <v>556</v>
      </c>
      <c r="GU5" s="11" t="s">
        <v>272</v>
      </c>
      <c r="GV5" s="11" t="s">
        <v>270</v>
      </c>
      <c r="GW5" s="11" t="s">
        <v>557</v>
      </c>
      <c r="GX5" s="11" t="s">
        <v>558</v>
      </c>
      <c r="GY5" s="11" t="s">
        <v>559</v>
      </c>
      <c r="GZ5" s="176" t="s">
        <v>273</v>
      </c>
      <c r="HA5" s="176" t="s">
        <v>560</v>
      </c>
      <c r="HB5" s="176" t="s">
        <v>561</v>
      </c>
      <c r="HC5" s="176" t="s">
        <v>562</v>
      </c>
      <c r="HD5" s="176" t="s">
        <v>723</v>
      </c>
      <c r="HE5" s="176" t="s">
        <v>724</v>
      </c>
      <c r="HF5" s="176" t="s">
        <v>725</v>
      </c>
      <c r="HG5" s="176" t="s">
        <v>726</v>
      </c>
      <c r="HH5" s="176" t="s">
        <v>725</v>
      </c>
      <c r="HI5" s="11" t="s">
        <v>727</v>
      </c>
      <c r="HJ5" s="11" t="s">
        <v>728</v>
      </c>
      <c r="HK5" s="11" t="s">
        <v>563</v>
      </c>
      <c r="HL5" s="176" t="s">
        <v>564</v>
      </c>
      <c r="HM5" s="176" t="s">
        <v>565</v>
      </c>
      <c r="HN5" s="176" t="s">
        <v>566</v>
      </c>
      <c r="HO5" s="176" t="s">
        <v>567</v>
      </c>
      <c r="HP5" s="176" t="s">
        <v>568</v>
      </c>
      <c r="HQ5" s="11" t="s">
        <v>735</v>
      </c>
      <c r="HR5" s="11" t="s">
        <v>535</v>
      </c>
      <c r="HS5" s="176" t="s">
        <v>569</v>
      </c>
      <c r="HT5" s="176" t="s">
        <v>768</v>
      </c>
      <c r="HU5" s="176" t="s">
        <v>639</v>
      </c>
      <c r="HV5" s="176" t="s">
        <v>767</v>
      </c>
      <c r="HW5" s="176" t="s">
        <v>640</v>
      </c>
      <c r="HX5" s="176" t="s">
        <v>761</v>
      </c>
      <c r="HY5" s="176" t="s">
        <v>641</v>
      </c>
      <c r="HZ5" s="176" t="s">
        <v>762</v>
      </c>
      <c r="IA5" s="176" t="s">
        <v>571</v>
      </c>
      <c r="IB5" s="176" t="s">
        <v>276</v>
      </c>
      <c r="IC5" s="176" t="s">
        <v>274</v>
      </c>
      <c r="ID5" s="11" t="s">
        <v>770</v>
      </c>
      <c r="IE5" s="11" t="s">
        <v>729</v>
      </c>
      <c r="IF5" s="176" t="s">
        <v>275</v>
      </c>
      <c r="IG5" s="11" t="s">
        <v>729</v>
      </c>
      <c r="IH5" s="176" t="s">
        <v>275</v>
      </c>
      <c r="II5" s="11" t="s">
        <v>729</v>
      </c>
      <c r="IJ5" s="176" t="s">
        <v>275</v>
      </c>
      <c r="IK5" s="11" t="s">
        <v>737</v>
      </c>
      <c r="IL5" s="176" t="s">
        <v>275</v>
      </c>
      <c r="IM5" s="176" t="s">
        <v>275</v>
      </c>
      <c r="IN5" s="176" t="s">
        <v>736</v>
      </c>
      <c r="IO5" s="176" t="s">
        <v>574</v>
      </c>
      <c r="IP5" s="176" t="s">
        <v>575</v>
      </c>
      <c r="IQ5" s="176" t="s">
        <v>576</v>
      </c>
      <c r="IR5" s="176" t="s">
        <v>577</v>
      </c>
      <c r="IS5" s="176" t="s">
        <v>578</v>
      </c>
      <c r="IT5" s="176" t="s">
        <v>277</v>
      </c>
      <c r="IU5" s="176" t="s">
        <v>579</v>
      </c>
      <c r="IV5" s="176" t="s">
        <v>582</v>
      </c>
      <c r="IW5" s="176"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6" t="s">
        <v>280</v>
      </c>
      <c r="JP5" s="11" t="s">
        <v>594</v>
      </c>
      <c r="JQ5" s="176" t="s">
        <v>280</v>
      </c>
      <c r="JR5" s="11" t="s">
        <v>597</v>
      </c>
      <c r="JS5" s="11" t="s">
        <v>597</v>
      </c>
      <c r="JT5" s="176" t="s">
        <v>598</v>
      </c>
      <c r="JU5" s="176" t="s">
        <v>599</v>
      </c>
      <c r="JV5" s="237" t="s">
        <v>281</v>
      </c>
      <c r="JW5" s="238"/>
      <c r="JX5" s="238"/>
      <c r="JY5" s="238"/>
      <c r="JZ5" s="238"/>
      <c r="KA5" s="238"/>
      <c r="KB5" s="238"/>
      <c r="KC5" s="238"/>
      <c r="KD5" s="238"/>
      <c r="KE5" s="239"/>
      <c r="KF5" s="176" t="s">
        <v>280</v>
      </c>
      <c r="KG5" s="176" t="s">
        <v>282</v>
      </c>
      <c r="KH5" s="176" t="s">
        <v>280</v>
      </c>
      <c r="KI5" s="176" t="s">
        <v>283</v>
      </c>
      <c r="KJ5" s="11" t="s">
        <v>600</v>
      </c>
      <c r="KK5" s="11" t="s">
        <v>600</v>
      </c>
      <c r="KL5" s="176" t="s">
        <v>601</v>
      </c>
      <c r="KM5" s="176" t="s">
        <v>602</v>
      </c>
      <c r="KN5" s="176" t="s">
        <v>280</v>
      </c>
      <c r="KO5" s="176" t="s">
        <v>572</v>
      </c>
      <c r="KP5" s="176" t="s">
        <v>572</v>
      </c>
      <c r="KQ5" s="176" t="s">
        <v>603</v>
      </c>
      <c r="KR5" s="176" t="s">
        <v>605</v>
      </c>
      <c r="KS5" s="176" t="s">
        <v>643</v>
      </c>
      <c r="KT5" s="176" t="s">
        <v>604</v>
      </c>
      <c r="KU5" s="176" t="s">
        <v>280</v>
      </c>
      <c r="KV5" s="176" t="s">
        <v>642</v>
      </c>
      <c r="KW5" s="176" t="s">
        <v>604</v>
      </c>
      <c r="KX5" s="176" t="s">
        <v>608</v>
      </c>
      <c r="KY5" s="176" t="s">
        <v>609</v>
      </c>
      <c r="KZ5" s="176" t="s">
        <v>610</v>
      </c>
      <c r="LA5" s="176" t="s">
        <v>611</v>
      </c>
      <c r="LB5" s="176" t="s">
        <v>612</v>
      </c>
      <c r="LC5" s="176" t="s">
        <v>616</v>
      </c>
      <c r="LD5" s="176" t="s">
        <v>613</v>
      </c>
      <c r="LE5" s="176" t="s">
        <v>615</v>
      </c>
      <c r="LF5" s="176" t="s">
        <v>614</v>
      </c>
      <c r="LG5" s="176" t="s">
        <v>617</v>
      </c>
      <c r="LH5" s="176" t="s">
        <v>618</v>
      </c>
      <c r="LI5" s="176" t="s">
        <v>619</v>
      </c>
      <c r="LJ5" s="176" t="s">
        <v>614</v>
      </c>
      <c r="LK5" s="176" t="s">
        <v>620</v>
      </c>
      <c r="LL5" s="176" t="s">
        <v>618</v>
      </c>
      <c r="LM5" s="176" t="s">
        <v>619</v>
      </c>
      <c r="LN5" s="176" t="s">
        <v>614</v>
      </c>
      <c r="LO5" s="176" t="s">
        <v>621</v>
      </c>
      <c r="LP5" s="176" t="s">
        <v>618</v>
      </c>
      <c r="LQ5" s="176" t="s">
        <v>619</v>
      </c>
      <c r="LR5" s="176" t="s">
        <v>614</v>
      </c>
      <c r="LS5" s="176" t="s">
        <v>622</v>
      </c>
      <c r="LT5" s="176" t="s">
        <v>618</v>
      </c>
      <c r="LU5" s="176" t="s">
        <v>619</v>
      </c>
      <c r="LV5" s="176" t="s">
        <v>614</v>
      </c>
      <c r="LW5" s="176" t="s">
        <v>623</v>
      </c>
      <c r="LX5" s="176" t="s">
        <v>624</v>
      </c>
      <c r="LY5" s="176" t="s">
        <v>625</v>
      </c>
      <c r="LZ5" s="176" t="s">
        <v>626</v>
      </c>
      <c r="MA5" s="176" t="s">
        <v>623</v>
      </c>
      <c r="MB5" s="176" t="s">
        <v>624</v>
      </c>
      <c r="MC5" s="176" t="s">
        <v>625</v>
      </c>
      <c r="MD5" s="176"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43" priority="5">
      <formula>LEN(TRIM(IY4))&gt;0</formula>
    </cfRule>
  </conditionalFormatting>
  <conditionalFormatting sqref="JN4">
    <cfRule type="notContainsBlanks" dxfId="342" priority="4">
      <formula>LEN(TRIM(JN4))&gt;0</formula>
    </cfRule>
  </conditionalFormatting>
  <conditionalFormatting sqref="JX4">
    <cfRule type="notContainsBlanks" dxfId="341" priority="3">
      <formula>LEN(TRIM(JX4))&gt;0</formula>
    </cfRule>
  </conditionalFormatting>
  <conditionalFormatting sqref="KG4">
    <cfRule type="notContainsBlanks" dxfId="340" priority="2">
      <formula>LEN(TRIM(KG4))&gt;0</formula>
    </cfRule>
  </conditionalFormatting>
  <conditionalFormatting sqref="KI4">
    <cfRule type="notContainsBlanks" dxfId="339"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L21" sqref="L21"/>
    </sheetView>
  </sheetViews>
  <sheetFormatPr baseColWidth="10" defaultRowHeight="15" x14ac:dyDescent="0.25"/>
  <cols>
    <col min="1" max="1" width="43.42578125" customWidth="1"/>
    <col min="2" max="13" width="8.140625" customWidth="1"/>
  </cols>
  <sheetData>
    <row r="3" spans="1:13" ht="23.25" x14ac:dyDescent="0.35">
      <c r="A3" s="70" t="s">
        <v>436</v>
      </c>
      <c r="L3" s="234"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6">
        <f>COUNTIFS(Tabla1[GESTANTES ACTUALES],"ACTIVA INGRESO A CPN")</f>
        <v>0</v>
      </c>
      <c r="C7" s="226">
        <f>COUNTIFS(Tabla1[GESTANTES ACTUALES],"ACTIVA INGRESO A CPN")</f>
        <v>0</v>
      </c>
      <c r="D7" s="226">
        <f>COUNTIFS(Tabla1[GESTANTES ACTUALES],"ACTIVA INGRESO A CPN")</f>
        <v>0</v>
      </c>
      <c r="E7" s="226">
        <f>COUNTIFS(Tabla1[GESTANTES ACTUALES],"ACTIVA INGRESO A CPN")</f>
        <v>0</v>
      </c>
      <c r="F7" s="226">
        <f>COUNTIFS(Tabla1[GESTANTES ACTUALES],"ACTIVA INGRESO A CPN")</f>
        <v>0</v>
      </c>
      <c r="G7" s="226">
        <f>COUNTIFS(Tabla1[GESTANTES ACTUALES],"ACTIVA INGRESO A CPN")</f>
        <v>0</v>
      </c>
      <c r="H7" s="226">
        <f>COUNTIFS(Tabla1[GESTANTES ACTUALES],"ACTIVA INGRESO A CPN")</f>
        <v>0</v>
      </c>
      <c r="I7" s="226">
        <f>COUNTIFS(Tabla1[GESTANTES ACTUALES],"ACTIVA INGRESO A CPN")</f>
        <v>0</v>
      </c>
      <c r="J7" s="226">
        <f>COUNTIFS(Tabla1[GESTANTES ACTUALES],"ACTIVA INGRESO A CPN")</f>
        <v>0</v>
      </c>
      <c r="K7" s="226">
        <f>COUNTIFS(Tabla1[GESTANTES ACTUALES],"ACTIVA INGRESO A CPN")</f>
        <v>0</v>
      </c>
      <c r="L7" s="226">
        <f>COUNTIFS(Tabla1[GESTANTES ACTUALES],"ACTIVA INGRESO A CPN")</f>
        <v>0</v>
      </c>
      <c r="M7" s="226">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5"/>
      <c r="C12" s="103"/>
      <c r="D12" s="103"/>
      <c r="E12" s="103"/>
      <c r="F12" s="103"/>
      <c r="G12" s="103"/>
      <c r="H12" s="103"/>
      <c r="I12" s="103"/>
      <c r="J12" s="103"/>
      <c r="K12" s="103"/>
      <c r="L12" s="103"/>
      <c r="M12" s="103"/>
    </row>
    <row r="13" spans="1:13" ht="19.5" thickBot="1" x14ac:dyDescent="0.35">
      <c r="A13" s="228" t="s">
        <v>800</v>
      </c>
      <c r="B13" s="258" t="s">
        <v>812</v>
      </c>
      <c r="C13" s="259"/>
      <c r="D13" s="260" t="s">
        <v>833</v>
      </c>
      <c r="E13" s="261"/>
      <c r="F13" s="103"/>
      <c r="G13" s="103"/>
      <c r="H13" s="103"/>
      <c r="I13" s="103"/>
      <c r="J13" s="103"/>
      <c r="K13" s="103"/>
      <c r="L13" s="103"/>
      <c r="M13" s="103"/>
    </row>
    <row r="14" spans="1:13" ht="26.25" thickBot="1" x14ac:dyDescent="0.3">
      <c r="A14" s="224" t="s">
        <v>803</v>
      </c>
      <c r="B14" s="227">
        <f>COUNTIFS(Tabla1[GESTANTES ACTUALES],"ACTIVA INGRESO A CPN",Tabla1[RIESGO BIOPSICOSOCIAL],"ALTO RIESGO",Tabla1[FECHA ASISTENCIA PRIMERA VEZ CON GINECOLOGÍA],"&lt;&gt;",Tabla1[ASEGURADORA],$A$13)</f>
        <v>0</v>
      </c>
      <c r="C14" s="254" t="str">
        <f>IFERROR((SUM(B14/B15)),"")</f>
        <v/>
      </c>
      <c r="D14" s="227">
        <f>COUNTIFS(Tabla1[GESTANTES ACTUALES],"ACTIVA INGRESO A CPN",Tabla1[RIESGO BIOPSICOSOCIAL],"ALTO RIESGO",Tabla1[FECHA ASISTENCIA PRIMERA VEZ CON GINECOLOGÍA],"&lt;&gt;")</f>
        <v>0</v>
      </c>
      <c r="E14" s="254" t="str">
        <f>IFERROR(SUM(D14/D15),"")</f>
        <v/>
      </c>
      <c r="F14" s="103"/>
      <c r="G14" s="103"/>
      <c r="H14" s="103"/>
      <c r="I14" s="103"/>
      <c r="J14" s="103"/>
      <c r="K14" s="103"/>
      <c r="L14" s="103"/>
      <c r="M14" s="103"/>
    </row>
    <row r="15" spans="1:13" ht="23.25" customHeight="1" thickBot="1" x14ac:dyDescent="0.3">
      <c r="A15" s="224" t="s">
        <v>802</v>
      </c>
      <c r="B15" s="227">
        <f>COUNTIFS(Tabla1[GESTANTES ACTUALES],"ACTIVA INGRESO A CPN",Tabla1[RIESGO BIOPSICOSOCIAL],"ALTO RIESGO",Tabla1[ASEGURADORA],$A$13)</f>
        <v>0</v>
      </c>
      <c r="C15" s="255"/>
      <c r="D15" s="227">
        <f>COUNTIFS(Tabla1[GESTANTES ACTUALES],"ACTIVA INGRESO A CPN",Tabla1[RIESGO BIOPSICOSOCIAL],"ALTO RIESGO")</f>
        <v>0</v>
      </c>
      <c r="E15" s="255"/>
      <c r="F15" s="103"/>
      <c r="G15" s="103"/>
      <c r="H15" s="103"/>
      <c r="I15" s="103"/>
      <c r="J15" s="103"/>
      <c r="K15" s="103"/>
      <c r="L15" s="103"/>
      <c r="M15" s="103"/>
    </row>
    <row r="16" spans="1:13" ht="19.5" thickBot="1" x14ac:dyDescent="0.35">
      <c r="B16" s="258" t="s">
        <v>812</v>
      </c>
      <c r="C16" s="259"/>
      <c r="D16" s="260" t="s">
        <v>833</v>
      </c>
      <c r="E16" s="261"/>
      <c r="F16" s="103"/>
      <c r="G16" s="103"/>
      <c r="H16" s="103"/>
      <c r="I16" s="103"/>
      <c r="J16" s="103"/>
      <c r="K16" s="103"/>
      <c r="L16" s="103"/>
      <c r="M16" s="103"/>
    </row>
    <row r="17" spans="1:13" ht="26.25" thickBot="1" x14ac:dyDescent="0.3">
      <c r="A17" s="224" t="s">
        <v>811</v>
      </c>
      <c r="B17" s="227">
        <f>COUNTIFS(Tabla1[GESTANTES ACTUALES],"ACTIVA INGRESO A CPN",Tabla1['# DE MUJERES CON SUMINISTRO ADECUADO DE MICRONUTRIENTES],"COMPLETO",Tabla1[ASEGURADORA],$A$13)</f>
        <v>0</v>
      </c>
      <c r="C17" s="256" t="str">
        <f>IFERROR(SUM(B17/B18),"")</f>
        <v/>
      </c>
      <c r="D17" s="227">
        <f>COUNTIFS(Tabla1[GESTANTES ACTUALES],"ACTIVA INGRESO A CPN",Tabla1['# DE MUJERES CON SUMINISTRO ADECUADO DE MICRONUTRIENTES],"COMPLETO")</f>
        <v>0</v>
      </c>
      <c r="E17" s="256" t="str">
        <f>IFERROR(SUM(D17/D18),"")</f>
        <v/>
      </c>
      <c r="F17" s="103"/>
      <c r="G17" s="103"/>
      <c r="H17" s="103"/>
      <c r="I17" s="103"/>
      <c r="J17" s="103"/>
      <c r="K17" s="103"/>
      <c r="L17" s="103"/>
      <c r="M17" s="103"/>
    </row>
    <row r="18" spans="1:13" ht="15.75" thickBot="1" x14ac:dyDescent="0.3">
      <c r="A18" s="75" t="s">
        <v>440</v>
      </c>
      <c r="B18" s="227">
        <f>COUNTIFS(Tabla1[GESTANTES ACTUALES],"ACTIVA INGRESO A CPN",Tabla1[ASEGURADORA],$A$13)</f>
        <v>0</v>
      </c>
      <c r="C18" s="257"/>
      <c r="D18" s="227">
        <f>COUNTIFS(Tabla1[GESTANTES ACTUALES],"ACTIVA INGRESO A CPN")</f>
        <v>0</v>
      </c>
      <c r="E18" s="257"/>
      <c r="F18" s="103"/>
      <c r="G18" s="103"/>
      <c r="H18" s="103"/>
      <c r="I18" s="103"/>
      <c r="J18" s="103"/>
      <c r="K18" s="103"/>
      <c r="L18" s="103"/>
      <c r="M18" s="103"/>
    </row>
    <row r="19" spans="1:13" ht="19.5" thickBot="1" x14ac:dyDescent="0.35">
      <c r="B19" s="258" t="s">
        <v>812</v>
      </c>
      <c r="C19" s="259"/>
      <c r="D19" s="260" t="s">
        <v>833</v>
      </c>
      <c r="E19" s="261"/>
      <c r="F19" s="103"/>
      <c r="G19" s="103"/>
      <c r="H19" s="103"/>
      <c r="I19" s="103"/>
      <c r="J19" s="103"/>
      <c r="K19" s="103"/>
      <c r="L19" s="103"/>
      <c r="M19" s="103"/>
    </row>
    <row r="20" spans="1:13" ht="26.25" thickBot="1" x14ac:dyDescent="0.3">
      <c r="A20" s="224" t="s">
        <v>832</v>
      </c>
      <c r="B20" s="227">
        <f>COUNTIFS(Tabla1[GESTANTES ACTUALES],"ACTIVA INGRESO A CPN",Tabla1[Alarma de apoyo Tamizaje Sífilis],"COMPLETO",Tabla1[ASEGURADORA],$A$13)</f>
        <v>0</v>
      </c>
      <c r="C20" s="262" t="str">
        <f>IFERROR(SUM(B20/B21),"")</f>
        <v/>
      </c>
      <c r="D20" s="227">
        <f>COUNTIFS(Tabla1[GESTANTES ACTUALES],"ACTIVA INGRESO A CPN",Tabla1[Alarma de apoyo Tamizaje Sífilis],"COMPLETO")</f>
        <v>0</v>
      </c>
      <c r="E20" s="262" t="str">
        <f>IFERROR(SUM(D20/D21),"")</f>
        <v/>
      </c>
      <c r="F20" s="103"/>
      <c r="G20" s="103"/>
      <c r="H20" s="103"/>
      <c r="I20" s="103"/>
      <c r="J20" s="103"/>
      <c r="K20" s="103"/>
      <c r="L20" s="103"/>
      <c r="M20" s="103"/>
    </row>
    <row r="21" spans="1:13" ht="15.75" customHeight="1" thickBot="1" x14ac:dyDescent="0.3">
      <c r="A21" s="75" t="s">
        <v>440</v>
      </c>
      <c r="B21" s="227">
        <f>COUNTIFS(Tabla1[GESTANTES ACTUALES],"ACTIVA INGRESO A CPN",Tabla1[ASEGURADORA],$A$13)</f>
        <v>0</v>
      </c>
      <c r="C21" s="263"/>
      <c r="D21" s="227">
        <f>COUNTIFS(Tabla1[GESTANTES ACTUALES],"ACTIVA INGRESO A CPN")</f>
        <v>0</v>
      </c>
      <c r="E21" s="263"/>
      <c r="F21" s="103"/>
      <c r="G21" s="103"/>
      <c r="H21" s="103"/>
      <c r="I21" s="103"/>
      <c r="J21" s="103"/>
      <c r="K21" s="103"/>
      <c r="L21" s="103"/>
      <c r="M21" s="103"/>
    </row>
    <row r="22" spans="1:13" ht="19.5" thickBot="1" x14ac:dyDescent="0.35">
      <c r="B22" s="258" t="s">
        <v>812</v>
      </c>
      <c r="C22" s="259"/>
      <c r="D22" s="260" t="s">
        <v>833</v>
      </c>
      <c r="E22" s="261"/>
      <c r="F22" s="103"/>
      <c r="G22" s="103"/>
      <c r="H22" s="103"/>
      <c r="I22" s="103"/>
      <c r="J22" s="103"/>
      <c r="K22" s="103"/>
      <c r="L22" s="103"/>
      <c r="M22" s="103"/>
    </row>
    <row r="23" spans="1:13" ht="26.25" thickBot="1" x14ac:dyDescent="0.3">
      <c r="A23" s="224" t="s">
        <v>836</v>
      </c>
      <c r="B23" s="227">
        <f>COUNTIFS(Tabla1[GESTANTES ACTUALES],"ACTIVA INGRESO A CPN",Tabla1[Alarma de apoyo Tamizaje VIH],"COMPLETO",Tabla1[ASEGURADORA],$A$13)</f>
        <v>0</v>
      </c>
      <c r="C23" s="262" t="str">
        <f>IFERROR(SUM(B23/B24),"")</f>
        <v/>
      </c>
      <c r="D23" s="227">
        <f>COUNTIFS(Tabla1[GESTANTES ACTUALES],"ACTIVA INGRESO A CPN",Tabla1[Alarma de apoyo Tamizaje VIH],"COMPLETO")</f>
        <v>0</v>
      </c>
      <c r="E23" s="262" t="str">
        <f>IFERROR(SUM(D23/D24),"")</f>
        <v/>
      </c>
      <c r="F23" s="103"/>
      <c r="G23" s="103"/>
      <c r="H23" s="103"/>
      <c r="I23" s="103"/>
      <c r="J23" s="103"/>
      <c r="K23" s="103"/>
      <c r="L23" s="103"/>
      <c r="M23" s="103"/>
    </row>
    <row r="24" spans="1:13" ht="15.75" thickBot="1" x14ac:dyDescent="0.3">
      <c r="A24" s="75" t="s">
        <v>440</v>
      </c>
      <c r="B24" s="227">
        <f>COUNTIFS(Tabla1[GESTANTES ACTUALES],"ACTIVA INGRESO A CPN",Tabla1[ASEGURADORA],$A$13)</f>
        <v>0</v>
      </c>
      <c r="C24" s="263"/>
      <c r="D24" s="227">
        <f>COUNTIFS(Tabla1[GESTANTES ACTUALES],"ACTIVA INGRESO A CPN")</f>
        <v>0</v>
      </c>
      <c r="E24" s="263"/>
      <c r="F24" s="103"/>
      <c r="G24" s="103"/>
      <c r="H24" s="103"/>
      <c r="I24" s="103"/>
      <c r="J24" s="103"/>
      <c r="K24" s="103"/>
      <c r="L24" s="103"/>
      <c r="M24" s="103"/>
    </row>
    <row r="25" spans="1:13" ht="19.5" thickBot="1" x14ac:dyDescent="0.35">
      <c r="B25" s="258" t="s">
        <v>812</v>
      </c>
      <c r="C25" s="259"/>
      <c r="D25" s="260" t="s">
        <v>833</v>
      </c>
      <c r="E25" s="261"/>
      <c r="F25" s="103"/>
      <c r="G25" s="103"/>
      <c r="H25" s="103"/>
      <c r="I25" s="103"/>
      <c r="J25" s="103"/>
      <c r="K25" s="103"/>
      <c r="L25" s="103"/>
      <c r="M25" s="103"/>
    </row>
    <row r="26" spans="1:13" ht="26.25" thickBot="1" x14ac:dyDescent="0.3">
      <c r="A26" s="224" t="s">
        <v>835</v>
      </c>
      <c r="B26" s="227">
        <f>COUNTIFS(Tabla1[GESTANTES ACTUALES],"ACTIVA INGRESO A CPN",Tabla1[SEMANAS DE GESTACION ACTUALIZADAS],"&gt;36",Tabla1[SEMANAS DE GESTACION ACTUALIZADAS],"&lt;44",Tabla1[FECHA DE CONCERTACIÓN PLAN DE PARTO (Soporte HC)],"&lt;&gt;",Tabla1[ASEGURADORA],$A$13)</f>
        <v>0</v>
      </c>
      <c r="C26" s="262" t="str">
        <f>IFERROR(SUM(B26/B27),"")</f>
        <v/>
      </c>
      <c r="D26" s="227">
        <f>COUNTIFS(Tabla1[GESTANTES ACTUALES],"ACTIVA INGRESO A CPN",Tabla1[SEMANAS DE GESTACION ACTUALIZADAS],"&gt;36",Tabla1[SEMANAS DE GESTACION ACTUALIZADAS],"&lt;44",Tabla1[FECHA DE CONCERTACIÓN PLAN DE PARTO (Soporte HC)],"&lt;&gt;")</f>
        <v>0</v>
      </c>
      <c r="E26" s="262" t="str">
        <f>IFERROR(SUM(D26/D27),"")</f>
        <v/>
      </c>
      <c r="F26" s="103"/>
      <c r="G26" s="103"/>
      <c r="H26" s="103"/>
      <c r="I26" s="103"/>
      <c r="J26" s="103"/>
      <c r="K26" s="103"/>
      <c r="L26" s="103"/>
      <c r="M26" s="103"/>
    </row>
    <row r="27" spans="1:13" ht="15.75" thickBot="1" x14ac:dyDescent="0.3">
      <c r="A27" s="75" t="s">
        <v>834</v>
      </c>
      <c r="B27" s="227">
        <f>COUNTIFS(Tabla1[GESTANTES ACTUALES],"ACTIVA INGRESO A CPN",Tabla1[SEMANAS DE GESTACION ACTUALIZADAS],"&gt;36",Tabla1[SEMANAS DE GESTACION ACTUALIZADAS],"&lt;44",Tabla1[ASEGURADORA],$A$13)</f>
        <v>0</v>
      </c>
      <c r="C27" s="263"/>
      <c r="D27" s="227">
        <f>COUNTIFS(Tabla1[GESTANTES ACTUALES],"ACTIVA INGRESO A CPN",Tabla1[SEMANAS DE GESTACION ACTUALIZADAS],"&gt;36",Tabla1[SEMANAS DE GESTACION ACTUALIZADAS],"&lt;44")</f>
        <v>0</v>
      </c>
      <c r="E27" s="263"/>
      <c r="F27" s="103"/>
      <c r="G27" s="103"/>
      <c r="H27" s="103"/>
      <c r="I27" s="103"/>
      <c r="J27" s="103"/>
      <c r="K27" s="103"/>
      <c r="L27" s="103"/>
      <c r="M27" s="103"/>
    </row>
    <row r="28" spans="1:13" ht="19.5" thickBot="1" x14ac:dyDescent="0.35">
      <c r="B28" s="258" t="s">
        <v>812</v>
      </c>
      <c r="C28" s="259"/>
      <c r="D28" s="260" t="s">
        <v>833</v>
      </c>
      <c r="E28" s="261"/>
      <c r="F28" s="103"/>
      <c r="G28" s="103"/>
      <c r="H28" s="103"/>
      <c r="I28" s="103"/>
      <c r="J28" s="103"/>
      <c r="K28" s="103"/>
      <c r="L28" s="103"/>
      <c r="M28" s="103"/>
    </row>
    <row r="29" spans="1:13" ht="26.25" thickBot="1" x14ac:dyDescent="0.3">
      <c r="A29" s="235" t="s">
        <v>850</v>
      </c>
      <c r="B29" s="227">
        <f>COUNTIFS(Tabla1[GESTANTES ACTUALES],"ACTIVA INGRESO A CPN",Tabla1[SEMANAS DE GESTACION ACTUALIZADAS],"&gt;36",Tabla1[SEMANAS DE GESTACION ACTUALIZADAS],"&lt;44",Tabla1[FECHA VACUNA DPT ACELULAR],"&lt;&gt;",Tabla1[ASEGURADORA],$A$13)</f>
        <v>0</v>
      </c>
      <c r="C29" s="262" t="str">
        <f>IFERROR(SUM(B29/B30),"")</f>
        <v/>
      </c>
      <c r="D29" s="227">
        <f>COUNTIFS(Tabla1[GESTANTES ACTUALES],"ACTIVA INGRESO A CPN",Tabla1[SEMANAS DE GESTACION ACTUALIZADAS],"&gt;36",Tabla1[SEMANAS DE GESTACION ACTUALIZADAS],"&lt;44",Tabla1[FECHA VACUNA DPT ACELULAR],"&lt;&gt;")</f>
        <v>0</v>
      </c>
      <c r="E29" s="262" t="str">
        <f>IFERROR(SUM(D29/D30),"")</f>
        <v/>
      </c>
      <c r="F29" s="103"/>
      <c r="G29" s="103"/>
      <c r="H29" s="103"/>
      <c r="I29" s="103"/>
      <c r="J29" s="103"/>
      <c r="K29" s="103"/>
      <c r="L29" s="103"/>
      <c r="M29" s="103"/>
    </row>
    <row r="30" spans="1:13" ht="15.75" thickBot="1" x14ac:dyDescent="0.3">
      <c r="A30" s="75" t="s">
        <v>834</v>
      </c>
      <c r="B30" s="227">
        <f>COUNTIFS(Tabla1[GESTANTES ACTUALES],"ACTIVA INGRESO A CPN",Tabla1[SEMANAS DE GESTACION ACTUALIZADAS],"&gt;36",Tabla1[SEMANAS DE GESTACION ACTUALIZADAS],"&lt;44",Tabla1[ASEGURADORA],$A$13)</f>
        <v>0</v>
      </c>
      <c r="C30" s="263"/>
      <c r="D30" s="227">
        <f>COUNTIFS(Tabla1[GESTANTES ACTUALES],"ACTIVA INGRESO A CPN",Tabla1[SEMANAS DE GESTACION ACTUALIZADAS],"&gt;36",Tabla1[SEMANAS DE GESTACION ACTUALIZADAS],"&lt;44")</f>
        <v>0</v>
      </c>
      <c r="E30" s="263"/>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48"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49"/>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7"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31"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20"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20"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7"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7"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31"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5" t="s">
        <v>791</v>
      </c>
      <c r="B61" s="206">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6">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6">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6">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6">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6">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6">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6">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6">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6">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6">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6">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7"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9"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9"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9"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9"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5" t="s">
        <v>810</v>
      </c>
      <c r="B71" s="206">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6">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6">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6">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6">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6">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6">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6">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6">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6">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6">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6">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7"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6">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6">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6">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6">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6">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6">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6">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6">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6">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6">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6">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6">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10"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11" t="str">
        <f t="shared" si="19"/>
        <v/>
      </c>
    </row>
    <row r="75" spans="1:16" ht="39" customHeight="1" thickBot="1" x14ac:dyDescent="0.3">
      <c r="A75" s="78" t="s">
        <v>816</v>
      </c>
      <c r="B75" s="206">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6">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6">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6">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6">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6">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6">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6">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6">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6">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6">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6">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10"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11" t="str">
        <f t="shared" si="20"/>
        <v/>
      </c>
    </row>
    <row r="77" spans="1:16" ht="39" customHeight="1" thickBot="1" x14ac:dyDescent="0.3">
      <c r="A77" s="78" t="s">
        <v>818</v>
      </c>
      <c r="B77" s="206">
        <f>SUM(COUNTIFS(Tabla1[AÑO PARTO],$B$4,Tabla1[MES PARTO],B6,Tabla1[SALE DEL PROGRAMA POR],"PARTO",Tabla1[Alarma apoyo DPT Acelular vacunadas],"VACUNADA"),COUNTIFS(Tabla1[AÑO PARTO],$B$4,Tabla1[MES PARTO],B6,Tabla1[SALE DEL PROGRAMA POR],"CESAREA",Tabla1[Alarma apoyo DPT Acelular vacunadas],"VACUNADA"))</f>
        <v>0</v>
      </c>
      <c r="C77" s="206">
        <f>SUM(COUNTIFS(Tabla1[AÑO PARTO],$B$4,Tabla1[MES PARTO],C6,Tabla1[SALE DEL PROGRAMA POR],"PARTO",Tabla1[Alarma apoyo DPT Acelular vacunadas],"VACUNADA"),COUNTIFS(Tabla1[AÑO PARTO],$B$4,Tabla1[MES PARTO],C6,Tabla1[SALE DEL PROGRAMA POR],"CESAREA",Tabla1[Alarma apoyo DPT Acelular vacunadas],"VACUNADA"))</f>
        <v>0</v>
      </c>
      <c r="D77" s="206">
        <f>SUM(COUNTIFS(Tabla1[AÑO PARTO],$B$4,Tabla1[MES PARTO],D6,Tabla1[SALE DEL PROGRAMA POR],"PARTO",Tabla1[Alarma apoyo DPT Acelular vacunadas],"VACUNADA"),COUNTIFS(Tabla1[AÑO PARTO],$B$4,Tabla1[MES PARTO],D6,Tabla1[SALE DEL PROGRAMA POR],"CESAREA",Tabla1[Alarma apoyo DPT Acelular vacunadas],"VACUNADA"))</f>
        <v>0</v>
      </c>
      <c r="E77" s="206">
        <f>SUM(COUNTIFS(Tabla1[AÑO PARTO],$B$4,Tabla1[MES PARTO],E6,Tabla1[SALE DEL PROGRAMA POR],"PARTO",Tabla1[Alarma apoyo DPT Acelular vacunadas],"VACUNADA"),COUNTIFS(Tabla1[AÑO PARTO],$B$4,Tabla1[MES PARTO],E6,Tabla1[SALE DEL PROGRAMA POR],"CESAREA",Tabla1[Alarma apoyo DPT Acelular vacunadas],"VACUNADA"))</f>
        <v>0</v>
      </c>
      <c r="F77" s="206">
        <f>SUM(COUNTIFS(Tabla1[AÑO PARTO],$B$4,Tabla1[MES PARTO],F6,Tabla1[SALE DEL PROGRAMA POR],"PARTO",Tabla1[Alarma apoyo DPT Acelular vacunadas],"VACUNADA"),COUNTIFS(Tabla1[AÑO PARTO],$B$4,Tabla1[MES PARTO],F6,Tabla1[SALE DEL PROGRAMA POR],"CESAREA",Tabla1[Alarma apoyo DPT Acelular vacunadas],"VACUNADA"))</f>
        <v>0</v>
      </c>
      <c r="G77" s="206">
        <f>SUM(COUNTIFS(Tabla1[AÑO PARTO],$B$4,Tabla1[MES PARTO],G6,Tabla1[SALE DEL PROGRAMA POR],"PARTO",Tabla1[Alarma apoyo DPT Acelular vacunadas],"VACUNADA"),COUNTIFS(Tabla1[AÑO PARTO],$B$4,Tabla1[MES PARTO],G6,Tabla1[SALE DEL PROGRAMA POR],"CESAREA",Tabla1[Alarma apoyo DPT Acelular vacunadas],"VACUNADA"))</f>
        <v>0</v>
      </c>
      <c r="H77" s="206">
        <f>SUM(COUNTIFS(Tabla1[AÑO PARTO],$B$4,Tabla1[MES PARTO],H6,Tabla1[SALE DEL PROGRAMA POR],"PARTO",Tabla1[Alarma apoyo DPT Acelular vacunadas],"VACUNADA"),COUNTIFS(Tabla1[AÑO PARTO],$B$4,Tabla1[MES PARTO],H6,Tabla1[SALE DEL PROGRAMA POR],"CESAREA",Tabla1[Alarma apoyo DPT Acelular vacunadas],"VACUNADA"))</f>
        <v>0</v>
      </c>
      <c r="I77" s="206">
        <f>SUM(COUNTIFS(Tabla1[AÑO PARTO],$B$4,Tabla1[MES PARTO],I6,Tabla1[SALE DEL PROGRAMA POR],"PARTO",Tabla1[Alarma apoyo DPT Acelular vacunadas],"VACUNADA"),COUNTIFS(Tabla1[AÑO PARTO],$B$4,Tabla1[MES PARTO],I6,Tabla1[SALE DEL PROGRAMA POR],"CESAREA",Tabla1[Alarma apoyo DPT Acelular vacunadas],"VACUNADA"))</f>
        <v>0</v>
      </c>
      <c r="J77" s="206">
        <f>SUM(COUNTIFS(Tabla1[AÑO PARTO],$B$4,Tabla1[MES PARTO],J6,Tabla1[SALE DEL PROGRAMA POR],"PARTO",Tabla1[Alarma apoyo DPT Acelular vacunadas],"VACUNADA"),COUNTIFS(Tabla1[AÑO PARTO],$B$4,Tabla1[MES PARTO],J6,Tabla1[SALE DEL PROGRAMA POR],"CESAREA",Tabla1[Alarma apoyo DPT Acelular vacunadas],"VACUNADA"))</f>
        <v>0</v>
      </c>
      <c r="K77" s="206">
        <f>SUM(COUNTIFS(Tabla1[AÑO PARTO],$B$4,Tabla1[MES PARTO],K6,Tabla1[SALE DEL PROGRAMA POR],"PARTO",Tabla1[Alarma apoyo DPT Acelular vacunadas],"VACUNADA"),COUNTIFS(Tabla1[AÑO PARTO],$B$4,Tabla1[MES PARTO],K6,Tabla1[SALE DEL PROGRAMA POR],"CESAREA",Tabla1[Alarma apoyo DPT Acelular vacunadas],"VACUNADA"))</f>
        <v>0</v>
      </c>
      <c r="L77" s="206">
        <f>SUM(COUNTIFS(Tabla1[AÑO PARTO],$B$4,Tabla1[MES PARTO],L6,Tabla1[SALE DEL PROGRAMA POR],"PARTO",Tabla1[Alarma apoyo DPT Acelular vacunadas],"VACUNADA"),COUNTIFS(Tabla1[AÑO PARTO],$B$4,Tabla1[MES PARTO],L6,Tabla1[SALE DEL PROGRAMA POR],"CESAREA",Tabla1[Alarma apoyo DPT Acelular vacunadas],"VACUNADA"))</f>
        <v>0</v>
      </c>
      <c r="M77" s="206">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10"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11" t="str">
        <f t="shared" si="21"/>
        <v/>
      </c>
      <c r="P78" t="s">
        <v>820</v>
      </c>
    </row>
    <row r="79" spans="1:16" ht="39" customHeight="1" thickBot="1" x14ac:dyDescent="0.3">
      <c r="A79" s="78" t="s">
        <v>822</v>
      </c>
      <c r="B79" s="206">
        <f>SUM(COUNTIFS(Tabla1[AÑO PARTO],$B$4,Tabla1[MES PARTO],B6,Tabla1[SALE DEL PROGRAMA POR],"PARTO",Tabla1[FECHA VACUNA ANTI INFLUENZA],"&lt;&gt;"),COUNTIFS(Tabla1[AÑO PARTO],$B$4,Tabla1[MES PARTO],B6,Tabla1[SALE DEL PROGRAMA POR],"CESAREA",Tabla1[FECHA VACUNA ANTI INFLUENZA],"&lt;&gt;"))</f>
        <v>0</v>
      </c>
      <c r="C79" s="206">
        <f>SUM(COUNTIFS(Tabla1[AÑO PARTO],$B$4,Tabla1[MES PARTO],C6,Tabla1[SALE DEL PROGRAMA POR],"PARTO",Tabla1[FECHA VACUNA ANTI INFLUENZA],"&lt;&gt;"),COUNTIFS(Tabla1[AÑO PARTO],$B$4,Tabla1[MES PARTO],C6,Tabla1[SALE DEL PROGRAMA POR],"CESAREA",Tabla1[FECHA VACUNA ANTI INFLUENZA],"&lt;&gt;"))</f>
        <v>0</v>
      </c>
      <c r="D79" s="206">
        <f>SUM(COUNTIFS(Tabla1[AÑO PARTO],$B$4,Tabla1[MES PARTO],D6,Tabla1[SALE DEL PROGRAMA POR],"PARTO",Tabla1[FECHA VACUNA ANTI INFLUENZA],"&lt;&gt;"),COUNTIFS(Tabla1[AÑO PARTO],$B$4,Tabla1[MES PARTO],D6,Tabla1[SALE DEL PROGRAMA POR],"CESAREA",Tabla1[FECHA VACUNA ANTI INFLUENZA],"&lt;&gt;"))</f>
        <v>0</v>
      </c>
      <c r="E79" s="206">
        <f>SUM(COUNTIFS(Tabla1[AÑO PARTO],$B$4,Tabla1[MES PARTO],E6,Tabla1[SALE DEL PROGRAMA POR],"PARTO",Tabla1[FECHA VACUNA ANTI INFLUENZA],"&lt;&gt;"),COUNTIFS(Tabla1[AÑO PARTO],$B$4,Tabla1[MES PARTO],E6,Tabla1[SALE DEL PROGRAMA POR],"CESAREA",Tabla1[FECHA VACUNA ANTI INFLUENZA],"&lt;&gt;"))</f>
        <v>0</v>
      </c>
      <c r="F79" s="206">
        <f>SUM(COUNTIFS(Tabla1[AÑO PARTO],$B$4,Tabla1[MES PARTO],F6,Tabla1[SALE DEL PROGRAMA POR],"PARTO",Tabla1[FECHA VACUNA ANTI INFLUENZA],"&lt;&gt;"),COUNTIFS(Tabla1[AÑO PARTO],$B$4,Tabla1[MES PARTO],F6,Tabla1[SALE DEL PROGRAMA POR],"CESAREA",Tabla1[FECHA VACUNA ANTI INFLUENZA],"&lt;&gt;"))</f>
        <v>0</v>
      </c>
      <c r="G79" s="206">
        <f>SUM(COUNTIFS(Tabla1[AÑO PARTO],$B$4,Tabla1[MES PARTO],G6,Tabla1[SALE DEL PROGRAMA POR],"PARTO",Tabla1[FECHA VACUNA ANTI INFLUENZA],"&lt;&gt;"),COUNTIFS(Tabla1[AÑO PARTO],$B$4,Tabla1[MES PARTO],G6,Tabla1[SALE DEL PROGRAMA POR],"CESAREA",Tabla1[FECHA VACUNA ANTI INFLUENZA],"&lt;&gt;"))</f>
        <v>0</v>
      </c>
      <c r="H79" s="206">
        <f>SUM(COUNTIFS(Tabla1[AÑO PARTO],$B$4,Tabla1[MES PARTO],H6,Tabla1[SALE DEL PROGRAMA POR],"PARTO",Tabla1[FECHA VACUNA ANTI INFLUENZA],"&lt;&gt;"),COUNTIFS(Tabla1[AÑO PARTO],$B$4,Tabla1[MES PARTO],H6,Tabla1[SALE DEL PROGRAMA POR],"CESAREA",Tabla1[FECHA VACUNA ANTI INFLUENZA],"&lt;&gt;"))</f>
        <v>0</v>
      </c>
      <c r="I79" s="206">
        <f>SUM(COUNTIFS(Tabla1[AÑO PARTO],$B$4,Tabla1[MES PARTO],I6,Tabla1[SALE DEL PROGRAMA POR],"PARTO",Tabla1[FECHA VACUNA ANTI INFLUENZA],"&lt;&gt;"),COUNTIFS(Tabla1[AÑO PARTO],$B$4,Tabla1[MES PARTO],I6,Tabla1[SALE DEL PROGRAMA POR],"CESAREA",Tabla1[FECHA VACUNA ANTI INFLUENZA],"&lt;&gt;"))</f>
        <v>0</v>
      </c>
      <c r="J79" s="206">
        <f>SUM(COUNTIFS(Tabla1[AÑO PARTO],$B$4,Tabla1[MES PARTO],J6,Tabla1[SALE DEL PROGRAMA POR],"PARTO",Tabla1[FECHA VACUNA ANTI INFLUENZA],"&lt;&gt;"),COUNTIFS(Tabla1[AÑO PARTO],$B$4,Tabla1[MES PARTO],J6,Tabla1[SALE DEL PROGRAMA POR],"CESAREA",Tabla1[FECHA VACUNA ANTI INFLUENZA],"&lt;&gt;"))</f>
        <v>0</v>
      </c>
      <c r="K79" s="206">
        <f>SUM(COUNTIFS(Tabla1[AÑO PARTO],$B$4,Tabla1[MES PARTO],K6,Tabla1[SALE DEL PROGRAMA POR],"PARTO",Tabla1[FECHA VACUNA ANTI INFLUENZA],"&lt;&gt;"),COUNTIFS(Tabla1[AÑO PARTO],$B$4,Tabla1[MES PARTO],K6,Tabla1[SALE DEL PROGRAMA POR],"CESAREA",Tabla1[FECHA VACUNA ANTI INFLUENZA],"&lt;&gt;"))</f>
        <v>0</v>
      </c>
      <c r="L79" s="206">
        <f>SUM(COUNTIFS(Tabla1[AÑO PARTO],$B$4,Tabla1[MES PARTO],L6,Tabla1[SALE DEL PROGRAMA POR],"PARTO",Tabla1[FECHA VACUNA ANTI INFLUENZA],"&lt;&gt;"),COUNTIFS(Tabla1[AÑO PARTO],$B$4,Tabla1[MES PARTO],L6,Tabla1[SALE DEL PROGRAMA POR],"CESAREA",Tabla1[FECHA VACUNA ANTI INFLUENZA],"&lt;&gt;"))</f>
        <v>0</v>
      </c>
      <c r="M79" s="206">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10"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11" t="str">
        <f t="shared" si="22"/>
        <v/>
      </c>
    </row>
    <row r="81" spans="1:14" ht="39" customHeight="1" thickBot="1" x14ac:dyDescent="0.3">
      <c r="A81" s="78" t="s">
        <v>824</v>
      </c>
      <c r="B81" s="206">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6">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6">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6">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6">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6">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6">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6">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6">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6">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6">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6">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10"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11" t="str">
        <f t="shared" si="23"/>
        <v/>
      </c>
    </row>
    <row r="83" spans="1:14" ht="39" customHeight="1" thickBot="1" x14ac:dyDescent="0.3">
      <c r="A83" s="78" t="s">
        <v>826</v>
      </c>
      <c r="B83" s="206">
        <f>SUM(COUNTIFS(Tabla1[AÑO PARTO],$B$4,Tabla1[MES PARTO],B6,Tabla1[SALE DEL PROGRAMA POR],"PARTO",Tabla1[FECHA VACUNA TD],"&lt;&gt;"),COUNTIFS(Tabla1[AÑO PARTO],$B$4,Tabla1[MES PARTO],B6,Tabla1[SALE DEL PROGRAMA POR],"CESAREA",Tabla1[FECHA VACUNA TD],"&lt;&gt;"))</f>
        <v>0</v>
      </c>
      <c r="C83" s="206">
        <f>SUM(COUNTIFS(Tabla1[AÑO PARTO],$B$4,Tabla1[MES PARTO],C6,Tabla1[SALE DEL PROGRAMA POR],"PARTO",Tabla1[FECHA VACUNA TD],"&lt;&gt;"),COUNTIFS(Tabla1[AÑO PARTO],$B$4,Tabla1[MES PARTO],C6,Tabla1[SALE DEL PROGRAMA POR],"CESAREA",Tabla1[FECHA VACUNA TD],"&lt;&gt;"))</f>
        <v>0</v>
      </c>
      <c r="D83" s="206">
        <f>SUM(COUNTIFS(Tabla1[AÑO PARTO],$B$4,Tabla1[MES PARTO],D6,Tabla1[SALE DEL PROGRAMA POR],"PARTO",Tabla1[FECHA VACUNA TD],"&lt;&gt;"),COUNTIFS(Tabla1[AÑO PARTO],$B$4,Tabla1[MES PARTO],D6,Tabla1[SALE DEL PROGRAMA POR],"CESAREA",Tabla1[FECHA VACUNA TD],"&lt;&gt;"))</f>
        <v>0</v>
      </c>
      <c r="E83" s="206">
        <f>SUM(COUNTIFS(Tabla1[AÑO PARTO],$B$4,Tabla1[MES PARTO],E6,Tabla1[SALE DEL PROGRAMA POR],"PARTO",Tabla1[FECHA VACUNA TD],"&lt;&gt;"),COUNTIFS(Tabla1[AÑO PARTO],$B$4,Tabla1[MES PARTO],E6,Tabla1[SALE DEL PROGRAMA POR],"CESAREA",Tabla1[FECHA VACUNA TD],"&lt;&gt;"))</f>
        <v>0</v>
      </c>
      <c r="F83" s="206">
        <f>SUM(COUNTIFS(Tabla1[AÑO PARTO],$B$4,Tabla1[MES PARTO],F6,Tabla1[SALE DEL PROGRAMA POR],"PARTO",Tabla1[FECHA VACUNA TD],"&lt;&gt;"),COUNTIFS(Tabla1[AÑO PARTO],$B$4,Tabla1[MES PARTO],F6,Tabla1[SALE DEL PROGRAMA POR],"CESAREA",Tabla1[FECHA VACUNA TD],"&lt;&gt;"))</f>
        <v>0</v>
      </c>
      <c r="G83" s="206">
        <f>SUM(COUNTIFS(Tabla1[AÑO PARTO],$B$4,Tabla1[MES PARTO],G6,Tabla1[SALE DEL PROGRAMA POR],"PARTO",Tabla1[FECHA VACUNA TD],"&lt;&gt;"),COUNTIFS(Tabla1[AÑO PARTO],$B$4,Tabla1[MES PARTO],G6,Tabla1[SALE DEL PROGRAMA POR],"CESAREA",Tabla1[FECHA VACUNA TD],"&lt;&gt;"))</f>
        <v>0</v>
      </c>
      <c r="H83" s="206">
        <f>SUM(COUNTIFS(Tabla1[AÑO PARTO],$B$4,Tabla1[MES PARTO],H6,Tabla1[SALE DEL PROGRAMA POR],"PARTO",Tabla1[FECHA VACUNA TD],"&lt;&gt;"),COUNTIFS(Tabla1[AÑO PARTO],$B$4,Tabla1[MES PARTO],H6,Tabla1[SALE DEL PROGRAMA POR],"CESAREA",Tabla1[FECHA VACUNA TD],"&lt;&gt;"))</f>
        <v>0</v>
      </c>
      <c r="I83" s="206">
        <f>SUM(COUNTIFS(Tabla1[AÑO PARTO],$B$4,Tabla1[MES PARTO],I6,Tabla1[SALE DEL PROGRAMA POR],"PARTO",Tabla1[FECHA VACUNA TD],"&lt;&gt;"),COUNTIFS(Tabla1[AÑO PARTO],$B$4,Tabla1[MES PARTO],I6,Tabla1[SALE DEL PROGRAMA POR],"CESAREA",Tabla1[FECHA VACUNA TD],"&lt;&gt;"))</f>
        <v>0</v>
      </c>
      <c r="J83" s="206">
        <f>SUM(COUNTIFS(Tabla1[AÑO PARTO],$B$4,Tabla1[MES PARTO],J6,Tabla1[SALE DEL PROGRAMA POR],"PARTO",Tabla1[FECHA VACUNA TD],"&lt;&gt;"),COUNTIFS(Tabla1[AÑO PARTO],$B$4,Tabla1[MES PARTO],J6,Tabla1[SALE DEL PROGRAMA POR],"CESAREA",Tabla1[FECHA VACUNA TD],"&lt;&gt;"))</f>
        <v>0</v>
      </c>
      <c r="K83" s="206">
        <f>SUM(COUNTIFS(Tabla1[AÑO PARTO],$B$4,Tabla1[MES PARTO],K6,Tabla1[SALE DEL PROGRAMA POR],"PARTO",Tabla1[FECHA VACUNA TD],"&lt;&gt;"),COUNTIFS(Tabla1[AÑO PARTO],$B$4,Tabla1[MES PARTO],K6,Tabla1[SALE DEL PROGRAMA POR],"CESAREA",Tabla1[FECHA VACUNA TD],"&lt;&gt;"))</f>
        <v>0</v>
      </c>
      <c r="L83" s="206">
        <f>SUM(COUNTIFS(Tabla1[AÑO PARTO],$B$4,Tabla1[MES PARTO],L6,Tabla1[SALE DEL PROGRAMA POR],"PARTO",Tabla1[FECHA VACUNA TD],"&lt;&gt;"),COUNTIFS(Tabla1[AÑO PARTO],$B$4,Tabla1[MES PARTO],L6,Tabla1[SALE DEL PROGRAMA POR],"CESAREA",Tabla1[FECHA VACUNA TD],"&lt;&gt;"))</f>
        <v>0</v>
      </c>
      <c r="M83" s="206">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10"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11"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6" t="s">
        <v>773</v>
      </c>
      <c r="B103" s="191" t="str">
        <f>IF(B$91=0,"",SUM(B102/B$91))</f>
        <v/>
      </c>
      <c r="C103" s="192" t="str">
        <f t="shared" ref="C103:N103" si="35">IF(C$91=0,"",SUM(C102/C$91))</f>
        <v/>
      </c>
      <c r="D103" s="192" t="str">
        <f t="shared" si="35"/>
        <v/>
      </c>
      <c r="E103" s="192" t="str">
        <f t="shared" si="35"/>
        <v/>
      </c>
      <c r="F103" s="192" t="str">
        <f t="shared" si="35"/>
        <v/>
      </c>
      <c r="G103" s="192" t="str">
        <f t="shared" si="35"/>
        <v/>
      </c>
      <c r="H103" s="192" t="str">
        <f t="shared" si="35"/>
        <v/>
      </c>
      <c r="I103" s="192" t="str">
        <f t="shared" si="35"/>
        <v/>
      </c>
      <c r="J103" s="192" t="str">
        <f t="shared" si="35"/>
        <v/>
      </c>
      <c r="K103" s="192" t="str">
        <f t="shared" si="35"/>
        <v/>
      </c>
      <c r="L103" s="192" t="str">
        <f t="shared" si="35"/>
        <v/>
      </c>
      <c r="M103" s="192" t="str">
        <f t="shared" si="35"/>
        <v/>
      </c>
      <c r="N103" s="193" t="str">
        <f t="shared" si="35"/>
        <v/>
      </c>
    </row>
    <row r="104" spans="1:14 16384:16384" ht="44.25" customHeight="1" thickBot="1" x14ac:dyDescent="0.3">
      <c r="A104" s="122" t="s">
        <v>845</v>
      </c>
      <c r="B104" s="206">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6">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6">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6">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6">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6">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6">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6">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6">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6">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6">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6">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9"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6">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6">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6">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6">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6">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6">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6">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6">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6">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6">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6">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6">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32" t="s">
        <v>805</v>
      </c>
      <c r="B107" s="206">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6">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6">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6">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6">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6">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6">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6">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6">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6">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6">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6">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22"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6">
        <f>COUNTIFS(Tabla1[AÑO PARTO],$B$4,Tabla1[MES PARTO],B6,Tabla1[SALE DEL PROGRAMA POR],"PARTO",Tabla1[DILIGENCIAMIENTO DE PARTOGRAMA (NO APLICA EN EXPULSIVO)],"SI",Tabla1[NIVEL DE COMPLEJIDAD DE LA ATENCION DE LA INSTITUCION DONDE SE ATENDIO EL PARTO],"BAJA")</f>
        <v>0</v>
      </c>
      <c r="C109" s="206">
        <f>COUNTIFS(Tabla1[AÑO PARTO],$B$4,Tabla1[MES PARTO],C6,Tabla1[SALE DEL PROGRAMA POR],"PARTO",Tabla1[DILIGENCIAMIENTO DE PARTOGRAMA (NO APLICA EN EXPULSIVO)],"SI",Tabla1[NIVEL DE COMPLEJIDAD DE LA ATENCION DE LA INSTITUCION DONDE SE ATENDIO EL PARTO],"BAJA")</f>
        <v>0</v>
      </c>
      <c r="D109" s="206">
        <f>COUNTIFS(Tabla1[AÑO PARTO],$B$4,Tabla1[MES PARTO],D6,Tabla1[SALE DEL PROGRAMA POR],"PARTO",Tabla1[DILIGENCIAMIENTO DE PARTOGRAMA (NO APLICA EN EXPULSIVO)],"SI",Tabla1[NIVEL DE COMPLEJIDAD DE LA ATENCION DE LA INSTITUCION DONDE SE ATENDIO EL PARTO],"BAJA")</f>
        <v>0</v>
      </c>
      <c r="E109" s="206">
        <f>COUNTIFS(Tabla1[AÑO PARTO],$B$4,Tabla1[MES PARTO],E6,Tabla1[SALE DEL PROGRAMA POR],"PARTO",Tabla1[DILIGENCIAMIENTO DE PARTOGRAMA (NO APLICA EN EXPULSIVO)],"SI",Tabla1[NIVEL DE COMPLEJIDAD DE LA ATENCION DE LA INSTITUCION DONDE SE ATENDIO EL PARTO],"BAJA")</f>
        <v>0</v>
      </c>
      <c r="F109" s="206">
        <f>COUNTIFS(Tabla1[AÑO PARTO],$B$4,Tabla1[MES PARTO],F6,Tabla1[SALE DEL PROGRAMA POR],"PARTO",Tabla1[DILIGENCIAMIENTO DE PARTOGRAMA (NO APLICA EN EXPULSIVO)],"SI",Tabla1[NIVEL DE COMPLEJIDAD DE LA ATENCION DE LA INSTITUCION DONDE SE ATENDIO EL PARTO],"BAJA")</f>
        <v>0</v>
      </c>
      <c r="G109" s="206">
        <f>COUNTIFS(Tabla1[AÑO PARTO],$B$4,Tabla1[MES PARTO],G6,Tabla1[SALE DEL PROGRAMA POR],"PARTO",Tabla1[DILIGENCIAMIENTO DE PARTOGRAMA (NO APLICA EN EXPULSIVO)],"SI",Tabla1[NIVEL DE COMPLEJIDAD DE LA ATENCION DE LA INSTITUCION DONDE SE ATENDIO EL PARTO],"BAJA")</f>
        <v>0</v>
      </c>
      <c r="H109" s="206">
        <f>COUNTIFS(Tabla1[AÑO PARTO],$B$4,Tabla1[MES PARTO],H6,Tabla1[SALE DEL PROGRAMA POR],"PARTO",Tabla1[DILIGENCIAMIENTO DE PARTOGRAMA (NO APLICA EN EXPULSIVO)],"SI",Tabla1[NIVEL DE COMPLEJIDAD DE LA ATENCION DE LA INSTITUCION DONDE SE ATENDIO EL PARTO],"BAJA")</f>
        <v>0</v>
      </c>
      <c r="I109" s="206">
        <f>COUNTIFS(Tabla1[AÑO PARTO],$B$4,Tabla1[MES PARTO],I6,Tabla1[SALE DEL PROGRAMA POR],"PARTO",Tabla1[DILIGENCIAMIENTO DE PARTOGRAMA (NO APLICA EN EXPULSIVO)],"SI",Tabla1[NIVEL DE COMPLEJIDAD DE LA ATENCION DE LA INSTITUCION DONDE SE ATENDIO EL PARTO],"BAJA")</f>
        <v>0</v>
      </c>
      <c r="J109" s="206">
        <f>COUNTIFS(Tabla1[AÑO PARTO],$B$4,Tabla1[MES PARTO],J6,Tabla1[SALE DEL PROGRAMA POR],"PARTO",Tabla1[DILIGENCIAMIENTO DE PARTOGRAMA (NO APLICA EN EXPULSIVO)],"SI",Tabla1[NIVEL DE COMPLEJIDAD DE LA ATENCION DE LA INSTITUCION DONDE SE ATENDIO EL PARTO],"BAJA")</f>
        <v>0</v>
      </c>
      <c r="K109" s="206">
        <f>COUNTIFS(Tabla1[AÑO PARTO],$B$4,Tabla1[MES PARTO],K6,Tabla1[SALE DEL PROGRAMA POR],"PARTO",Tabla1[DILIGENCIAMIENTO DE PARTOGRAMA (NO APLICA EN EXPULSIVO)],"SI",Tabla1[NIVEL DE COMPLEJIDAD DE LA ATENCION DE LA INSTITUCION DONDE SE ATENDIO EL PARTO],"BAJA")</f>
        <v>0</v>
      </c>
      <c r="L109" s="206">
        <f>COUNTIFS(Tabla1[AÑO PARTO],$B$4,Tabla1[MES PARTO],L6,Tabla1[SALE DEL PROGRAMA POR],"PARTO",Tabla1[DILIGENCIAMIENTO DE PARTOGRAMA (NO APLICA EN EXPULSIVO)],"SI",Tabla1[NIVEL DE COMPLEJIDAD DE LA ATENCION DE LA INSTITUCION DONDE SE ATENDIO EL PARTO],"BAJA")</f>
        <v>0</v>
      </c>
      <c r="M109" s="206">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32" t="s">
        <v>794</v>
      </c>
      <c r="B110" s="206">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6">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6">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6">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6">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6">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6">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6">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6">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6">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6">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6">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3"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6">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6">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6">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6">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6">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6">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6">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6">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6">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6">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6">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6">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32" t="s">
        <v>797</v>
      </c>
      <c r="B113" s="206">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6">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6">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6">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6">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6">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6">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6">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6">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6">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6">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6">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10"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11" t="str">
        <f t="shared" si="37"/>
        <v/>
      </c>
    </row>
    <row r="115" spans="1:14" ht="42.75" customHeight="1" thickBot="1" x14ac:dyDescent="0.3">
      <c r="A115" s="194" t="s">
        <v>753</v>
      </c>
      <c r="B115" s="208">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5">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5">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5">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5">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5">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5">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5">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5">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5">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5">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5">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9">
        <f>SUM(B115:M115)</f>
        <v>0</v>
      </c>
    </row>
    <row r="116" spans="1:14" ht="42.75" customHeight="1" thickBot="1" x14ac:dyDescent="0.3">
      <c r="A116" s="217" t="s">
        <v>771</v>
      </c>
      <c r="B116" s="208" t="str">
        <f>IF(B$102=0,"",SUM(B115/B$102))</f>
        <v/>
      </c>
      <c r="C116" s="195" t="str">
        <f t="shared" ref="C116:N116" si="38">IF(C$102=0,"",SUM(C115/C$102))</f>
        <v/>
      </c>
      <c r="D116" s="195" t="str">
        <f t="shared" si="38"/>
        <v/>
      </c>
      <c r="E116" s="195" t="str">
        <f t="shared" si="38"/>
        <v/>
      </c>
      <c r="F116" s="195" t="str">
        <f t="shared" si="38"/>
        <v/>
      </c>
      <c r="G116" s="195" t="str">
        <f t="shared" si="38"/>
        <v/>
      </c>
      <c r="H116" s="195" t="str">
        <f t="shared" si="38"/>
        <v/>
      </c>
      <c r="I116" s="195" t="str">
        <f t="shared" si="38"/>
        <v/>
      </c>
      <c r="J116" s="195" t="str">
        <f t="shared" si="38"/>
        <v/>
      </c>
      <c r="K116" s="195" t="str">
        <f t="shared" si="38"/>
        <v/>
      </c>
      <c r="L116" s="195" t="str">
        <f t="shared" si="38"/>
        <v/>
      </c>
      <c r="M116" s="195" t="str">
        <f t="shared" si="38"/>
        <v/>
      </c>
      <c r="N116" s="209" t="str">
        <f t="shared" si="38"/>
        <v/>
      </c>
    </row>
    <row r="117" spans="1:14" ht="42.75" customHeight="1" thickBot="1" x14ac:dyDescent="0.3">
      <c r="A117" s="194" t="s">
        <v>754</v>
      </c>
      <c r="B117" s="208">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12">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12">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12">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12">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12">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12">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12">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12">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12">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12">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12">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9">
        <f>SUM(B117:M117)</f>
        <v>0</v>
      </c>
    </row>
    <row r="118" spans="1:14" ht="42.75" customHeight="1" thickBot="1" x14ac:dyDescent="0.3">
      <c r="A118" s="210" t="s">
        <v>755</v>
      </c>
      <c r="B118" s="208" t="str">
        <f t="shared" ref="B118:N118" si="39">IF(B$107=0,"",SUM(B117/B$107))</f>
        <v/>
      </c>
      <c r="C118" s="195" t="str">
        <f t="shared" si="39"/>
        <v/>
      </c>
      <c r="D118" s="195" t="str">
        <f t="shared" si="39"/>
        <v/>
      </c>
      <c r="E118" s="195" t="str">
        <f t="shared" si="39"/>
        <v/>
      </c>
      <c r="F118" s="195" t="str">
        <f t="shared" si="39"/>
        <v/>
      </c>
      <c r="G118" s="195" t="str">
        <f t="shared" si="39"/>
        <v/>
      </c>
      <c r="H118" s="195" t="str">
        <f t="shared" si="39"/>
        <v/>
      </c>
      <c r="I118" s="195" t="str">
        <f t="shared" si="39"/>
        <v/>
      </c>
      <c r="J118" s="195" t="str">
        <f t="shared" si="39"/>
        <v/>
      </c>
      <c r="K118" s="195" t="str">
        <f t="shared" si="39"/>
        <v/>
      </c>
      <c r="L118" s="195" t="str">
        <f t="shared" si="39"/>
        <v/>
      </c>
      <c r="M118" s="195" t="str">
        <f t="shared" si="39"/>
        <v/>
      </c>
      <c r="N118" s="209" t="str">
        <f t="shared" si="39"/>
        <v/>
      </c>
    </row>
    <row r="119" spans="1:14" ht="42.75" customHeight="1" thickBot="1" x14ac:dyDescent="0.3">
      <c r="A119" s="194" t="s">
        <v>830</v>
      </c>
      <c r="B119" s="208">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12">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12">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12">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12">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12">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12">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12">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12">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12">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12">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12">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9">
        <f>SUM(B119:M119)</f>
        <v>0</v>
      </c>
    </row>
    <row r="120" spans="1:14" ht="42.75" customHeight="1" thickBot="1" x14ac:dyDescent="0.3">
      <c r="A120" s="217" t="s">
        <v>828</v>
      </c>
      <c r="B120" s="208" t="str">
        <f t="shared" ref="B120:N120" si="40">IF(B$102=0,"",SUM(B119/B$102))</f>
        <v/>
      </c>
      <c r="C120" s="195" t="str">
        <f t="shared" si="40"/>
        <v/>
      </c>
      <c r="D120" s="195" t="str">
        <f t="shared" si="40"/>
        <v/>
      </c>
      <c r="E120" s="195" t="str">
        <f t="shared" si="40"/>
        <v/>
      </c>
      <c r="F120" s="195" t="str">
        <f t="shared" si="40"/>
        <v/>
      </c>
      <c r="G120" s="195" t="str">
        <f t="shared" si="40"/>
        <v/>
      </c>
      <c r="H120" s="195" t="str">
        <f t="shared" si="40"/>
        <v/>
      </c>
      <c r="I120" s="195" t="str">
        <f t="shared" si="40"/>
        <v/>
      </c>
      <c r="J120" s="195" t="str">
        <f t="shared" si="40"/>
        <v/>
      </c>
      <c r="K120" s="195" t="str">
        <f t="shared" si="40"/>
        <v/>
      </c>
      <c r="L120" s="195" t="str">
        <f t="shared" si="40"/>
        <v/>
      </c>
      <c r="M120" s="195" t="str">
        <f t="shared" si="40"/>
        <v/>
      </c>
      <c r="N120" s="209" t="str">
        <f t="shared" si="40"/>
        <v/>
      </c>
    </row>
    <row r="121" spans="1:14" ht="42.75" customHeight="1" thickBot="1" x14ac:dyDescent="0.3">
      <c r="A121" s="194" t="s">
        <v>831</v>
      </c>
      <c r="B121" s="208">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9">
        <f>SUM(B121:M121)</f>
        <v>0</v>
      </c>
    </row>
    <row r="122" spans="1:14" ht="42.75" customHeight="1" thickBot="1" x14ac:dyDescent="0.3">
      <c r="A122" s="210" t="s">
        <v>829</v>
      </c>
      <c r="B122" s="208" t="str">
        <f t="shared" ref="B122:N122" si="41">IF(B$107=0,"",SUM(B121/B$107))</f>
        <v/>
      </c>
      <c r="C122" s="195" t="str">
        <f t="shared" si="41"/>
        <v/>
      </c>
      <c r="D122" s="195" t="str">
        <f t="shared" si="41"/>
        <v/>
      </c>
      <c r="E122" s="195" t="str">
        <f t="shared" si="41"/>
        <v/>
      </c>
      <c r="F122" s="195" t="str">
        <f t="shared" si="41"/>
        <v/>
      </c>
      <c r="G122" s="195" t="str">
        <f t="shared" si="41"/>
        <v/>
      </c>
      <c r="H122" s="195" t="str">
        <f t="shared" si="41"/>
        <v/>
      </c>
      <c r="I122" s="195" t="str">
        <f t="shared" si="41"/>
        <v/>
      </c>
      <c r="J122" s="195" t="str">
        <f t="shared" si="41"/>
        <v/>
      </c>
      <c r="K122" s="195" t="str">
        <f t="shared" si="41"/>
        <v/>
      </c>
      <c r="L122" s="195" t="str">
        <f t="shared" si="41"/>
        <v/>
      </c>
      <c r="M122" s="195" t="str">
        <f t="shared" si="41"/>
        <v/>
      </c>
      <c r="N122" s="209" t="str">
        <f t="shared" si="41"/>
        <v/>
      </c>
    </row>
    <row r="123" spans="1:14" ht="49.5" customHeight="1" thickBot="1" x14ac:dyDescent="0.3">
      <c r="A123" s="194" t="s">
        <v>738</v>
      </c>
      <c r="B123" s="196">
        <f>COUNTIFS(Tabla1[AÑO PARTO],B4,Tabla1[MES PARTO],B6,Tabla1[SALE DEL PROGRAMA POR],"PARTO",Tabla1[NIVEL DE COMPLEJIDAD DE LA ATENCION DE LA INSTITUCION DONDE SE ATENDIO EL PARTO],"BAJA",Tabla1[[PUERPERA SALE CON PLANIFICACIÓN FAMILIAR POST EVENTO OBSTETRICO ]],"SI")</f>
        <v>0</v>
      </c>
      <c r="C123" s="196">
        <f>COUNTIFS(Tabla1[AÑO PARTO],B4,Tabla1[MES PARTO],C6,Tabla1[SALE DEL PROGRAMA POR],"PARTO",Tabla1[NIVEL DE COMPLEJIDAD DE LA ATENCION DE LA INSTITUCION DONDE SE ATENDIO EL PARTO],"BAJA",Tabla1[[PUERPERA SALE CON PLANIFICACIÓN FAMILIAR POST EVENTO OBSTETRICO ]],"SI")</f>
        <v>0</v>
      </c>
      <c r="D123" s="196">
        <f>COUNTIFS(Tabla1[AÑO PARTO],B4,Tabla1[MES PARTO],D6,Tabla1[SALE DEL PROGRAMA POR],"PARTO",Tabla1[NIVEL DE COMPLEJIDAD DE LA ATENCION DE LA INSTITUCION DONDE SE ATENDIO EL PARTO],"BAJA",Tabla1[[PUERPERA SALE CON PLANIFICACIÓN FAMILIAR POST EVENTO OBSTETRICO ]],"SI")</f>
        <v>0</v>
      </c>
      <c r="E123" s="196">
        <f>COUNTIFS(Tabla1[AÑO PARTO],B4,Tabla1[MES PARTO],E6,Tabla1[SALE DEL PROGRAMA POR],"PARTO",Tabla1[NIVEL DE COMPLEJIDAD DE LA ATENCION DE LA INSTITUCION DONDE SE ATENDIO EL PARTO],"BAJA",Tabla1[[PUERPERA SALE CON PLANIFICACIÓN FAMILIAR POST EVENTO OBSTETRICO ]],"SI")</f>
        <v>0</v>
      </c>
      <c r="F123" s="196">
        <f>COUNTIFS(Tabla1[AÑO PARTO],B4,Tabla1[MES PARTO],F6,Tabla1[SALE DEL PROGRAMA POR],"PARTO",Tabla1[NIVEL DE COMPLEJIDAD DE LA ATENCION DE LA INSTITUCION DONDE SE ATENDIO EL PARTO],"BAJA",Tabla1[[PUERPERA SALE CON PLANIFICACIÓN FAMILIAR POST EVENTO OBSTETRICO ]],"SI")</f>
        <v>0</v>
      </c>
      <c r="G123" s="196">
        <f>COUNTIFS(Tabla1[AÑO PARTO],B4,Tabla1[MES PARTO],G6,Tabla1[SALE DEL PROGRAMA POR],"PARTO",Tabla1[NIVEL DE COMPLEJIDAD DE LA ATENCION DE LA INSTITUCION DONDE SE ATENDIO EL PARTO],"BAJA",Tabla1[[PUERPERA SALE CON PLANIFICACIÓN FAMILIAR POST EVENTO OBSTETRICO ]],"SI")</f>
        <v>0</v>
      </c>
      <c r="H123" s="196">
        <f>COUNTIFS(Tabla1[AÑO PARTO],B4,Tabla1[MES PARTO],H6,Tabla1[SALE DEL PROGRAMA POR],"PARTO",Tabla1[NIVEL DE COMPLEJIDAD DE LA ATENCION DE LA INSTITUCION DONDE SE ATENDIO EL PARTO],"BAJA",Tabla1[[PUERPERA SALE CON PLANIFICACIÓN FAMILIAR POST EVENTO OBSTETRICO ]],"SI")</f>
        <v>0</v>
      </c>
      <c r="I123" s="196">
        <f>COUNTIFS(Tabla1[AÑO PARTO],B4,Tabla1[MES PARTO],I6,Tabla1[SALE DEL PROGRAMA POR],"PARTO",Tabla1[NIVEL DE COMPLEJIDAD DE LA ATENCION DE LA INSTITUCION DONDE SE ATENDIO EL PARTO],"BAJA",Tabla1[[PUERPERA SALE CON PLANIFICACIÓN FAMILIAR POST EVENTO OBSTETRICO ]],"SI")</f>
        <v>0</v>
      </c>
      <c r="J123" s="196">
        <f>COUNTIFS(Tabla1[AÑO PARTO],B4,Tabla1[MES PARTO],J6,Tabla1[SALE DEL PROGRAMA POR],"PARTO",Tabla1[NIVEL DE COMPLEJIDAD DE LA ATENCION DE LA INSTITUCION DONDE SE ATENDIO EL PARTO],"BAJA",Tabla1[[PUERPERA SALE CON PLANIFICACIÓN FAMILIAR POST EVENTO OBSTETRICO ]],"SI")</f>
        <v>0</v>
      </c>
      <c r="K123" s="196">
        <f>COUNTIFS(Tabla1[AÑO PARTO],B4,Tabla1[MES PARTO],K6,Tabla1[SALE DEL PROGRAMA POR],"PARTO",Tabla1[NIVEL DE COMPLEJIDAD DE LA ATENCION DE LA INSTITUCION DONDE SE ATENDIO EL PARTO],"BAJA",Tabla1[[PUERPERA SALE CON PLANIFICACIÓN FAMILIAR POST EVENTO OBSTETRICO ]],"SI")</f>
        <v>0</v>
      </c>
      <c r="L123" s="196">
        <f>COUNTIFS(Tabla1[AÑO PARTO],B4,Tabla1[MES PARTO],L6,Tabla1[SALE DEL PROGRAMA POR],"PARTO",Tabla1[NIVEL DE COMPLEJIDAD DE LA ATENCION DE LA INSTITUCION DONDE SE ATENDIO EL PARTO],"BAJA",Tabla1[[PUERPERA SALE CON PLANIFICACIÓN FAMILIAR POST EVENTO OBSTETRICO ]],"SI")</f>
        <v>0</v>
      </c>
      <c r="M123" s="196">
        <f>COUNTIFS(Tabla1[AÑO PARTO],B4,Tabla1[MES PARTO],M6,Tabla1[SALE DEL PROGRAMA POR],"PARTO",Tabla1[NIVEL DE COMPLEJIDAD DE LA ATENCION DE LA INSTITUCION DONDE SE ATENDIO EL PARTO],"BAJA",Tabla1[[PUERPERA SALE CON PLANIFICACIÓN FAMILIAR POST EVENTO OBSTETRICO ]],"SI")</f>
        <v>0</v>
      </c>
      <c r="N123" s="197">
        <f>SUM(B123:M123)</f>
        <v>0</v>
      </c>
    </row>
    <row r="124" spans="1:14" ht="42.75" customHeight="1" thickBot="1" x14ac:dyDescent="0.3">
      <c r="A124" s="217"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9" t="s">
        <v>776</v>
      </c>
      <c r="B125" s="198">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8">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8">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8">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8">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8">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8">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8">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8">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8">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8">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8">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7">
        <f>SUM(B125:M125)</f>
        <v>0</v>
      </c>
    </row>
    <row r="126" spans="1:14" ht="42.75" customHeight="1" thickBot="1" x14ac:dyDescent="0.3">
      <c r="A126" s="190" t="s">
        <v>804</v>
      </c>
      <c r="B126" s="195">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5">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5">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5">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5">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5">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5">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5">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5">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5">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5">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5">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7">
        <f>SUM(B126:M126)</f>
        <v>0</v>
      </c>
    </row>
    <row r="127" spans="1:14" ht="42.75" customHeight="1" thickBot="1" x14ac:dyDescent="0.3">
      <c r="A127" s="207"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8"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50"/>
      <c r="C133" s="251"/>
      <c r="D133" s="251"/>
      <c r="E133" s="251"/>
      <c r="F133" s="251"/>
      <c r="G133" s="251"/>
      <c r="H133" s="251"/>
      <c r="I133" s="251"/>
      <c r="J133" s="251"/>
      <c r="K133" s="251"/>
      <c r="L133" s="251"/>
      <c r="M133" s="251"/>
      <c r="N133" s="205"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50"/>
      <c r="C135" s="251"/>
      <c r="D135" s="251"/>
      <c r="E135" s="251"/>
      <c r="F135" s="251"/>
      <c r="G135" s="251"/>
      <c r="H135" s="251"/>
      <c r="I135" s="251"/>
      <c r="J135" s="251"/>
      <c r="K135" s="251"/>
      <c r="L135" s="251"/>
      <c r="M135" s="251"/>
      <c r="N135" s="205"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52"/>
      <c r="C137" s="253"/>
      <c r="D137" s="253"/>
      <c r="E137" s="253"/>
      <c r="F137" s="253"/>
      <c r="G137" s="253"/>
      <c r="H137" s="253"/>
      <c r="I137" s="253"/>
      <c r="J137" s="253"/>
      <c r="K137" s="253"/>
      <c r="L137" s="253"/>
      <c r="M137" s="253"/>
      <c r="N137" s="205" t="str">
        <f>IF(N$128=0,"",SUM((N136/N$128)*100000))</f>
        <v/>
      </c>
    </row>
    <row r="138" spans="1:14" ht="26.25" thickBot="1" x14ac:dyDescent="0.3">
      <c r="A138" s="201" t="s">
        <v>746</v>
      </c>
      <c r="B138" s="252" t="str">
        <f t="shared" ref="B138:N138" si="45">IF(B$136=0,"",SUM(B134/B136))</f>
        <v/>
      </c>
      <c r="C138" s="253" t="str">
        <f t="shared" si="45"/>
        <v/>
      </c>
      <c r="D138" s="253" t="str">
        <f t="shared" si="45"/>
        <v/>
      </c>
      <c r="E138" s="253" t="str">
        <f t="shared" si="45"/>
        <v/>
      </c>
      <c r="F138" s="253" t="str">
        <f t="shared" si="45"/>
        <v/>
      </c>
      <c r="G138" s="253" t="str">
        <f t="shared" si="45"/>
        <v/>
      </c>
      <c r="H138" s="253" t="str">
        <f t="shared" si="45"/>
        <v/>
      </c>
      <c r="I138" s="253" t="str">
        <f t="shared" si="45"/>
        <v/>
      </c>
      <c r="J138" s="253" t="str">
        <f t="shared" si="45"/>
        <v/>
      </c>
      <c r="K138" s="253" t="str">
        <f t="shared" si="45"/>
        <v/>
      </c>
      <c r="L138" s="253" t="str">
        <f t="shared" si="45"/>
        <v/>
      </c>
      <c r="M138" s="253" t="str">
        <f t="shared" si="45"/>
        <v/>
      </c>
      <c r="N138" s="204"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202" t="s">
        <v>747</v>
      </c>
      <c r="B140" s="246" t="str">
        <f>IF(B$139=0,"",SUM(B136/B139))</f>
        <v/>
      </c>
      <c r="C140" s="247"/>
      <c r="D140" s="247"/>
      <c r="E140" s="247"/>
      <c r="F140" s="247"/>
      <c r="G140" s="247"/>
      <c r="H140" s="247"/>
      <c r="I140" s="247"/>
      <c r="J140" s="247"/>
      <c r="K140" s="247"/>
      <c r="L140" s="247"/>
      <c r="M140" s="247"/>
      <c r="N140" s="203"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338" priority="45" operator="containsText" text="SE TRASLADO DE EPS">
      <formula>NOT(ISERROR(SEARCH("SE TRASLADO DE EPS",A33)))</formula>
    </cfRule>
    <cfRule type="containsText" dxfId="337" priority="46" operator="containsText" text="INMIGRANTE VENEZOLANA">
      <formula>NOT(ISERROR(SEARCH("INMIGRANTE VENEZOLANA",A33)))</formula>
    </cfRule>
    <cfRule type="containsText" dxfId="336" priority="47" operator="containsText" text="SIN AFILIACIÓN A EPS">
      <formula>NOT(ISERROR(SEARCH("SIN AFILIACIÓN A EPS",A33)))</formula>
    </cfRule>
    <cfRule type="containsText" dxfId="335" priority="48" operator="containsText" text="NOVEDAD">
      <formula>NOT(ISERROR(SEARCH("NOVEDAD",A33)))</formula>
    </cfRule>
    <cfRule type="containsText" dxfId="334" priority="49" operator="containsText" text="IDENTIDAD">
      <formula>NOT(ISERROR(SEARCH("IDENTIDAD",A33)))</formula>
    </cfRule>
    <cfRule type="containsText" dxfId="333" priority="50" operator="containsText" text="CPN">
      <formula>NOT(ISERROR(SEARCH("CPN",A33)))</formula>
    </cfRule>
    <cfRule type="containsText" dxfId="332" priority="51" operator="containsText" text="VIENE">
      <formula>NOT(ISERROR(SEARCH("VIENE",A33)))</formula>
    </cfRule>
    <cfRule type="cellIs" dxfId="331" priority="52" operator="equal">
      <formula>"TRAMITE DE PORTABILIDAD"</formula>
    </cfRule>
  </conditionalFormatting>
  <conditionalFormatting sqref="A39">
    <cfRule type="containsText" dxfId="330" priority="9" operator="containsText" text="SE TRASLADO DE EPS">
      <formula>NOT(ISERROR(SEARCH("SE TRASLADO DE EPS",A39)))</formula>
    </cfRule>
    <cfRule type="containsText" dxfId="329" priority="10" operator="containsText" text="INMIGRANTE VENEZOLANA">
      <formula>NOT(ISERROR(SEARCH("INMIGRANTE VENEZOLANA",A39)))</formula>
    </cfRule>
    <cfRule type="containsText" dxfId="328" priority="11" operator="containsText" text="SIN AFILIACIÓN A EPS">
      <formula>NOT(ISERROR(SEARCH("SIN AFILIACIÓN A EPS",A39)))</formula>
    </cfRule>
    <cfRule type="containsText" dxfId="327" priority="12" operator="containsText" text="NOVEDAD">
      <formula>NOT(ISERROR(SEARCH("NOVEDAD",A39)))</formula>
    </cfRule>
    <cfRule type="containsText" dxfId="326" priority="13" operator="containsText" text="IDENTIDAD">
      <formula>NOT(ISERROR(SEARCH("IDENTIDAD",A39)))</formula>
    </cfRule>
    <cfRule type="containsText" dxfId="325" priority="14" operator="containsText" text="CPN">
      <formula>NOT(ISERROR(SEARCH("CPN",A39)))</formula>
    </cfRule>
    <cfRule type="containsText" dxfId="324" priority="15" operator="containsText" text="VIENE">
      <formula>NOT(ISERROR(SEARCH("VIENE",A39)))</formula>
    </cfRule>
    <cfRule type="cellIs" dxfId="323"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8"/>
  <sheetViews>
    <sheetView tabSelected="1" zoomScale="70" zoomScaleNormal="70" zoomScaleSheetLayoutView="76" workbookViewId="0">
      <pane ySplit="1" topLeftCell="A2" activePane="bottomLeft" state="frozen"/>
      <selection pane="bottomLeft" activeCell="F18" sqref="F18"/>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920</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72" t="s">
        <v>745</v>
      </c>
      <c r="DP1" s="172" t="s">
        <v>731</v>
      </c>
      <c r="DQ1" s="200"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852</v>
      </c>
      <c r="FG1" s="21" t="s">
        <v>690</v>
      </c>
      <c r="FH1" s="24" t="s">
        <v>470</v>
      </c>
      <c r="FI1" s="7" t="s">
        <v>114</v>
      </c>
      <c r="FJ1" s="21" t="s">
        <v>691</v>
      </c>
      <c r="FK1" s="233"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4"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3" t="s">
        <v>704</v>
      </c>
      <c r="NK1" s="173" t="s">
        <v>705</v>
      </c>
      <c r="NL1" s="173" t="s">
        <v>706</v>
      </c>
      <c r="NM1" s="174"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9" t="s">
        <v>675</v>
      </c>
      <c r="PM1" s="170" t="s">
        <v>674</v>
      </c>
      <c r="PN1" s="170" t="s">
        <v>676</v>
      </c>
      <c r="PO1" s="170" t="s">
        <v>677</v>
      </c>
      <c r="PP1" s="170" t="s">
        <v>678</v>
      </c>
      <c r="PQ1" s="218" t="s">
        <v>679</v>
      </c>
    </row>
    <row r="2" spans="1:433" ht="42" customHeight="1" x14ac:dyDescent="0.25">
      <c r="A2" s="187" t="s">
        <v>851</v>
      </c>
      <c r="B2" s="68"/>
      <c r="C2" s="68"/>
      <c r="D2" s="187"/>
      <c r="E2" s="68"/>
      <c r="F2" s="68"/>
      <c r="G2" s="68"/>
      <c r="H2" s="68"/>
      <c r="I2" s="145"/>
      <c r="J2" s="146"/>
      <c r="K2" s="68"/>
      <c r="L2" s="68"/>
      <c r="M2" s="35"/>
      <c r="N2" s="38" t="str">
        <f t="shared" ref="N2:N8" ca="1" si="0">IF(M2&gt;0,SUM(TODAY()-M2)/365,"")</f>
        <v/>
      </c>
      <c r="O2" s="35"/>
      <c r="P2" s="39" t="str">
        <f t="shared" ref="P2:P8"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BM8" si="2">IF(OR(BJ2="SD",BK2=""),"",IF(BJ2="",0,SUM(BK2-BJ2)/30))</f>
        <v/>
      </c>
      <c r="BN2" s="57" t="str">
        <f t="shared" ref="BN2:BN8" si="3">IF(BS2&gt;0,SUM(BR2-NQ2),"")</f>
        <v/>
      </c>
      <c r="BO2" s="44" t="str">
        <f t="shared" ref="BO2:BO8" si="4">IF(AND(BL2="Corregida",BK2&gt;0,R2&gt;0,ISBLANK(BS2)),"SIN SEMANAS X ECO",IF(AND(BL2="Corregida",BK2&gt;0,R2&gt;0),SUM(R2-BN2)/7,IF(AND(OR(BL2="SI",BL2="NO"),BK2&gt;0,R2&gt;0),SUM(R2-BK2)/7,"")))</f>
        <v/>
      </c>
      <c r="BP2" s="31" t="str">
        <f t="shared" ref="BP2:BP8" si="5">IF(AND(BO2="",IP2=""),"",IF(AND(BO2="",IP2="DEFINIR FPP POR ECO"),"SIN DATO",IF(BO2&lt;0,"ERROR FUM O INGRESO O ECO",IF(BL2="NO","DEFINIR CON ECO",IF(BO2&lt;12,"I TRIM",IF(BO2&lt;27,"II TRIM",IF(AND(BO2&gt;26,BO2&lt;45),"III TRIM","ERROR FUM O INGRESO O ECO")))))))</f>
        <v/>
      </c>
      <c r="BQ2" s="39" t="str">
        <f t="shared" ref="BQ2:BQ8" ca="1" si="6">IF(SUM((TODAY()-BK2)/7)&gt;43.1,"",IF(AND(BK2&gt;0,OR(BL2="si",BL2="Corregida",BL2="NO")),SUM((TODAY()-BK2)/7),""))</f>
        <v/>
      </c>
      <c r="BR2" s="35"/>
      <c r="BS2" s="43"/>
      <c r="BT2" s="35"/>
      <c r="BU2" s="31"/>
      <c r="BV2" s="40"/>
      <c r="BW2" s="40"/>
      <c r="BX2" s="40"/>
      <c r="BY2" s="40"/>
      <c r="BZ2" s="35"/>
      <c r="CA2" s="31"/>
      <c r="CB2" s="31"/>
      <c r="CC2" s="39" t="str">
        <f t="shared" ref="CC2:CC8" si="7">IF(AND(OR(O2&gt;0,R2&gt;0),CA2=""),"SD",IF(AND(OR(O2="",R2=""),CA2=""),"",IF(AND(OR(O2&gt;0,R2&gt;0),CA2&gt;0,CB2&gt;0),SUM(CB2)/(CA2*CA2),"X")))</f>
        <v/>
      </c>
      <c r="CD2" s="45" t="str">
        <f t="shared" ref="CD2:CD8" si="8">IF(AND(CC2&lt;10,CB2="SD"),"SIN DATO PESO PREGESTACION O I TRIM",IF(AND(OR(R2&gt;0,O2&gt;0),CC2="X"),"INGRESAR DATO DE PESO",IF(CC2="SD","INGRESAR DATO DE TALLA Y PESO",IF(CC2&lt;18.5,"BAJO PESO",IF(CC2&lt;25,"NORMAL",IF(CC2&lt;30,"SOBREPESO",IF(AND(CC2&gt;=30,CC2&lt;50),"OBESIDAD","")))))))</f>
        <v/>
      </c>
      <c r="CE2" s="35"/>
      <c r="CF2" s="31"/>
      <c r="CG2" s="39" t="str">
        <f t="shared" ref="CG2:CG8" si="9">IF(AND(OR(O2&gt;0,R2&gt;0),CA2=""),"SD",IF(AND(OR(O2="",R2=""),CA2=""),"",IF(AND(OR(O2&gt;0,R2&gt;0),CA2&gt;0),SUM(CF2)/(CA2*CA2),"X")))</f>
        <v/>
      </c>
      <c r="CH2" s="31" t="str">
        <f t="shared" ref="CH2:CH8" si="10">IF(AND(CE2="",BK2=""),"",IF(AND(BK2&gt;0,CE2=""),"NA",IF(CE2&lt;BK2,"REVISAR FUM O FECHA PESO",IF(CE2&gt;0,INT(SUM(CE2-BK2)/7)))))</f>
        <v/>
      </c>
      <c r="CI2" s="31" t="str">
        <f>IF(OR(CH2="",CH2="NA"),"",IF(AND(CH2&gt;=29,CH2&lt;=42),"REGISTRAR EN III TRIM",IF(AND(CH2&gt;0,CH2&lt;=13),"REGISTRAR EN I TRIM",IF(CH2="REVISAR FUM O FECHA PESO","REVISAR",IF(CH2&gt;0,HLOOKUP(CH2,$OI$1:PK2,OH2),"")))))</f>
        <v/>
      </c>
      <c r="CJ2" s="35"/>
      <c r="CK2" s="31"/>
      <c r="CL2" s="39" t="str">
        <f t="shared" ref="CL2:CL8" si="11">IF(AND(OR(O2&gt;0,R2&gt;0),CA2=""),"SD",IF(AND(OR(O2="",R2=""),CA2=""),"",IF(AND(OR(O2&gt;0,R2&gt;0),CA2&gt;0),SUM(CK2)/(CA2*CA2),"X")))</f>
        <v/>
      </c>
      <c r="CM2" s="31" t="str">
        <f t="shared" ref="CM2:CM8" si="12">IF(AND(CJ2="",BK2=""),"",IF(AND(BK2&gt;0,CJ2=""),"NA",IF(CJ2&lt;BK2,"REVISAR FUM O FECHA PESO",IF(CJ2&gt;0,INT(SUM(CJ2-BK2)/7)))))</f>
        <v/>
      </c>
      <c r="CN2" s="31" t="str">
        <f>IF(OR(CM2="",CM2="NA"),"",IF(AND(CM2&gt;0,CM2&lt;=28),"REGISTRAR EN  TRIM RESPECTIVO",IF(CM2&gt;0,HLOOKUP(CM2,$OI$1:PK2,OH2),"")))</f>
        <v/>
      </c>
      <c r="CO2" s="31" t="str">
        <f t="shared" ref="CO2:CO8" si="13">IF(AND(OR(O2&gt;0,R2&gt;0),CD2&lt;&gt;"",CI2&lt;&gt;"",CN2&lt;&gt;""),CN2,IF(AND(OR(O2&gt;0,R2&gt;0),CD2&lt;&gt;"",CI2&lt;&gt;"",CN2=""),CI2,IF(AND(OR(O2&gt;0,R2&gt;0),CD2&lt;&gt;"",CI2="",CN2=""),CD2,IF(AND(OR(O2&gt;0,R2&gt;0),CD2&lt;&gt;"",CI2="",CN2&lt;&gt;""),CN2,""))))</f>
        <v/>
      </c>
      <c r="CP2" s="31"/>
      <c r="CQ2" s="31"/>
      <c r="CR2" s="37" t="str">
        <f t="shared" ref="CR2:CR8" si="14">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8" si="15">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8" si="16">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DQ8" si="17">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DR8" si="18">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t="shared" ref="DT2:DT8" ca="1" si="19">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DU2" s="35" t="str">
        <f>IF(R2="","",IF(R2&gt;0,MAX(Tabla1[[#This Row],[FECHA C2]:[FECHA C13]],Tabla1[[#This Row],[FECHA CONSULTA PRIMERA VEZ PROGRAMA CPN ]])))</f>
        <v/>
      </c>
      <c r="DV2" s="31" t="str">
        <f t="shared" ref="DV2:DV8" si="20">IF(AND(DU2="",BK2="",R2=""),"",IF(AND(R2="",BK2&gt;0,DU2=""),"",IF(AND(R2&gt;0,DU2&lt;BK2),"REVISAR FUM O FECHA PESO",IF(AND(R2&gt;0,DU2&gt;0,BK2=""),"SD",IF(AND(R2&gt;0,DU2&gt;0,BK2&gt;0),INT(SUM(DU2-BK2)/7))))))</f>
        <v/>
      </c>
      <c r="DW2" s="43" t="str">
        <f>IF(R2&gt;0,SUM(COUNTA(DC2:DN2)+COUNTA(Tabla1[[#This Row],[FECHA CONSULTA PRIMERA VEZ PROGRAMA CPN ]])),"")</f>
        <v/>
      </c>
      <c r="DX2" s="43" t="str">
        <f t="shared" ref="DX2:DX8" si="21">IF(AND(DW2&gt;=0,DW2&lt;4),"NO",IF(AND(DW2&gt;=4,DW2&lt;12),"SI",""))</f>
        <v/>
      </c>
      <c r="DY2" s="39" t="str">
        <f t="shared" ref="DY2:DY8" si="22">IF(BO2="","",IF(BO2&gt;0,INT(SUM(((40-BO2)/4)+2)),"X"))</f>
        <v/>
      </c>
      <c r="DZ2" s="47" t="str">
        <f t="shared" ref="DZ2:DZ8" si="23">IF(DY2="","",IF(DW2&gt;0,SUM(DW2/DY2),"X"))</f>
        <v/>
      </c>
      <c r="EA2" s="35"/>
      <c r="EB2" s="35"/>
      <c r="EC2" s="35"/>
      <c r="ED2" s="35"/>
      <c r="EE2" s="35"/>
      <c r="EF2" s="35"/>
      <c r="EG2" s="35"/>
      <c r="EH2" s="31"/>
      <c r="EI2" s="31"/>
      <c r="EJ2" s="35"/>
      <c r="EK2" s="43" t="str">
        <f t="shared" ref="EK2:EK8" si="24">IF(AND(BP2="ERROR FUM O INGRESO",EJ2&gt;0),"ERROR FUM O INGRESO",IF(AND(EJ2="",R2="",O2=""),"",IF(OR(AND(EJ2&lt;&gt;"",EJ2&lt;BK2),AND(EJ2&lt;&gt;"",SUM((EJ2-BK2)/7)&gt;40)),"CORREGIR FECHA RESULTADO",IF(AND(EJ2="",OR(O2&gt;0,R2&gt;0)),"TOMAR EXAMEN",IF(EJ2&gt;0,SUM(EJ2-BK2)/7,"")))))</f>
        <v/>
      </c>
      <c r="EL2" s="39" t="str">
        <f t="shared" ref="EL2:EL8" si="25">IF(AND(OR(O2&gt;0,R2&gt;0),EI2=""),"",IF(AND(OR(O2&gt;0,R2&gt;0),EI2&gt;0,EI2&lt;11),"MANEJO MD POR ANEMIA FERROPENICA",IF(AND(OR(O2&gt;0,R2&gt;0),EI2&lt;=14),"NORMAL- SUMINISTRAR SULFATO FERROSO",IF(AND(OR(O2&gt;0,R2&gt;0),EI2&lt;20),"NO DAR SULFATO FERROSO",""))))</f>
        <v/>
      </c>
      <c r="EM2" s="31" t="str">
        <f t="shared" ref="EM2:EM8" si="26">IF(AND(EK2="",BP2=""),"",IF(AND(EK2&lt;&gt;"",BP2="SIN DATO"),"SIN DATO",IF(AND(EK2="",BP2&lt;&gt;""),"",IF(AND(EK2&lt;0,BP2&gt;0),"ERROR FUM O INGRESO",IF(EK2&lt;=13,"I TRIM",IF(EK2&lt;28,"II TRIM",IF(AND(EK2&gt;27,EK2&lt;45),"III TRIM","POR DEFINIR")))))))</f>
        <v/>
      </c>
      <c r="EN2" s="37"/>
      <c r="EO2" s="35"/>
      <c r="EP2" s="44" t="str">
        <f t="shared" ref="EP2:EP8" si="27">IF(AND(BP2="ERROR FUM O INGRESO",EO2&gt;0),"ERROR FUM O INGRESO",IF(AND(EO2="",R2="",O2=""),"",IF(OR(AND(EO2&lt;&gt;"",EO2&lt;BK2),AND(EO2&lt;&gt;"",SUM((EO2-BK2)/7)&gt;40)),"CORREGIR FECHA RESULTADO",IF(AND(EO2="",OR(O2&gt;0,R2&gt;0)),"TOMAR EXAMEN",IF(EO2&gt;0,SUM(EO2-BK2)/7,"")))))</f>
        <v/>
      </c>
      <c r="EQ2" s="39" t="str">
        <f t="shared" ref="EQ2:EQ8" si="28">IF(AND(OR(O2&gt;0,R2&gt;0),EN2=""),"",IF(AND(OR(O2&gt;0,R2&gt;0),EN2&gt;0,EN2&lt;10.5),"MANEJO MD POR ANEMIA FERROPENICA",IF(AND(OR(O2&gt;0,R2&gt;0),EN2&lt;14),"NORMAL- SUMINISTRAR SULFATO FERROSO",IF(AND(OR(O2&gt;0,R2&gt;0),EN2&lt;20),"NO DAR SULFATO FERROSO",""))))</f>
        <v/>
      </c>
      <c r="ER2" s="37"/>
      <c r="ES2" s="35"/>
      <c r="ET2" s="44" t="str">
        <f t="shared" ref="ET2:ET8" si="29">IF(AND(BP2="ERROR FUM O INGRESO",ES2&gt;0),"ERROR FUM O INGRESO",IF(AND(ES2="",R2="",O2=""),"",IF(OR(AND(ES2&lt;&gt;"",ES2&lt;BK2),AND(ES2&lt;&gt;"",SUM((ES2-BK2)/7)&gt;40)),"CORREGIR FECHA RESULTADO",IF(AND(ES2="",OR(O2&gt;0,R2&gt;0)),"TOMAR EXAMEN",IF(ES2&gt;0,SUM(ES2-BK2)/7,"")))))</f>
        <v/>
      </c>
      <c r="EU2" s="39" t="str">
        <f t="shared" ref="EU2:EU8" si="30">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8" si="31">IF(AND(BP2="ERROR FUM O INGRESO",EW2&gt;0),"ERROR FUM O INGRESO",IF(AND(EW2="",R2="",O2=""),"",IF(OR(AND(EW2&lt;&gt;"",EW2&lt;BK2),AND(EW2&lt;&gt;"",SUM((EW2-BK2)/7)&gt;40)),"CORREGIR FECHA RESULTADO",IF(AND(EW2="",OR(O2&gt;0,R2&gt;0)),"TOMAR EXAMEN",IF(EW2&gt;0,SUM(EW2-BK2)/7,"")))))</f>
        <v/>
      </c>
      <c r="EY2" s="44"/>
      <c r="EZ2" s="44"/>
      <c r="FA2" s="44"/>
      <c r="FB2" s="31" t="str">
        <f t="shared" ref="FB2:FB8" ca="1" si="32">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8" si="33">IF(AND(BP2="ERROR FUM O INGRESO",FC2&gt;0),"ERROR FUM O INGRESO",IF(AND(FC2="",R2="",O2=""),"",IF(OR(AND(FC2&lt;&gt;"",FC2&lt;BK2),AND(FC2&lt;&gt;"",SUM((FC2-BK2)/7)&gt;40)),"CORREGIR FECHA RESULTADO",IF(AND(FC2="",OR(O2&gt;0,R2&gt;0)),"TOMAR EXAMEN",IF(FC2&gt;0,SUM(FC2-BK2)/7,"")))))</f>
        <v/>
      </c>
      <c r="FE2" s="35"/>
      <c r="FF2" s="35"/>
      <c r="FG2" s="44" t="str">
        <f t="shared" ref="FG2:FG8" si="34">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8" si="35">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8" si="36">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8" si="37">IF(AND(BP2="ERROR FUM O INGRESO",FR2&gt;0),"ERROR FUM O INGRESO",IF(AND(FR2="",R2="",O2=""),"",IF(OR(AND(FR2&lt;&gt;"",FR2&lt;BK2),AND(FR2&lt;&gt;"",SUM((FR2-BK2)/7)&gt;40)),"CORREGIR FECHA RESULTADO",IF(AND(FR2="",OR(O2&gt;0,R2&gt;0)),"TOMAR EXAMEN",IF(FR2&gt;0,SUM(FR2-BK2)/7,"")))))</f>
        <v/>
      </c>
      <c r="FT2" s="43"/>
      <c r="FU2" s="35"/>
      <c r="FV2" s="44" t="str">
        <f t="shared" ref="FV2:FV8" si="38">IF(AND(BP2="ERROR FUM O INGRESO",FU2&gt;0),"ERROR FUM O INGRESO",IF(AND(FU2="",R2="",O2=""),"",IF(OR(AND(FU2&lt;&gt;"",FU2&lt;BK2),AND(FU2&lt;&gt;"",SUM((FU2-BK2)/7)&gt;40)),"CORREGIR FECHA RESULTADO",IF(AND(FU2="",OR(O2&gt;0,R2&gt;0)),"TOMAR EXAMEN",IF(FU2&gt;0,SUM(FU2-BK2)/7,"")))))</f>
        <v/>
      </c>
      <c r="FW2" s="35"/>
      <c r="FX2" s="35"/>
      <c r="FY2" s="35"/>
      <c r="FZ2" s="35"/>
      <c r="GA2" s="44" t="str">
        <f t="shared" ref="GA2:GA8" si="39">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8" si="40">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8" si="41">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8" si="42">IF(AND(BP2="ERROR FUM O INGRESO",GO2&gt;0),"ERROR FUM O INGRESO",IF(AND(GO2="",R2="",O2=""),"",IF(OR(AND(GO2&lt;&gt;"",GO2&lt;BK2),AND(GO2&lt;&gt;"",SUM((GO2-BK2)/7)&gt;40)),"CORREGIR FECHA RESULTADO",IF(AND(GO2="",OR(O2&gt;0,R2&gt;0)),"TOMAR EXAMEN",IF(GO2&gt;0,SUM(GO2-BK2)/7,"")))))</f>
        <v/>
      </c>
      <c r="GQ2" s="43"/>
      <c r="GR2" s="43"/>
      <c r="GS2" s="35" t="str">
        <f t="shared" ref="GS2:GS8" si="43">IF(GQ2="NEGATIVO","CONTROL Igm",IF(AND(GQ2="POSITIVO",GR2="NEGATIVO"),"SE EXCLUYE INFECCION",IF(AND(GQ2="POSITIVO",GR2="POSITIVO"),"TOXOPLASMOSIS, REMITIR PARA MANEJO","")))</f>
        <v/>
      </c>
      <c r="GT2" s="35"/>
      <c r="GU2" s="44" t="str">
        <f t="shared" ref="GU2:GU8" si="44">IF(AND(BP2="ERROR FUM O INGRESO",GT2&gt;0),"ERROR FUM O INGRESO",IF(AND(GT2="",R2="",O2=""),"",IF(OR(AND(GT2&lt;&gt;"",GT2&lt;BK2),AND(GT2&lt;&gt;"",SUM((GT2-BK2)/7)&gt;40)),"CORREGIR FECHA RESULTADO",IF(AND(GT2="",OR(O2&gt;0,R2&gt;0)),"TOMAR EXAMEN",IF(GT2&gt;0,SUM(GT2-BK2)/7,"")))))</f>
        <v/>
      </c>
      <c r="GV2" s="31" t="str">
        <f t="shared" ref="GV2:GV8" si="45">IF(AND(GU2="",BP2=""),"",IF(AND(GU2&lt;&gt;"",BP2="SIN DATO"),"SIN DATO",IF(AND(GU2="",BP2&lt;&gt;""),"",IF(AND(GU2&lt;0,BP2&gt;0),"ERROR FUM O INGRESO",IF(GU2&lt;=13,"I TRIM",IF(GU2&lt;28,"II TRIM",IF(AND(GU2&gt;27,GU2&lt;45),"III TRIM","POR DEFINIR")))))))</f>
        <v/>
      </c>
      <c r="GW2" s="43"/>
      <c r="GX2" s="46"/>
      <c r="GY2" s="31"/>
      <c r="GZ2" s="35"/>
      <c r="HA2" s="43" t="str">
        <f t="shared" ref="HA2:HA8" si="46">IF(GZ2&gt;0,SUM(GZ2-BK2)/7,"")</f>
        <v/>
      </c>
      <c r="HB2" s="31" t="str">
        <f t="shared" ref="HB2:HB8" si="47">IF(HA2&lt;0,"ANTES DEL EMBARAZO",IF(AND(HA2&gt;0,HA2&lt;13),"I TRIM",IF(AND(HA2&gt;12,HA2&lt;28),"II TRIM",IF(AND(HA2&gt;27,HA2&lt;41),"III TRIM",""))))</f>
        <v/>
      </c>
      <c r="HC2" s="31" t="str">
        <f t="shared" ref="HC2:HC8" si="48">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HL8" si="49">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 t="shared" ref="HM2:HM8" si="50">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
      </c>
      <c r="HN2" s="31" t="str">
        <f t="shared" ref="HN2:HN8" si="51">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
      </c>
      <c r="HO2" s="31" t="str">
        <f t="shared" ref="HO2:HO8" si="52">IF(AND(O2="",R2=""),"",IF(AND(OR(O2&gt;0,R2&gt;0),OR(AL2="SI",BD2="SI",BA2="SI",BB2="SI",BE2="SI")),"RIESGO ALTO DE COMPLICACIONES HIPERTENSIVAS VER MANEJO GUIA SUMINISTRO ASA Y CALCIO",IF(AND(OR(O2&gt;0,R2&gt;0),NN2&gt;1),"RIESGO MODERADO (2 O MAS CRITERIOS) VER MANEJO GUIA SUMINISTRO ASA Y CALCIO","SIN ANTECEDENTES DE RIESGO")))</f>
        <v/>
      </c>
      <c r="HP2" s="37" t="str">
        <f t="shared" ref="HP2:HP8" si="53">IF(AND(O2="",R2=""),"",IF(AND(OR(O2&gt;0,R2&gt;0),CR2&lt;&gt;"",CU2&lt;&gt;"",CZ2&lt;&gt;""),CZ2,IF(AND(OR(O2&gt;0,R2&gt;0),CR2&lt;&gt;"",CU2&lt;&gt;"",CZ2=""),CU2,IF(AND(OR(O2&gt;0,R2&gt;0),CR2&lt;&gt;"",CU2="",CZ2=""),CR2,IF(AND(OR(O2&gt;0,R2&gt;0),CR2="",CU2="",CZ2&lt;&gt;""),CZ2,IF(AND(OR(O2&gt;0,R2&gt;0),CR2="",CU2&lt;&gt;"",CZ2&lt;&gt;""),CZ2,IF(AND(OR(O2&gt;0,R2&gt;0),CR2&lt;&gt;"",CU2="",CZ2&lt;&gt;""),CZ2,IF(AND(OR(O2&gt;0,R2&gt;0),CR2="",CU2&lt;&gt;"",CZ2=""),CU2,""))))))))</f>
        <v/>
      </c>
      <c r="HQ2" s="31" t="str">
        <f t="shared" ref="HQ2:HQ8" ca="1" si="54">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HR2" s="46" t="str">
        <f t="shared" ref="HR2:HR8" si="55">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8" si="56">IF(AND(BP2="ERROR FUM O INGRESO",IB2&gt;0),"ERROR FUM O INGRESO",IF(AND(IB2="",R2=""),"",IF(OR(AND(IB2&lt;&gt;"",IB2&lt;BK2),AND(IB2&lt;&gt;"",SUM((IB2-BK2)/7)&gt;40)),"CORREGIR FECHA CONSULTA",IF(AND(IB2="",R2&gt;0),"PENDIENTE CONSULTA",IF(IB2&gt;0,SUM(IB2-BK2)/7,"")))))</f>
        <v/>
      </c>
      <c r="ID2" s="40"/>
      <c r="IE2" s="40"/>
      <c r="IF2" s="35"/>
      <c r="IG2" s="35"/>
      <c r="IH2" s="171"/>
      <c r="II2" s="171"/>
      <c r="IJ2" s="171"/>
      <c r="IK2" s="37" t="str">
        <f>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
      </c>
      <c r="IL2" s="171"/>
      <c r="IM2" s="35"/>
      <c r="IN2" s="35" t="str">
        <f t="shared" ref="IN2:IN8" si="57">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t="str">
        <f t="shared" ref="IP2:IP8" si="58">IF(OR(BL2="SI",BL2="Corregida",BL2="NO"),(BK2+280),IF(BL2="Sin Dato","DEFINIR FPP POR ECO",""))</f>
        <v/>
      </c>
      <c r="IQ2" s="44" t="str">
        <f t="shared" ref="IQ2:IQ8" ca="1" si="59">IF(OR(IP2="DEFINIR FPP POR ECO",BP2="ERROR FUM O INGRESO"),"SIN DEFINIR",IF(IP2="","",IF(IP2&gt;0,SUM(IP2-TODAY()),"X")))</f>
        <v/>
      </c>
      <c r="IR2" s="35" t="str">
        <f t="shared" ref="IR2:IR8" ca="1" si="60">IF(IQ2&lt;0,"POSIBLEMENTE NACIO",IF(IQ2="SIN DEFINIR","SIN DATO",IF(AND(IQ2&gt;=0,IQ2&lt;=7),"SEMANA DE PARTO",IF(AND(IQ2&gt;=8,IQ2&lt;=28),"MENOS DE 4 SEMANAS",IF(AND(IQ2&gt;=29,IQ2&lt;=280),"PENDIENTE","")))))</f>
        <v/>
      </c>
      <c r="IS2" s="35"/>
      <c r="IT2" s="31"/>
      <c r="IU2" s="31"/>
      <c r="IV2" s="51"/>
      <c r="IW2" s="35"/>
      <c r="IX2" s="31"/>
      <c r="IY2" s="44" t="str">
        <f t="shared" ref="IY2:IY8" si="61">IF(AND(IW2&gt;0,IT2&lt;&gt;""),SUM(IW2-BK2)/7,"")</f>
        <v/>
      </c>
      <c r="IZ2" s="52"/>
      <c r="JA2" s="31"/>
      <c r="JB2" s="31"/>
      <c r="JC2" s="31"/>
      <c r="JD2" s="31"/>
      <c r="JE2" s="31"/>
      <c r="JF2" s="31"/>
      <c r="JG2" s="31"/>
      <c r="JH2" s="31"/>
      <c r="JI2" s="31"/>
      <c r="JJ2" s="31"/>
      <c r="JK2" s="46"/>
      <c r="JL2" s="31"/>
      <c r="JM2" s="53"/>
      <c r="JN2" s="31" t="str">
        <f t="shared" ref="JN2:JN8" si="62">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8" si="63">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8" si="64">IF(AND(KF2&lt;&gt;"",KF2&lt;IW2),"INCONSISTENCIA FECHA CONTROL",IF(AND(OR(IT2="Parto",IT2="Cesarea"),KF2&gt;0,IW2&gt;0),SUM(KF2-IW2),IF(AND(OR(IT2="Parto",IT2="Cesarea"),KF2="",IW2&gt;0),"INASISTENTE","")))</f>
        <v/>
      </c>
      <c r="KH2" s="50"/>
      <c r="KI2" s="43" t="str">
        <f t="shared" ref="KI2:KI8" si="65">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 t="shared" ref="MQ2:MQ8" si="66">SUM(COUNTIF(LD2,"PARTERO (A)"),COUNTIF(LH2,"PARTERO (A)"),COUNTIF(LL2,"PARTERO (A)"),COUNTIF(LP2,"PARTERO (A)"),COUNTIF(LT2,"PARTERO (A)"),COUNTIF(LX2,"PARTERO (A)"),COUNTIF(MN2,"PARTERO (A)"))</f>
        <v>0</v>
      </c>
      <c r="MR2" t="str">
        <f t="shared" ref="MR2:MR8" si="67">IF(AND(R2="",O2=""),"",IF(AND(OR(O2&gt;0,R2&gt;0),LC2&gt;0),SUM(LC2-BK2)/7,""))</f>
        <v/>
      </c>
      <c r="MS2" t="str">
        <f t="shared" ref="MS2:MS8" si="68">IF(AND(MR2="",BP2=""),"",IF(AND(MR2&lt;&gt;"",BP2="SIN DATO"),"SIN DATO",IF(AND(MR2="",BP2&lt;&gt;""),"",IF(AND(MR2&lt;0,BP2&gt;0),"ERROR FUM O INGRESO",IF(MR2&lt;=13,"I TRIM",IF(MR2&lt;28,"II TRIM",IF(AND(MR2&gt;27,MR2&lt;45),"III TRIM","POR DEFINIR")))))))</f>
        <v/>
      </c>
      <c r="MT2">
        <f t="shared" ref="MT2:MT8" si="69">SUM(COUNTIF(LD2,"MEDICO (A) TRADICIONAL"),COUNTIF(LH2,"MEDICO (A) TRADICIONAL"),COUNTIF(LL2,"MEDICO (A) TRADICIONAL"),COUNTIF(LP2,"MEDICO (A) TRADICIONAL"),COUNTIF(LT2,"MEDICO (A) TRADICIONAL"),COUNTIF(LX2,"MEDICO (A) TRADICIONAL"),COUNTIF(MN2,"MEDICO (A) TRADICIONAL"))</f>
        <v>0</v>
      </c>
      <c r="MU2" t="str">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
      </c>
      <c r="MV2" t="str">
        <f t="shared" ref="MV2:MV8" si="70">IF(AND(O2&gt;0,BK2&gt;0),SUM(O2-BK2)/7,"")</f>
        <v/>
      </c>
      <c r="MW2" t="str">
        <f t="shared" ref="MW2:MW8" si="71">IF(R2&gt;0,MONTH(R2),"")</f>
        <v/>
      </c>
      <c r="MX2" t="str">
        <f t="shared" ref="MX2:MX8" si="72">IF(R2&gt;0,YEAR(R2),"")</f>
        <v/>
      </c>
      <c r="MY2" t="str">
        <f t="shared" ref="MY2:MY8" si="73">IF(AND(MW2&gt;=1,MW2&lt;=3),"I TRIMESTRE AÑO",IF(AND(MW2&gt;=4,MW2&lt;=6),"II TRIMESTRE AÑO",IF(AND(MW2&gt;=7,MW2&lt;=9),"III TRIMESTRE AÑO",IF(AND(MW2&gt;=10,MW2&lt;=12),"IV TRIMESTRE AÑO",""))))</f>
        <v/>
      </c>
      <c r="MZ2" t="str">
        <f t="shared" ref="MZ2:MZ8" si="74">IF(AND(M2&gt;0,R2&gt;0),DAYS360(M2,R2)/30.44/12,IF(AND(M2&gt;0,O2&gt;0,R2=""),DAYS360(M2,O2)/30.44/12,""))</f>
        <v/>
      </c>
      <c r="NA2" t="str">
        <f t="shared" ref="NA2:NA8" si="75">IF(AND(MZ2&gt;7,MZ2&lt;14),2,IF(MZ2&lt;16,1,IF(MZ2&lt;=35,0,IF(AND(MZ2&gt;35,MZ2&lt;50),2,""))))</f>
        <v/>
      </c>
      <c r="NB2" t="str">
        <f t="shared" ref="NB2:NB8" si="76">+IF(MZ2="","",IF(MZ2&lt;14,"MENOR 14 AÑOS",IF(MZ2&lt;20,"DE 14 A 19AÑOS",IF(MZ2&lt;25," DE 20 A 24 AÑOS",IF(MZ2&lt;30," DE 25 A 29 AÑOS",IF(MZ2&lt;35," DE 30 A 34 AÑOS",IF(MZ2&lt;40," DE 35 A 39 AÑOS"," DE 40 Y MAS")))))))</f>
        <v/>
      </c>
      <c r="NC2" t="str">
        <f t="shared" ref="NC2:NC8" si="77">IF(AW2="SI",1,IF(AW2="NO",0,""))</f>
        <v/>
      </c>
      <c r="ND2" t="str">
        <f t="shared" ref="ND2:ND8" si="78">IF(AS2="","",IF(AS2=0,1,IF(AND(AS2&gt;=1,AS2&lt;=4),0,IF(AS2&gt;=5,2,"X"))))</f>
        <v/>
      </c>
      <c r="NE2" t="str">
        <f t="shared" ref="NE2:NE8" si="79">IF(AV2="","",IF(AV2=0,0,IF(AV2=1,1,IF(OR(AV2=2,AV2="3 O MAS"),2,"X"))))</f>
        <v/>
      </c>
      <c r="NF2" t="str">
        <f t="shared" ref="NF2:NF8" si="80">IF(AX2="SI",1,IF(AX2="NO",0,""))</f>
        <v/>
      </c>
      <c r="NG2" t="str">
        <f t="shared" ref="NG2:NG8" si="81">IF(OR(AND(EI2&gt;0,EI2&lt;11),AND(EN2&gt;0,EN2&lt;10.5)),1,"")</f>
        <v/>
      </c>
      <c r="NH2" t="str">
        <f t="shared" ref="NH2:NH8" ca="1" si="82">IF(AND(AND(BQ2&gt;40.9,BQ2&lt;43),IW2=""),1,"")</f>
        <v/>
      </c>
      <c r="NI2" t="str">
        <f t="shared" ref="NI2:NI8" si="83">IF(AND(FY2="",GB2="",GE2="",GH2=""),"",IF(OR(OR(FY2="P.R REACTIVA",FY2="ELISA REACTIVA"),OR(GB2="P.R REACTIVA",GB2="ELISA REACTIVA"),OR(GE2="P.R REACTIVA",GE2="ELISA REACTIVA"),OR(GH2="P.R REACTIVA",GH2="ELISA REACTIVA")),3,""))</f>
        <v/>
      </c>
      <c r="NJ2" t="str">
        <f t="shared" ref="NJ2:NJ8" si="84">IF(BX2="","",IF(OR(BX2="CEFÁLICA",BX2="SD"),0,IF(OR(BX2="PODÁLICA",BX2="TRANSVERSA O DE FRENTE",BX2="OBLICUA"),3,"")))</f>
        <v/>
      </c>
      <c r="NK2" t="str">
        <f t="shared" ref="NK2:NK8" si="85">IF(HD2="","",IF(HD2="POSITIVO",2,"0"))</f>
        <v/>
      </c>
      <c r="NL2" t="str">
        <f t="shared" ref="NL2:NL8" si="86">IF(AND(HF2="",HH2=""),"",IF(OR(HF2="POSITIVO",HH2="POSITIVO"),3,0))</f>
        <v/>
      </c>
      <c r="NM2" t="str">
        <f t="shared" ref="NM2:NM8" si="87">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
      </c>
      <c r="NN2" t="str">
        <f>IF(OR(O2&gt;0,R2&gt;0),SUM(COUNTIF(Tabla1[[#This Row],[AÑOS AL INICIO5 CPN]],"&gt;=40"),COUNTIF(AR2,"0"),COUNTIF(AQ2,"SI"),COUNTIF(BW2,"SI"),COUNTIF(BM2,"&gt;119"),COUNTIF(CC2,"&gt;=35")),"")</f>
        <v/>
      </c>
      <c r="NO2" t="str">
        <f t="shared" ref="NO2:NO8" si="88">IF(AND(R2="",O2=""),"",IF(AND(OR(O2&gt;0,R2&gt;0),BK2=""),"SD",IF(AND(OR(O2&gt;0,R2&gt;0),IM2&gt;0),SUM(IM2-BK2)/7,"")))</f>
        <v/>
      </c>
      <c r="NP2" t="str">
        <f t="shared" ref="NP2:NP8" si="89">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
      </c>
      <c r="NQ2" t="str">
        <f t="shared" ref="NQ2:NQ8" si="90">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SD</v>
      </c>
      <c r="NS2">
        <f>MONTH(Tabla1[[#This Row],[FECHA DE SALIDA  DEL PROGRAMA]])</f>
        <v>1</v>
      </c>
      <c r="NT2">
        <f>YEAR(Tabla1[[#This Row],[FECHA DE SALIDA  DEL PROGRAMA]])</f>
        <v>1900</v>
      </c>
      <c r="NU2" t="str">
        <f t="shared" ref="NU2:NU8" si="91">IF(AND(O2&gt;0,R2=""),"NO CPN",IF(AND(O2="",R2=""),"",IF(AND(R2&gt;0,EF2&gt;0,EE2&gt;0),_xlfn.DAYS(EF2,EE2),IF(AND(R2&gt;0,EF2&gt;0,EE2=""),"NO CITA","X"))))</f>
        <v/>
      </c>
      <c r="NV2" t="str">
        <f t="shared" ref="NV2:NV8" si="92">IF(AND(O2&gt;0,R2=""),"NO CPN",IF(AND(O2="",R2=""),"",IF(AND(EJ2&lt;&gt;"",ES2&lt;&gt;"",EW2&lt;&gt;"",FF2&lt;&gt;"",FU2&lt;&gt;"",FZ2&lt;&gt;"",GO2&lt;&gt;"",GQ2&lt;&gt;"",GR2&lt;&gt;""),"SI","NO")))</f>
        <v/>
      </c>
      <c r="NW2" t="str">
        <f>IF(AND(O2&gt;0,R2=""),"NO CPN",IF(AND(O2="",R2=""),"",IF(AND(R2&gt;0,Tabla1[[#This Row],[SEMANAS DE GESTACION ACTUALIZADAS]]&lt;=12),"NO APLICA",IF(AND(FC2&lt;&gt;"",FI2&lt;&gt;""),"SI","NO"))))</f>
        <v/>
      </c>
      <c r="NX2" s="149" t="str">
        <f>IF(AND(O2&gt;0,R2=""),"NO CPN",IF(AND(O2="",R2=""),"",IF(AND(R2&gt;0,Tabla1[[#This Row],[SEMANAS DE GESTACION ACTUALIZADAS]]&lt;=27),"NO APLICA",IF(AND(EO2&lt;&gt;"",FL2&lt;&gt;"",GF2&lt;&gt;""),"SI","NO"))))</f>
        <v/>
      </c>
      <c r="NY2" s="147" t="str">
        <f t="shared" ref="NY2:NY8" si="93">IF(AND(BO2="",IP2=""),"",IF(AND(BO2="",IP2="DEFINIR FPP POR ECO"),"SIN DATO",IF(BO2&lt;0,"ERROR FUM O INGRESO",IF(BL2="NO","DEFINIR CON ECO",IF(BO2&lt;10,"I TRIM",IF(BO2&lt;27,"II TRIM",IF(AND(BO2&gt;26,BO2&lt;45),"III TRIM","ERROR FUM O INGRESO")))))))</f>
        <v/>
      </c>
      <c r="NZ2" s="1" t="str">
        <f>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
      </c>
      <c r="OA2" s="1" t="str">
        <f t="shared" ref="OA2:OA8" si="94">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
      </c>
      <c r="OB2" s="213">
        <f t="shared" ref="OB2:OB8" si="95">COUNT(FG2,FJ2,FM2,FO2)</f>
        <v>0</v>
      </c>
      <c r="OC2" s="1">
        <f t="shared" ref="OC2:OC8" si="96">COUNT(GA2,GD2,GG2,GI2)</f>
        <v>0</v>
      </c>
      <c r="OD2" s="1" t="str">
        <f t="shared" ref="OD2:OD8" si="97">IF(OA2="","",IF(OA2="REVISAR FUM O FECHA SALIDA PROGRAMA","POR DEFINIR",IF(OR(OA2=OB2,OB2&gt;OA2),"COMPLETO",IF(OB2&lt;OA2,"INCOMPLETO",""))))</f>
        <v/>
      </c>
      <c r="OE2" s="1" t="str">
        <f t="shared" ref="OE2:OE8" si="98">IF(OA2="","",IF(OA2="REVISAR FUM O FECHA SALIDA PROGRAMA","POR DEFINIR",IF(OR(OA2=OC2,OC2&gt;OA2),"COMPLETO",IF(OC2&lt;OA2,"INCOMPLETO",""))))</f>
        <v/>
      </c>
      <c r="OF2" s="221"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
      </c>
      <c r="OG2" s="230" t="str">
        <f t="shared" ref="OG2:OG8" si="99">IF(AND(O2="",R2=""),"",IF(OR(IN2="VACUNA APLICADA ENTRE SEMANA 20 Y SEMANA 26",IN2="VACUNA APLICADA ENTRE SEMANA 27 Y EL PARTO",IN2="VACUNA APLICADA ANTES SEMANA 20"),"VACUNADA","SIN VACUNAR"))</f>
        <v/>
      </c>
      <c r="OH2" s="148">
        <f>ROW(Tabla1[[#This Row],[SEMANAS DE GESTACION II TRIM]])</f>
        <v>2</v>
      </c>
      <c r="OI2" t="str">
        <f t="shared" ref="OI2:OI5" si="100">IF(AND(CH2=$OI$1,CG2&gt;10,CG2&lt;20.8),"BAJO PESO",IF(AND(CH2=$OI$1,CG2&gt;20.7,CG2&lt;25.8),"NORMAL",IF(AND(CH2=$OI$1,CG2&gt;25.7,CG2&lt;30.6),"SOBREPESO",IF(AND(CH2=$OI$1,CG2&gt;30.5,CG2&lt;50),"OBESIDAD",""))))</f>
        <v/>
      </c>
      <c r="OJ2" t="str">
        <f t="shared" ref="OJ2:OJ5" si="101">IF(AND(CH2=$OJ$1,CG2&gt;10,CG2&lt;20.9),"BAJO PESO",IF(AND(CH2=$OJ$1,CG2&gt;20.8,CG2&lt;25.9),"NORMAL",IF(AND(CH2=$OJ$1,CG2&gt;25.8,CG2&lt;30.7),"SOBREPESO",IF(AND(CH2=$OJ$1,CG2&gt;30.6,CG2&lt;50),"OBESIDAD",""))))</f>
        <v/>
      </c>
      <c r="OK2" t="str">
        <f t="shared" ref="OK2:OK5" si="102">IF(AND(CH2=$OK$1,CG2&gt;10,CG2&lt;21.1),"BAJO PESO",IF(AND(CH2=$OK$1,CG2&gt;21,CG2&lt;26),"NORMAL",IF(AND(CH2=$OK$1,CG2&gt;25.9,CG2&lt;30.8),"SOBREPESO",IF(AND(CH2=$OK$1,CG2&gt;30.7,CG2&lt;50),"OBESIDAD",""))))</f>
        <v/>
      </c>
      <c r="OL2" t="str">
        <f t="shared" ref="OL2:OL5" si="103">IF(AND(CH2=$OL$1,CG2&gt;10,CG2&lt;21.2),"BAJO PESO",IF(AND(CH2=$OL$1,CG2&gt;21.1,CG2&lt;26.1),"NORMAL",IF(AND(CH2=$OL$1,CG2&gt;26,CG2&lt;31.9),"SOBREPESO",IF(AND(CH2=$OL$1,CG2&gt;30.8,CG2&lt;50),"OBESIDAD",""))))</f>
        <v/>
      </c>
      <c r="OM2" t="str">
        <f t="shared" ref="OM2:OM5" si="104">IF(AND(CH2=$OM$1,CG2&gt;10,CG2&lt;21.3),"BAJO PESO",IF(AND(CH2=$OM$1,CG2&gt;21.2,CG2&lt;26.2),"NORMAL",IF(AND(CH2=$OM$1,CG2&gt;26.1,CG2&lt;31),"SOBREPESO",IF(AND(CH2=$OM$1,CG2&gt;30.9,CG2&lt;50),"OBESIDAD",""))))</f>
        <v/>
      </c>
      <c r="ON2" t="str">
        <f t="shared" ref="ON2:ON5" si="105">IF(AND(CH2=$ON$1,CG2&gt;10,CG2&lt;21.5),"BAJO PESO",IF(AND(CH2=$ON$1,CG2&gt;21.4,CG2&lt;26.3),"NORMAL",IF(AND(CH2=$ON$1,CG2&gt;26.2,CG2&lt;31),"SOBREPESO",IF(AND(CH2=$ON$1,CG2&gt;30.9,CG2&lt;50),"OBESIDAD",""))))</f>
        <v/>
      </c>
      <c r="OO2" t="str">
        <f t="shared" ref="OO2:OO5" si="106">IF(AND(CH2=$OO$1,CG2&gt;10,CG2&lt;21.6),"BAJO PESO",IF(AND(CH2=$OO$1,CG2&gt;21.5,CG2&lt;26.4),"NORMAL",IF(AND(CH2=$OO$1,CG2&gt;26.3,CG2&lt;31.1),"SOBREPESO",IF(AND(CH2=$OO$1,CG2&gt;31,CG2&lt;50),"OBESIDAD",""))))</f>
        <v/>
      </c>
      <c r="OP2" t="str">
        <f t="shared" ref="OP2:OP5" si="107">IF(AND(CH2=$OP$1,CG2&gt;10,CG2&lt;21.8),"BAJO PESO",IF(AND(CH2=$OP$1,CG2&gt;21.7,CG2&lt;26.5),"NORMAL",IF(AND(CH2=$OP$1,CG2&gt;26.4,CG2&lt;31.2),"SOBREPESO",IF(AND(CH2=$OP$1,CG2&gt;31.1,CG2&lt;50),"OBESIDAD",""))))</f>
        <v/>
      </c>
      <c r="OQ2" t="str">
        <f t="shared" ref="OQ2:OQ5" si="108">IF(AND(CH2=$OQ$1,CG2&gt;10,CG2&lt;21.9),"BAJO PESO",IF(AND(CH2=$OQ$1,CG2&gt;21.8,CG2&lt;26.7),"NORMAL",IF(AND(CH2=$OQ$1,CG2&gt;26.6,CG2&lt;31.3),"SOBREPESO",IF(AND(CH2=$OQ$1,CG2&gt;31.2,CG2&lt;50),"OBESIDAD",""))))</f>
        <v/>
      </c>
      <c r="OR2" t="str">
        <f t="shared" ref="OR2:OR5" si="109">IF(AND(CH2=$OR$1,CG2&gt;10,CG2&lt;22.1),"BAJO PESO",IF(AND(CH2=$OR$1,CG2&gt;22,CG2&lt;26.8),"NORMAL",IF(AND(CH2=$OR$1,CG2&gt;26.7,CG2&lt;31.4),"SOBREPESO",IF(AND(CH2=$OR$1,CG2&gt;31.3,CG2&lt;50),"OBESIDAD",""))))</f>
        <v/>
      </c>
      <c r="OS2" t="str">
        <f t="shared" ref="OS2:OS5" si="110">IF(AND(CH2=$OS$1,CG2&gt;10,CG2&lt;22.3),"BAJO PESO",IF(AND(CH2=$OS$1,CG2&gt;22.2,CG2&lt;27),"NORMAL",IF(AND(CH2=$OS$1,CG2&gt;26.9,CG2&lt;31.6),"SOBREPESO",IF(AND(CH2=$OS$1,CG2&gt;31.5,CG2&lt;50),"OBESIDAD",""))))</f>
        <v/>
      </c>
      <c r="OT2" t="str">
        <f t="shared" ref="OT2:OT5" si="111">IF(AND(CH2=$OT$1,$CG2&gt;10,CG2&lt;22.5),"BAJO PESO",IF(AND(CH2=$OT$1,CG2&gt;22.4,CG2&lt;27.1),"NORMAL",IF(AND(CH2=$OT$1,CG2&gt;27,CG2&lt;31.7),"SOBREPESO",IF(AND(CH2=$OT$1,CG2&gt;31.6,CG2&lt;50),"OBESIDAD",""))))</f>
        <v/>
      </c>
      <c r="OU2" t="str">
        <f t="shared" ref="OU2:OU5" si="112">IF(AND(CH2=$OU$1,CG2&gt;10,CG2&lt;22.7),"BAJO PESO",IF(AND(CH2=$OU$1,CG2&gt;22.6,CG2&lt;27.3),"NORMAL",IF(AND(CH2=$OU$1,CG2&gt;27.1,CG2&lt;31.8),"SOBREPESO",IF(AND(CH2=$OU$1,CG2&gt;31.7,CG2&lt;50),"OBESIDAD",""))))</f>
        <v/>
      </c>
      <c r="OV2" t="str">
        <f t="shared" ref="OV2:OV5" si="113">IF(AND(CH2=$OV$1,CG2&gt;10,CG2&lt;22.8),"BAJO PESO",IF(AND(CH2=$OV$1,CG2&gt;22.7,CG2&lt;27.4),"NORMAL",IF(AND(CH2=$OV$1,CG2&gt;27.3,CG2&lt;31.9),"SOBREPESO",IF(AND(CH2=$OV$1,CG2&gt;31.8,CG2&lt;50),"OBESIDAD",""))))</f>
        <v/>
      </c>
      <c r="OW2" t="str">
        <f t="shared" ref="OW2:OW5" si="114">IF(AND(CH2=$OW$1,CG2&gt;10,CG2&lt;23),"BAJO PESO",IF(AND(CH2=$OW$1,CG2&gt;22.9,CG2&lt;27.6),"NORMAL",IF(AND(CH2=$OW$1,CG2&gt;27.5,CG2&lt;32),"SOBREPESO",IF(AND(CH2=$OW$1,CG2&gt;31.9,CG2&lt;50),"OBESIDAD",""))))</f>
        <v/>
      </c>
      <c r="OX2" t="str">
        <f t="shared" ref="OX2:OX5" si="115">IF(AND(CM2=$OX$1,CL2&gt;10,CL2&lt;23.2),"BAJO PESO",IF(AND(CM2=$OX$1,CL2&gt;23.1,CL2&lt;27.7),"NORMAL",IF(AND(CM2=$OX$1,CL2&gt;27.6,CL2&lt;32.1),"SOBREPESO",IF(AND(CM2=$OX$1,CL2&gt;32,CL2&lt;50),"OBESIDAD",""))))</f>
        <v/>
      </c>
      <c r="OY2" t="str">
        <f t="shared" ref="OY2:OY5" si="116">IF(AND(CM2=$OY$1,CL2&gt;10,CL2&lt;23.4),"BAJO PESO",IF(AND(CM2=$OY$1,CL2&gt;23.3,CL2&lt;27.9),"NORMAL",IF(AND(CM2=$OY$1,CL2&gt;27.8,CL2&lt;32.2),"SOBREPESO",IF(AND(CM2=$OY$1,CL2&gt;32.1,CL2&lt;50),"OBESIDAD",""))))</f>
        <v/>
      </c>
      <c r="OZ2" t="str">
        <f t="shared" ref="OZ2:OZ5" si="117">IF(AND(CM2=$OZ$1,CL2&gt;10,CL2&lt;23.5),"BAJO PESO",IF(AND(CM2=$OZ$1,CL2&gt;23.4,CL2&lt;28),"NORMAL",IF(AND(CM2=$OZ$1,CL2&gt;27.9,CL2&lt;32.1),"SOBREPESO",IF(AND(CM2=$OZ$1,CL2&gt;32.2,CL2&lt;50),"OBESIDAD",""))))</f>
        <v/>
      </c>
      <c r="PA2" t="str">
        <f t="shared" ref="PA2:PA5" si="118">IF(AND(CM2=$PA$1,CL2&gt;10,CL2&lt;23.7),"BAJO PESO",IF(AND(CM2=$PA$1,CL2&gt;23.6,CL2&lt;28.1),"NORMAL",IF(AND(CM2=$PA$1,CL2&gt;28,CL2&lt;33.4),"SOBREPESO",IF(AND(CM2=$PA$1,CL2&gt;33.3,CL2&lt;50),"OBESIDAD",""))))</f>
        <v/>
      </c>
      <c r="PB2" t="str">
        <f t="shared" ref="PB2:PB5" si="119">IF(AND(CM2=$PB$1,CL2&gt;10,CL2&lt;23.9),"BAJO PESO",IF(AND(CM2=$PB$1,CL2&gt;23.8,CL2&lt;28.2),"NORMAL",IF(AND(CM2=$PB$1,CL2&gt;28.1,CL2&lt;33.5),"SOBREPESO",IF(AND(CM2=$PB$1,CL2&gt;33.4,CL2&lt;50),"OBESIDAD",""))))</f>
        <v/>
      </c>
      <c r="PC2" t="str">
        <f t="shared" ref="PC2:PC5" si="120">IF(AND(CM2=$PC$1,CL2&gt;10,CL2&lt;24),"BAJO PESO",IF(AND(CM2=$PC$1,CL2&gt;23.9,CL2&lt;28.4),"NORMAL",IF(AND(CM2=$PC$1,CL2&gt;28.3,CL2&lt;33.6),"SOBREPESO",IF(AND(CM2=$PC$1,CL2&gt;33.5,CL2&lt;50),"OBESIDAD",""))))</f>
        <v/>
      </c>
      <c r="PD2" t="str">
        <f t="shared" ref="PD2:PD5" si="121">IF(AND(CM2=$PD$1,CL2&gt;10,CL2&lt;24.2),"BAJO PESO",IF(AND(CM2=$PD$1,CL2&gt;24.1,CL2&lt;28.5),"NORMAL",IF(AND(CM2=$PD$1,CL2&gt;28.4,CL2&lt;33.7),"SOBREPESO",IF(AND(CM2=$PD$1,CL2&gt;33.6,CL2&lt;50),"OBESIDAD",""))))</f>
        <v/>
      </c>
      <c r="PE2" t="str">
        <f t="shared" ref="PE2:PE5" si="122">IF(AND(CM2=$PE$1,CL2&gt;10,CL2&lt;24.3),"BAJO PESO",IF(AND(CM2=$PE$1,CL2&gt;24.2,CL2&lt;28.6),"NORMAL",IF(AND(CM2=$PE$1,CL2&gt;28.5,CL2&lt;33.8),"SOBREPESO",IF(AND(CM2=$PE$1,CL2&gt;33.7,CL2&lt;50),"OBESIDAD",""))))</f>
        <v/>
      </c>
      <c r="PF2" t="str">
        <f t="shared" ref="PF2:PF5" si="123">IF(AND(CM2=$PF$1,CL2&gt;10,CL2&lt;24.5),"BAJO PESO",IF(AND(CM2=$PF$1,CL2&gt;24.4,CL2&lt;28.8),"NORMAL",IF(AND(CM2=$PF$1,CL2&gt;28.7,CL2&lt;32.9),"SOBREPESO",IF(AND(CM2=$PF$1,CL2&gt;32.8,CL2&lt;50),"OBESIDAD",""))))</f>
        <v/>
      </c>
      <c r="PG2" t="str">
        <f t="shared" ref="PG2:PG5" si="124">IF(AND(CM2=$PG$1,CL2&gt;10,CL2&lt;24.6),"BAJO PESO",IF(AND(CM2=$PG$1,CL2&gt;24.5,CL2&lt;28.9),"NORMAL",IF(AND(CM2=$PG$1,CL2&gt;28.8,CL2&lt;33),"SOBREPESO",IF(AND(CM2=$PG$1,CL2&gt;32.9,CL2&lt;50),"OBESIDAD",""))))</f>
        <v/>
      </c>
      <c r="PH2" t="str">
        <f t="shared" ref="PH2:PH5" si="125">IF(AND(CM2=$PH$1,CL2&gt;10,CL2&lt;24.8),"BAJO PESO",IF(AND(CM2=$PH$1,CL2&gt;24.7,CL2&lt;29),"NORMAL",IF(AND(CM2=$PH$1,CL2&gt;28.9,CL2&lt;33.1),"SOBREPESO",IF(AND(CM2=$PH$1,CL2&gt;33,CL2&lt;50),"OBESIDAD",""))))</f>
        <v/>
      </c>
      <c r="PI2" t="str">
        <f t="shared" ref="PI2:PI5" si="126">IF(AND(CM2=$PI$1,CL2&gt;10,CL2&lt;25),"BAJO PESO",IF(AND(CM2=$PI$1,CL2&gt;24.9,CL2&lt;29.2),"NORMAL",IF(AND(CM2=$PI$1,CL2&gt;29.1,CL2&lt;33.2),"SOBREPESO",IF(AND(CM2=$PI$1,CL2&gt;33.1,CL2&lt;50),"OBESIDAD",""))))</f>
        <v/>
      </c>
      <c r="PJ2" t="str">
        <f t="shared" ref="PJ2:PJ5" si="127">IF(AND(CM2=$PJ$1,CL2&gt;10,CL2&lt;25.1),"BAJO PESO",IF(AND(CM2=$PJ$1,CL2&gt;25,CL2&lt;29.3),"NORMAL",IF(AND(CM2=$PJ$1,CL2&gt;29.2,CL2&lt;33.3),"SOBREPESO",IF(AND(CM2=$PJ$1,CL2&gt;33.2,CL2&lt;50),"OBESIDAD",""))))</f>
        <v/>
      </c>
      <c r="PK2" t="str">
        <f t="shared" ref="PK2:PK5" si="128">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5" t="str">
        <f t="shared" ref="PM2:PM5" si="129">IF(AND(R2="",O2=""),"",IF(AND(OR(O2&gt;0,R2&gt;0),BK2=""),"SD",IF(AND(OR(O2&gt;0,R2&gt;0),IF2&gt;0),SUM(IF2-BK2)/7,"")))</f>
        <v/>
      </c>
      <c r="PN2" s="161" t="str">
        <f>IF(AND(PL2="x",IF2="",IH2=""),"Firma",IF(AND(PL2="x",IF2&gt;0,IH2=""),"Firma2",IF(AND(PL2="x",IF2&gt;0,IH2&gt;0),"Firma2",IF(AND(PL2="xx",IF2="",IH2=""),"Firma3",IF(AND(PL2="xx",IF2&gt;0,IH2=""),"Firma4",IF(AND(PL2="xx",IF2&gt;0,IH2&gt;0),"Firma4",IF(AND(PL2&lt;&gt;"b",IF2&gt;0,IH2=""),"Falta dosis",IF(AND(PL2="b",IF2&gt;0,IH2=""),"Completo",IF(AND(PL2="b",IF2&gt;0,IH2&gt;0),"Error Jansen X Fecha Segunda Dosis",IF(AND(PL2&lt;&gt;"b",IF2&gt;0,IH2&gt;0),"Completo",""))))))))))</f>
        <v/>
      </c>
      <c r="PO2" s="166"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(Disentimiento)]]="No Acepta y No Firma Disentimiento","No Acepta y No Firma Disentimiento",IF(Tabla1[[#This Row],[Tipo Biológico Vacuna anti COVID-19 (Disentimiento)]]="Astrazeneca",Tabla1[[#This Row],[Fecha 1ra Dosis Anti COVID-19]]+84,""))))))))</f>
        <v/>
      </c>
      <c r="PP2" s="167" t="str">
        <f ca="1">IF(PO2="","",SUM(TODAY()-Tabla1[[#This Row],[Fecha 1ra Dosis Anti COVID-19]]))</f>
        <v/>
      </c>
      <c r="PQ2" s="219"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t="s">
        <v>853</v>
      </c>
      <c r="B3" s="68" t="s">
        <v>921</v>
      </c>
      <c r="C3" s="68" t="s">
        <v>855</v>
      </c>
      <c r="D3" s="187" t="s">
        <v>856</v>
      </c>
      <c r="E3" s="68" t="s">
        <v>857</v>
      </c>
      <c r="F3" s="68" t="s">
        <v>858</v>
      </c>
      <c r="G3" s="68" t="s">
        <v>859</v>
      </c>
      <c r="H3" s="68"/>
      <c r="I3" s="145" t="s">
        <v>860</v>
      </c>
      <c r="J3" s="146">
        <v>1002952263</v>
      </c>
      <c r="K3" s="68" t="s">
        <v>861</v>
      </c>
      <c r="L3" s="68" t="s">
        <v>862</v>
      </c>
      <c r="M3" s="35">
        <v>37247</v>
      </c>
      <c r="N3" s="38">
        <f t="shared" ca="1" si="0"/>
        <v>21.87123287671233</v>
      </c>
      <c r="O3" s="35">
        <v>44662</v>
      </c>
      <c r="P3" s="39" t="str">
        <f t="shared" si="1"/>
        <v>SI</v>
      </c>
      <c r="Q3" s="40" t="s">
        <v>876</v>
      </c>
      <c r="R3" s="35">
        <v>44662</v>
      </c>
      <c r="S3" s="31" t="s">
        <v>877</v>
      </c>
      <c r="T3" s="37" t="s">
        <v>800</v>
      </c>
      <c r="U3" s="31" t="s">
        <v>878</v>
      </c>
      <c r="V3" s="31" t="s">
        <v>879</v>
      </c>
      <c r="W3" s="31" t="s">
        <v>880</v>
      </c>
      <c r="X3" s="31" t="s">
        <v>880</v>
      </c>
      <c r="Y3" s="31" t="s">
        <v>881</v>
      </c>
      <c r="Z3" s="31">
        <v>3044779923</v>
      </c>
      <c r="AA3" s="31" t="s">
        <v>882</v>
      </c>
      <c r="AB3" s="41" t="s">
        <v>883</v>
      </c>
      <c r="AC3" s="40" t="s">
        <v>884</v>
      </c>
      <c r="AD3" s="55" t="s">
        <v>885</v>
      </c>
      <c r="AE3" s="40" t="s">
        <v>875</v>
      </c>
      <c r="AF3" s="40" t="s">
        <v>875</v>
      </c>
      <c r="AG3" s="36" t="s">
        <v>886</v>
      </c>
      <c r="AH3" s="36" t="s">
        <v>886</v>
      </c>
      <c r="AI3" s="37" t="s">
        <v>885</v>
      </c>
      <c r="AJ3" s="36" t="s">
        <v>886</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886</v>
      </c>
      <c r="AM3" s="40" t="s">
        <v>886</v>
      </c>
      <c r="AN3" s="40" t="s">
        <v>886</v>
      </c>
      <c r="AO3" s="40" t="s">
        <v>886</v>
      </c>
      <c r="AP3" s="40" t="s">
        <v>886</v>
      </c>
      <c r="AQ3" s="40" t="s">
        <v>886</v>
      </c>
      <c r="AR3" s="31">
        <v>1</v>
      </c>
      <c r="AS3" s="31">
        <v>0</v>
      </c>
      <c r="AT3" s="31">
        <v>1</v>
      </c>
      <c r="AU3" s="40" t="s">
        <v>886</v>
      </c>
      <c r="AV3" s="31">
        <v>0</v>
      </c>
      <c r="AW3" s="40" t="s">
        <v>886</v>
      </c>
      <c r="AX3" s="40" t="s">
        <v>886</v>
      </c>
      <c r="AY3" s="40" t="s">
        <v>886</v>
      </c>
      <c r="AZ3" s="40" t="s">
        <v>886</v>
      </c>
      <c r="BA3" s="40" t="s">
        <v>886</v>
      </c>
      <c r="BB3" s="40" t="s">
        <v>886</v>
      </c>
      <c r="BC3" s="40" t="s">
        <v>886</v>
      </c>
      <c r="BD3" s="40" t="s">
        <v>886</v>
      </c>
      <c r="BE3" s="40" t="s">
        <v>886</v>
      </c>
      <c r="BF3" s="40" t="s">
        <v>886</v>
      </c>
      <c r="BG3" s="40" t="s">
        <v>886</v>
      </c>
      <c r="BH3" s="40" t="s">
        <v>886</v>
      </c>
      <c r="BI3" s="40" t="s">
        <v>886</v>
      </c>
      <c r="BJ3" s="35">
        <v>44053</v>
      </c>
      <c r="BK3" s="35">
        <v>44657</v>
      </c>
      <c r="BL3" s="31" t="s">
        <v>875</v>
      </c>
      <c r="BM3" s="43">
        <f t="shared" si="2"/>
        <v>20.133333333333333</v>
      </c>
      <c r="BN3" s="57" t="str">
        <f t="shared" si="3"/>
        <v/>
      </c>
      <c r="BO3" s="44">
        <f t="shared" si="4"/>
        <v>0.7142857142857143</v>
      </c>
      <c r="BP3" s="31" t="str">
        <f t="shared" si="5"/>
        <v>I TRIM</v>
      </c>
      <c r="BQ3" s="39" t="str">
        <f t="shared" ca="1" si="6"/>
        <v/>
      </c>
      <c r="BR3" s="35"/>
      <c r="BS3" s="43"/>
      <c r="BT3" s="35"/>
      <c r="BU3" s="31"/>
      <c r="BV3" s="40" t="s">
        <v>886</v>
      </c>
      <c r="BW3" s="40" t="s">
        <v>886</v>
      </c>
      <c r="BX3" s="40" t="s">
        <v>887</v>
      </c>
      <c r="BY3" s="40" t="s">
        <v>887</v>
      </c>
      <c r="BZ3" s="35">
        <v>44662</v>
      </c>
      <c r="CA3" s="31">
        <v>1.6</v>
      </c>
      <c r="CB3" s="31">
        <v>65</v>
      </c>
      <c r="CC3" s="39">
        <f t="shared" si="7"/>
        <v>25.390624999999996</v>
      </c>
      <c r="CD3" s="45" t="str">
        <f t="shared" si="8"/>
        <v>SOBREPESO</v>
      </c>
      <c r="CE3" s="35"/>
      <c r="CF3" s="31"/>
      <c r="CG3" s="39">
        <f t="shared" si="9"/>
        <v>0</v>
      </c>
      <c r="CH3" s="31" t="str">
        <f t="shared" si="10"/>
        <v>NA</v>
      </c>
      <c r="CI3" s="31" t="str">
        <f>IF(OR(CH3="",CH3="NA"),"",IF(AND(CH3&gt;=29,CH3&lt;=42),"REGISTRAR EN III TRIM",IF(AND(CH3&gt;0,CH3&lt;=13),"REGISTRAR EN I TRIM",IF(CH3="REVISAR FUM O FECHA PESO","REVISAR",IF(CH3&gt;0,HLOOKUP(CH3,$OI$1:PK3,OH3),"")))))</f>
        <v/>
      </c>
      <c r="CJ3" s="35"/>
      <c r="CK3" s="31"/>
      <c r="CL3" s="39">
        <f t="shared" si="11"/>
        <v>0</v>
      </c>
      <c r="CM3" s="31" t="str">
        <f t="shared" si="12"/>
        <v>NA</v>
      </c>
      <c r="CN3" s="31" t="str">
        <f>IF(OR(CM3="",CM3="NA"),"",IF(AND(CM3&gt;0,CM3&lt;=28),"REGISTRAR EN  TRIM RESPECTIVO",IF(CM3&gt;0,HLOOKUP(CM3,$OI$1:PK3,OH3),"")))</f>
        <v/>
      </c>
      <c r="CO3" s="31" t="str">
        <f t="shared" si="13"/>
        <v>SOBREPESO</v>
      </c>
      <c r="CP3" s="31">
        <v>110</v>
      </c>
      <c r="CQ3" s="31">
        <v>70</v>
      </c>
      <c r="CR3" s="37" t="str">
        <f t="shared" si="14"/>
        <v>APARENTEMENTE NORMAL</v>
      </c>
      <c r="CS3" s="31"/>
      <c r="CT3" s="31"/>
      <c r="CU3" s="37" t="str">
        <f t="shared" si="15"/>
        <v/>
      </c>
      <c r="CV3" s="31"/>
      <c r="CW3" s="31"/>
      <c r="CX3" s="31"/>
      <c r="CY3" s="31"/>
      <c r="CZ3" s="37" t="str">
        <f t="shared" si="16"/>
        <v/>
      </c>
      <c r="DA3" s="35">
        <v>44662</v>
      </c>
      <c r="DB3" s="35">
        <v>44662</v>
      </c>
      <c r="DC3" s="35"/>
      <c r="DD3" s="35"/>
      <c r="DE3" s="35"/>
      <c r="DF3" s="35"/>
      <c r="DG3" s="35"/>
      <c r="DH3" s="35"/>
      <c r="DI3" s="35"/>
      <c r="DJ3" s="35"/>
      <c r="DK3" s="35"/>
      <c r="DL3" s="35"/>
      <c r="DM3" s="35"/>
      <c r="DN3" s="35"/>
      <c r="DO3" s="43"/>
      <c r="DP3" s="35"/>
      <c r="DQ3" s="31" t="str">
        <f t="shared" ca="1" si="17"/>
        <v>SALE SIN PLAN DE PARTO</v>
      </c>
      <c r="DR3" s="46" t="str">
        <f t="shared" si="18"/>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str">
        <f t="shared" ca="1" si="19"/>
        <v>SEGUIMIENTO FUERA MUNICIPIO</v>
      </c>
      <c r="DU3" s="35">
        <f>IF(R3="","",IF(R3&gt;0,MAX(Tabla1[[#This Row],[FECHA C2]:[FECHA C13]],Tabla1[[#This Row],[FECHA CONSULTA PRIMERA VEZ PROGRAMA CPN ]])))</f>
        <v>44662</v>
      </c>
      <c r="DV3" s="31">
        <f t="shared" si="20"/>
        <v>0</v>
      </c>
      <c r="DW3" s="43">
        <f>IF(R3&gt;0,SUM(COUNTA(DC3:DN3)+COUNTA(Tabla1[[#This Row],[FECHA CONSULTA PRIMERA VEZ PROGRAMA CPN ]])),"")</f>
        <v>1</v>
      </c>
      <c r="DX3" s="43" t="str">
        <f t="shared" si="21"/>
        <v>NO</v>
      </c>
      <c r="DY3" s="39">
        <f t="shared" si="22"/>
        <v>11</v>
      </c>
      <c r="DZ3" s="47">
        <f t="shared" si="23"/>
        <v>9.0909090909090912E-2</v>
      </c>
      <c r="EA3" s="35">
        <v>44662</v>
      </c>
      <c r="EB3" s="35">
        <v>44662</v>
      </c>
      <c r="EC3" s="35">
        <v>44662</v>
      </c>
      <c r="ED3" s="35"/>
      <c r="EE3" s="35">
        <v>44662</v>
      </c>
      <c r="EF3" s="35"/>
      <c r="EG3" s="35"/>
      <c r="EH3" s="31"/>
      <c r="EI3" s="31">
        <v>14</v>
      </c>
      <c r="EJ3" s="35">
        <v>44662</v>
      </c>
      <c r="EK3" s="43">
        <f t="shared" si="24"/>
        <v>0.7142857142857143</v>
      </c>
      <c r="EL3" s="39" t="str">
        <f t="shared" si="25"/>
        <v>NORMAL- SUMINISTRAR SULFATO FERROSO</v>
      </c>
      <c r="EM3" s="31" t="str">
        <f t="shared" si="26"/>
        <v>I TRIM</v>
      </c>
      <c r="EN3" s="37"/>
      <c r="EO3" s="35"/>
      <c r="EP3" s="44" t="str">
        <f t="shared" si="27"/>
        <v>TOMAR EXAMEN</v>
      </c>
      <c r="EQ3" s="39" t="str">
        <f t="shared" si="28"/>
        <v/>
      </c>
      <c r="ER3" s="37" t="s">
        <v>893</v>
      </c>
      <c r="ES3" s="35">
        <v>44662</v>
      </c>
      <c r="ET3" s="44">
        <f t="shared" si="29"/>
        <v>0.7142857142857143</v>
      </c>
      <c r="EU3" s="39" t="str">
        <f t="shared" si="30"/>
        <v>NO HAY RIESGO POR RH</v>
      </c>
      <c r="EV3" s="31">
        <v>95</v>
      </c>
      <c r="EW3" s="35">
        <v>44662</v>
      </c>
      <c r="EX3" s="44">
        <f t="shared" si="31"/>
        <v>0.7142857142857143</v>
      </c>
      <c r="EY3" s="44"/>
      <c r="EZ3" s="44"/>
      <c r="FA3" s="44"/>
      <c r="FB3" s="31" t="str">
        <f t="shared" ca="1" si="32"/>
        <v/>
      </c>
      <c r="FC3" s="48"/>
      <c r="FD3" s="44" t="str">
        <f t="shared" si="33"/>
        <v>TOMAR EXAMEN</v>
      </c>
      <c r="FE3" s="35" t="s">
        <v>894</v>
      </c>
      <c r="FF3" s="35">
        <v>44662</v>
      </c>
      <c r="FG3" s="44">
        <f t="shared" ca="1" si="34"/>
        <v>0.7142857142857143</v>
      </c>
      <c r="FH3" s="35"/>
      <c r="FI3" s="49"/>
      <c r="FJ3" s="44" t="str">
        <f t="shared" ca="1" si="35"/>
        <v>PIERDE TOMA DE TAMIZAJE</v>
      </c>
      <c r="FK3" s="35"/>
      <c r="FL3" s="49"/>
      <c r="FM3" s="44" t="str">
        <f t="shared" ca="1" si="36"/>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7"/>
        <v>0.7142857142857143</v>
      </c>
      <c r="FT3" s="43" t="s">
        <v>895</v>
      </c>
      <c r="FU3" s="35">
        <v>44662</v>
      </c>
      <c r="FV3" s="44">
        <f t="shared" si="38"/>
        <v>0.7142857142857143</v>
      </c>
      <c r="FW3" s="35">
        <v>44662</v>
      </c>
      <c r="FX3" s="35">
        <v>44662</v>
      </c>
      <c r="FY3" s="35" t="s">
        <v>896</v>
      </c>
      <c r="FZ3" s="35">
        <v>44662</v>
      </c>
      <c r="GA3" s="44">
        <f t="shared" ca="1" si="39"/>
        <v>0.7142857142857143</v>
      </c>
      <c r="GB3" s="35"/>
      <c r="GC3" s="35"/>
      <c r="GD3" s="44" t="str">
        <f t="shared" ca="1" si="40"/>
        <v>PIERDE TOMA DE TAMIZAJE</v>
      </c>
      <c r="GE3" s="35"/>
      <c r="GF3" s="35"/>
      <c r="GG3" s="44" t="str">
        <f t="shared" ca="1" si="41"/>
        <v>PIERDE TOMA DE TAMIZAJE</v>
      </c>
      <c r="GH3" s="35"/>
      <c r="GI3" s="44"/>
      <c r="GJ3" s="35" t="s">
        <v>883</v>
      </c>
      <c r="GK3" s="35"/>
      <c r="GL3" s="35" t="s">
        <v>883</v>
      </c>
      <c r="GM3" s="35"/>
      <c r="GN3" s="43" t="s">
        <v>895</v>
      </c>
      <c r="GO3" s="35">
        <v>44662</v>
      </c>
      <c r="GP3" s="44">
        <f t="shared" si="42"/>
        <v>0.7142857142857143</v>
      </c>
      <c r="GQ3" s="43" t="s">
        <v>895</v>
      </c>
      <c r="GR3" s="43" t="s">
        <v>895</v>
      </c>
      <c r="GS3" s="35" t="str">
        <f t="shared" si="43"/>
        <v>CONTROL Igm</v>
      </c>
      <c r="GT3" s="35">
        <v>44662</v>
      </c>
      <c r="GU3" s="44">
        <f t="shared" si="44"/>
        <v>0.7142857142857143</v>
      </c>
      <c r="GV3" s="31" t="str">
        <f t="shared" si="45"/>
        <v>I TRIM</v>
      </c>
      <c r="GW3" s="43"/>
      <c r="GX3" s="46"/>
      <c r="GY3" s="31"/>
      <c r="GZ3" s="35"/>
      <c r="HA3" s="43" t="str">
        <f t="shared" si="46"/>
        <v/>
      </c>
      <c r="HB3" s="31" t="str">
        <f t="shared" si="47"/>
        <v/>
      </c>
      <c r="HC3" s="31" t="str">
        <f t="shared" si="48"/>
        <v/>
      </c>
      <c r="HD3" s="31" t="s">
        <v>897</v>
      </c>
      <c r="HE3" s="31"/>
      <c r="HF3" s="31" t="s">
        <v>898</v>
      </c>
      <c r="HG3" s="31"/>
      <c r="HH3" s="31" t="s">
        <v>899</v>
      </c>
      <c r="HI3" s="31">
        <v>0</v>
      </c>
      <c r="HJ3" s="35" t="s">
        <v>900</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9"/>
        <v>*****SOBREPESO****PREVENCIÓN CONTAGIO TOXOPLASMOSIS***</v>
      </c>
      <c r="HM3" s="35" t="str">
        <f t="shared" ca="1" si="50"/>
        <v>CON RIESGO</v>
      </c>
      <c r="HN3" s="31" t="str">
        <f t="shared" ca="1" si="51"/>
        <v>**********************MULTIPARIDAD**********</v>
      </c>
      <c r="HO3" s="31" t="str">
        <f t="shared" si="52"/>
        <v>SIN ANTECEDENTES DE RIESGO</v>
      </c>
      <c r="HP3" s="37" t="str">
        <f t="shared" si="53"/>
        <v>APARENTEMENTE NORMAL</v>
      </c>
      <c r="HQ3" s="31" t="str">
        <f t="shared" ca="1" si="54"/>
        <v>SEGUIMIENTO FUERA MUNICIPIO</v>
      </c>
      <c r="HR3" s="46" t="str">
        <f t="shared" si="55"/>
        <v>SEGUIMIENTO REPORTE EPS</v>
      </c>
      <c r="HS3" s="31" t="s">
        <v>875</v>
      </c>
      <c r="HT3" s="31" t="s">
        <v>883</v>
      </c>
      <c r="HU3" s="35"/>
      <c r="HV3" s="35"/>
      <c r="HW3" s="35">
        <v>44662</v>
      </c>
      <c r="HX3" s="35" t="s">
        <v>901</v>
      </c>
      <c r="HY3" s="35">
        <v>44662</v>
      </c>
      <c r="HZ3" s="35" t="s">
        <v>901</v>
      </c>
      <c r="IA3" s="40" t="s">
        <v>887</v>
      </c>
      <c r="IB3" s="35">
        <v>44662</v>
      </c>
      <c r="IC3" s="43">
        <f t="shared" si="56"/>
        <v>0.7142857142857143</v>
      </c>
      <c r="ID3" s="40" t="s">
        <v>875</v>
      </c>
      <c r="IE3" s="40"/>
      <c r="IF3" s="35"/>
      <c r="IG3" s="35"/>
      <c r="IH3" s="171"/>
      <c r="II3" s="171"/>
      <c r="IJ3" s="171"/>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DIFERIR FECHA DE VACUNACION SEGÚN LINEAMIENTOS</v>
      </c>
      <c r="IL3" s="171"/>
      <c r="IM3" s="35"/>
      <c r="IN3" s="35" t="str">
        <f t="shared" ca="1" si="57"/>
        <v/>
      </c>
      <c r="IO3" s="35"/>
      <c r="IP3" s="35">
        <f t="shared" si="58"/>
        <v>44937</v>
      </c>
      <c r="IQ3" s="44">
        <f t="shared" ca="1" si="59"/>
        <v>-293</v>
      </c>
      <c r="IR3" s="35" t="str">
        <f t="shared" ca="1" si="60"/>
        <v>POSIBLEMENTE NACIO</v>
      </c>
      <c r="IS3" s="35"/>
      <c r="IT3" s="31" t="s">
        <v>903</v>
      </c>
      <c r="IU3" s="31"/>
      <c r="IV3" s="51"/>
      <c r="IW3" s="35"/>
      <c r="IX3" s="31"/>
      <c r="IY3" s="44" t="str">
        <f t="shared" si="61"/>
        <v/>
      </c>
      <c r="IZ3" s="52"/>
      <c r="JA3" s="31"/>
      <c r="JB3" s="31"/>
      <c r="JC3" s="31"/>
      <c r="JD3" s="31"/>
      <c r="JE3" s="31"/>
      <c r="JF3" s="31"/>
      <c r="JG3" s="31"/>
      <c r="JH3" s="31"/>
      <c r="JI3" s="31"/>
      <c r="JJ3" s="31"/>
      <c r="JK3" s="46"/>
      <c r="JL3" s="31"/>
      <c r="JM3" s="53"/>
      <c r="JN3" s="31" t="str">
        <f t="shared" si="62"/>
        <v/>
      </c>
      <c r="JO3" s="46"/>
      <c r="JP3" s="31"/>
      <c r="JQ3" s="31"/>
      <c r="JR3" s="31"/>
      <c r="JS3" s="46"/>
      <c r="JT3" s="35"/>
      <c r="JU3" s="35"/>
      <c r="JV3" s="31"/>
      <c r="JW3" s="53"/>
      <c r="JX3" s="31" t="str">
        <f t="shared" si="63"/>
        <v/>
      </c>
      <c r="JY3" s="35"/>
      <c r="JZ3" s="31"/>
      <c r="KA3" s="31"/>
      <c r="KB3" s="31"/>
      <c r="KC3" s="46"/>
      <c r="KD3" s="35"/>
      <c r="KE3" s="35"/>
      <c r="KF3" s="50"/>
      <c r="KG3" s="43" t="str">
        <f t="shared" si="64"/>
        <v/>
      </c>
      <c r="KH3" s="50"/>
      <c r="KI3" s="43" t="str">
        <f t="shared" si="65"/>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 t="shared" si="66"/>
        <v>0</v>
      </c>
      <c r="MR3" t="str">
        <f t="shared" si="67"/>
        <v/>
      </c>
      <c r="MS3" t="str">
        <f t="shared" si="68"/>
        <v/>
      </c>
      <c r="MT3">
        <f t="shared" si="69"/>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 t="shared" si="70"/>
        <v>0.7142857142857143</v>
      </c>
      <c r="MW3">
        <f t="shared" si="71"/>
        <v>4</v>
      </c>
      <c r="MX3">
        <f t="shared" si="72"/>
        <v>2022</v>
      </c>
      <c r="MY3" t="str">
        <f t="shared" si="73"/>
        <v>II TRIMESTRE AÑO</v>
      </c>
      <c r="MZ3">
        <f t="shared" si="74"/>
        <v>20.009307928164695</v>
      </c>
      <c r="NA3">
        <f t="shared" si="75"/>
        <v>0</v>
      </c>
      <c r="NB3" t="str">
        <f t="shared" si="76"/>
        <v xml:space="preserve"> DE 20 A 24 AÑOS</v>
      </c>
      <c r="NC3">
        <f t="shared" si="77"/>
        <v>0</v>
      </c>
      <c r="ND3">
        <f t="shared" si="78"/>
        <v>1</v>
      </c>
      <c r="NE3">
        <f t="shared" si="79"/>
        <v>0</v>
      </c>
      <c r="NF3">
        <f t="shared" si="80"/>
        <v>0</v>
      </c>
      <c r="NG3" t="str">
        <f t="shared" si="81"/>
        <v/>
      </c>
      <c r="NH3" t="str">
        <f t="shared" ca="1" si="82"/>
        <v/>
      </c>
      <c r="NI3" t="str">
        <f t="shared" si="83"/>
        <v/>
      </c>
      <c r="NJ3">
        <f t="shared" si="84"/>
        <v>0</v>
      </c>
      <c r="NK3" t="str">
        <f t="shared" si="85"/>
        <v>0</v>
      </c>
      <c r="NL3">
        <f t="shared" si="86"/>
        <v>0</v>
      </c>
      <c r="NM3">
        <f t="shared" ca="1" si="87"/>
        <v>1</v>
      </c>
      <c r="NN3">
        <f>IF(OR(O3&gt;0,R3&gt;0),SUM(COUNTIF(Tabla1[[#This Row],[AÑOS AL INICIO5 CPN]],"&gt;=40"),COUNTIF(AR3,"0"),COUNTIF(AQ3,"SI"),COUNTIF(BW3,"SI"),COUNTIF(BM3,"&gt;119"),COUNTIF(CC3,"&gt;=35")),"")</f>
        <v>0</v>
      </c>
      <c r="NO3" t="str">
        <f t="shared" si="88"/>
        <v/>
      </c>
      <c r="NP3">
        <f t="shared" si="89"/>
        <v>0</v>
      </c>
      <c r="NQ3" t="str">
        <f t="shared" si="90"/>
        <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Y</v>
      </c>
      <c r="NS3">
        <f>MONTH(Tabla1[[#This Row],[FECHA DE SALIDA  DEL PROGRAMA]])</f>
        <v>1</v>
      </c>
      <c r="NT3">
        <f>YEAR(Tabla1[[#This Row],[FECHA DE SALIDA  DEL PROGRAMA]])</f>
        <v>1900</v>
      </c>
      <c r="NU3" t="str">
        <f t="shared" si="91"/>
        <v>X</v>
      </c>
      <c r="NV3" t="str">
        <f t="shared" si="92"/>
        <v>SI</v>
      </c>
      <c r="NW3" t="str">
        <f ca="1">IF(AND(O3&gt;0,R3=""),"NO CPN",IF(AND(O3="",R3=""),"",IF(AND(R3&gt;0,Tabla1[[#This Row],[SEMANAS DE GESTACION ACTUALIZADAS]]&lt;=12),"NO APLICA",IF(AND(FC3&lt;&gt;"",FI3&lt;&gt;""),"SI","NO"))))</f>
        <v>NO</v>
      </c>
      <c r="NX3" s="149" t="str">
        <f ca="1">IF(AND(O3&gt;0,R3=""),"NO CPN",IF(AND(O3="",R3=""),"",IF(AND(R3&gt;0,Tabla1[[#This Row],[SEMANAS DE GESTACION ACTUALIZADAS]]&lt;=27),"NO APLICA",IF(AND(EO3&lt;&gt;"",FL3&lt;&gt;"",GF3&lt;&gt;""),"SI","NO"))))</f>
        <v>NO</v>
      </c>
      <c r="NY3" s="147" t="str">
        <f t="shared" si="93"/>
        <v>I TRIM</v>
      </c>
      <c r="NZ3" s="1">
        <f>IF(AND(IY4&gt;0,IY4&lt;37),10,IF(OR(BX4="Transversa",BX4="Oblicua"),9,IF(BW4="SI",8,IF(AND(AS4=0,AV4=0,BW4="NO",BX4="Cefálica",IY4&gt;=37,JC4="INICIO ESPONTÁNEO"),1,IF(AND(AND(AS4=0,AV4=0,BW4="NO",BX4="Cefálica",IY4&gt;=37),OR(JC4="LE HACEN INDUCCIÓN",JC4="LE HACEN CESÁREA SIN INICIO TRABAJO DE PARTO")),2,IF(AND(AS4&gt;=1,AV4=0,BW4="NO",BX4="Cefálica",IY4&gt;=37,JC4="INICIO ESPONTÁNEO"),3,IF(AND(AND(AS4&gt;=1,AV4=0,BW4="NO",BX4="Cefálica",IY4&gt;=37),OR(JC4="LE HACEN INDUCCIÓN",JC4="LE HACEN CESÁREA SIN INICIO TRABAJO DE PARTO")),4,IF(AND(AND(AS4&gt;=1,AV4&gt;=1,BW4="NO",BX4="Cefálica",IY4&gt;=37),OR(JC4="LE HACEN INDUCCIÓN",JC4="LE HACEN CESÁREA SIN INICIO TRABAJO DE PARTO",JC4="INICIO ESPONTÁNEO")),5,IF(AND(AND(AS4=0,AV4=0,BW4="NO",BX4="Podálica",IY4&gt;=1),OR(JC4="LE HACEN INDUCCIÓN",JC4="LE HACEN CESÁREA SIN INICIO TRABAJO DE PARTO",JC4="INICIO ESPONTÁNEO")),6,IF(AND(AND(AS4&gt;=1,BW4="NO",BX4="Podálica",IY4&gt;=1),OR(JC4="LE HACEN INDUCCIÓN",JC4="LE HACEN CESÁREA SIN INICIO TRABAJO DE PARTO",JC4="INICIO ESPONTÁNEO"),OR(AV4=0,AV4&gt;=1)),7,""))))))))))</f>
        <v>2</v>
      </c>
      <c r="OA3" s="1" t="str">
        <f t="shared" ca="1" si="94"/>
        <v>REVISAR FUM O FECHA SALIDA PROGRAMA</v>
      </c>
      <c r="OB3" s="213">
        <f t="shared" ca="1" si="95"/>
        <v>1</v>
      </c>
      <c r="OC3" s="1">
        <f t="shared" ca="1" si="96"/>
        <v>1</v>
      </c>
      <c r="OD3" s="1" t="str">
        <f t="shared" ca="1" si="97"/>
        <v>POR DEFINIR</v>
      </c>
      <c r="OE3" s="1" t="str">
        <f t="shared" ca="1" si="98"/>
        <v>POR DEFINIR</v>
      </c>
      <c r="OF3" s="221"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3" s="230" t="str">
        <f t="shared" ca="1" si="99"/>
        <v>SIN VACUNAR</v>
      </c>
      <c r="OH3" s="148">
        <f>ROW(Tabla1[[#This Row],[SEMANAS DE GESTACION II TRIM]])</f>
        <v>3</v>
      </c>
      <c r="OI3" t="str">
        <f t="shared" si="100"/>
        <v/>
      </c>
      <c r="OJ3" t="str">
        <f t="shared" si="101"/>
        <v/>
      </c>
      <c r="OK3" t="str">
        <f t="shared" si="102"/>
        <v/>
      </c>
      <c r="OL3" t="str">
        <f t="shared" si="103"/>
        <v/>
      </c>
      <c r="OM3" t="str">
        <f t="shared" si="104"/>
        <v/>
      </c>
      <c r="ON3" t="str">
        <f t="shared" si="105"/>
        <v/>
      </c>
      <c r="OO3" t="str">
        <f t="shared" si="106"/>
        <v/>
      </c>
      <c r="OP3" t="str">
        <f t="shared" si="107"/>
        <v/>
      </c>
      <c r="OQ3" t="str">
        <f t="shared" si="108"/>
        <v/>
      </c>
      <c r="OR3" t="str">
        <f t="shared" si="109"/>
        <v/>
      </c>
      <c r="OS3" t="str">
        <f t="shared" si="110"/>
        <v/>
      </c>
      <c r="OT3" t="str">
        <f t="shared" si="111"/>
        <v/>
      </c>
      <c r="OU3" t="str">
        <f t="shared" si="112"/>
        <v/>
      </c>
      <c r="OV3" t="str">
        <f t="shared" si="113"/>
        <v/>
      </c>
      <c r="OW3" t="str">
        <f t="shared" si="114"/>
        <v/>
      </c>
      <c r="OX3" t="str">
        <f t="shared" si="115"/>
        <v/>
      </c>
      <c r="OY3" t="str">
        <f t="shared" si="116"/>
        <v/>
      </c>
      <c r="OZ3" t="str">
        <f t="shared" si="117"/>
        <v/>
      </c>
      <c r="PA3" t="str">
        <f t="shared" si="118"/>
        <v/>
      </c>
      <c r="PB3" t="str">
        <f t="shared" si="119"/>
        <v/>
      </c>
      <c r="PC3" t="str">
        <f t="shared" si="120"/>
        <v/>
      </c>
      <c r="PD3" t="str">
        <f t="shared" si="121"/>
        <v/>
      </c>
      <c r="PE3" t="str">
        <f t="shared" si="122"/>
        <v/>
      </c>
      <c r="PF3" t="str">
        <f t="shared" si="123"/>
        <v/>
      </c>
      <c r="PG3" t="str">
        <f t="shared" si="124"/>
        <v/>
      </c>
      <c r="PH3" t="str">
        <f t="shared" si="125"/>
        <v/>
      </c>
      <c r="PI3" t="str">
        <f t="shared" si="126"/>
        <v/>
      </c>
      <c r="PJ3" t="str">
        <f t="shared" si="127"/>
        <v/>
      </c>
      <c r="PK3" t="str">
        <f t="shared" si="128"/>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3" s="162" t="str">
        <f t="shared" si="129"/>
        <v/>
      </c>
      <c r="PN3" s="161" t="str">
        <f t="shared" ref="PN3:PN5" si="130">IF(AND(PL3="x",IF3="",IH3=""),"Firma",IF(AND(PL3="x",IF3&gt;0,IH3=""),"Firma2",IF(AND(PL3="x",IF3&gt;0,IH3&gt;0),"Firma2",IF(AND(PL3&lt;&gt;"b",IF3&gt;0,IH3=""),"Falta dosis",IF(AND(PL3="b",IF3&gt;0,IH3=""),"Completo",IF(AND(PL3="b",IF3&gt;0,IH3&gt;0),"Error Jansen X Fecha Segunda Dosis",IF(AND(PL3&lt;&gt;"b",IF3&gt;0,IH3&gt;0),"Completo","")))))))</f>
        <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3" s="161" t="str">
        <f ca="1">IF(PO3="","",SUM(TODAY()-Tabla1[[#This Row],[Fecha 1ra Dosis Anti COVID-19]]))</f>
        <v/>
      </c>
      <c r="PQ3" s="219"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t="s">
        <v>853</v>
      </c>
      <c r="B4" s="68" t="s">
        <v>854</v>
      </c>
      <c r="C4" s="68" t="s">
        <v>855</v>
      </c>
      <c r="D4" s="187" t="s">
        <v>863</v>
      </c>
      <c r="E4" s="68" t="s">
        <v>864</v>
      </c>
      <c r="F4" s="68" t="s">
        <v>865</v>
      </c>
      <c r="G4" s="68" t="s">
        <v>866</v>
      </c>
      <c r="H4" s="68"/>
      <c r="I4" s="145" t="s">
        <v>867</v>
      </c>
      <c r="J4" s="146">
        <v>1058546619</v>
      </c>
      <c r="K4" s="68" t="s">
        <v>861</v>
      </c>
      <c r="L4" s="68" t="s">
        <v>868</v>
      </c>
      <c r="M4" s="35">
        <v>38125</v>
      </c>
      <c r="N4" s="38">
        <f t="shared" ca="1" si="0"/>
        <v>19.465753424657535</v>
      </c>
      <c r="O4" s="35">
        <v>44734</v>
      </c>
      <c r="P4" s="39" t="str">
        <f t="shared" si="1"/>
        <v>SI</v>
      </c>
      <c r="Q4" s="40" t="s">
        <v>876</v>
      </c>
      <c r="R4" s="35">
        <v>44734</v>
      </c>
      <c r="S4" s="31" t="s">
        <v>877</v>
      </c>
      <c r="T4" s="37" t="s">
        <v>800</v>
      </c>
      <c r="U4" s="31" t="s">
        <v>878</v>
      </c>
      <c r="V4" s="31" t="s">
        <v>879</v>
      </c>
      <c r="W4" s="31" t="s">
        <v>888</v>
      </c>
      <c r="X4" s="31" t="s">
        <v>888</v>
      </c>
      <c r="Y4" s="31" t="s">
        <v>888</v>
      </c>
      <c r="Z4" s="31">
        <v>3175892519</v>
      </c>
      <c r="AA4" s="31" t="s">
        <v>882</v>
      </c>
      <c r="AB4" s="41" t="s">
        <v>883</v>
      </c>
      <c r="AC4" s="40" t="s">
        <v>889</v>
      </c>
      <c r="AD4" s="55" t="s">
        <v>890</v>
      </c>
      <c r="AE4" s="40" t="s">
        <v>875</v>
      </c>
      <c r="AF4" s="40" t="s">
        <v>875</v>
      </c>
      <c r="AG4" s="36" t="s">
        <v>886</v>
      </c>
      <c r="AH4" s="36" t="s">
        <v>886</v>
      </c>
      <c r="AI4" s="37" t="s">
        <v>885</v>
      </c>
      <c r="AJ4" s="36" t="s">
        <v>886</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886</v>
      </c>
      <c r="AM4" s="40" t="s">
        <v>886</v>
      </c>
      <c r="AN4" s="40" t="s">
        <v>886</v>
      </c>
      <c r="AO4" s="40" t="s">
        <v>886</v>
      </c>
      <c r="AP4" s="40" t="s">
        <v>886</v>
      </c>
      <c r="AQ4" s="40" t="s">
        <v>886</v>
      </c>
      <c r="AR4" s="31">
        <v>0</v>
      </c>
      <c r="AS4" s="31">
        <v>0</v>
      </c>
      <c r="AT4" s="31">
        <v>0</v>
      </c>
      <c r="AU4" s="40" t="s">
        <v>886</v>
      </c>
      <c r="AV4" s="31">
        <v>0</v>
      </c>
      <c r="AW4" s="40" t="s">
        <v>886</v>
      </c>
      <c r="AX4" s="40" t="s">
        <v>886</v>
      </c>
      <c r="AY4" s="40" t="s">
        <v>886</v>
      </c>
      <c r="AZ4" s="40" t="s">
        <v>886</v>
      </c>
      <c r="BA4" s="40" t="s">
        <v>886</v>
      </c>
      <c r="BB4" s="40" t="s">
        <v>886</v>
      </c>
      <c r="BC4" s="40" t="s">
        <v>886</v>
      </c>
      <c r="BD4" s="40" t="s">
        <v>886</v>
      </c>
      <c r="BE4" s="40" t="s">
        <v>886</v>
      </c>
      <c r="BF4" s="40" t="s">
        <v>886</v>
      </c>
      <c r="BG4" s="40" t="s">
        <v>886</v>
      </c>
      <c r="BH4" s="40" t="s">
        <v>886</v>
      </c>
      <c r="BI4" s="40" t="s">
        <v>886</v>
      </c>
      <c r="BJ4" s="35"/>
      <c r="BK4" s="35">
        <v>44664</v>
      </c>
      <c r="BL4" s="31" t="s">
        <v>875</v>
      </c>
      <c r="BM4" s="43">
        <f t="shared" si="2"/>
        <v>0</v>
      </c>
      <c r="BN4" s="57">
        <f t="shared" si="3"/>
        <v>44669</v>
      </c>
      <c r="BO4" s="44">
        <f t="shared" si="4"/>
        <v>10</v>
      </c>
      <c r="BP4" s="31" t="str">
        <f t="shared" si="5"/>
        <v>I TRIM</v>
      </c>
      <c r="BQ4" s="39" t="str">
        <f t="shared" ca="1" si="6"/>
        <v/>
      </c>
      <c r="BR4" s="35">
        <v>44767</v>
      </c>
      <c r="BS4" s="43">
        <v>14</v>
      </c>
      <c r="BT4" s="35">
        <v>44823</v>
      </c>
      <c r="BU4" s="31">
        <v>22</v>
      </c>
      <c r="BV4" s="40" t="s">
        <v>886</v>
      </c>
      <c r="BW4" s="40" t="s">
        <v>886</v>
      </c>
      <c r="BX4" s="40" t="s">
        <v>891</v>
      </c>
      <c r="BY4" s="40" t="s">
        <v>886</v>
      </c>
      <c r="BZ4" s="35">
        <v>44734</v>
      </c>
      <c r="CA4" s="31">
        <v>1.6</v>
      </c>
      <c r="CB4" s="31">
        <v>59</v>
      </c>
      <c r="CC4" s="39">
        <f t="shared" si="7"/>
        <v>23.046874999999996</v>
      </c>
      <c r="CD4" s="45" t="str">
        <f t="shared" si="8"/>
        <v>NORMAL</v>
      </c>
      <c r="CE4" s="35">
        <v>44792</v>
      </c>
      <c r="CF4" s="31">
        <v>54</v>
      </c>
      <c r="CG4" s="39">
        <f t="shared" si="9"/>
        <v>21.093749999999996</v>
      </c>
      <c r="CH4" s="31">
        <f t="shared" si="10"/>
        <v>18</v>
      </c>
      <c r="CI4" s="31" t="str">
        <f>IF(OR(CH4="",CH4="NA"),"",IF(AND(CH4&gt;=29,CH4&lt;=42),"REGISTRAR EN III TRIM",IF(AND(CH4&gt;0,CH4&lt;=13),"REGISTRAR EN I TRIM",IF(CH4="REVISAR FUM O FECHA PESO","REVISAR",IF(CH4&gt;0,HLOOKUP(CH4,$OI$1:PK4,OH4),"")))))</f>
        <v>BAJO PESO</v>
      </c>
      <c r="CJ4" s="35">
        <v>44883</v>
      </c>
      <c r="CK4" s="31">
        <v>60</v>
      </c>
      <c r="CL4" s="39">
        <f t="shared" si="11"/>
        <v>23.437499999999996</v>
      </c>
      <c r="CM4" s="31">
        <f t="shared" si="12"/>
        <v>31</v>
      </c>
      <c r="CN4" s="31" t="str">
        <f>IF(OR(CM4="",CM4="NA"),"",IF(AND(CM4&gt;0,CM4&lt;=28),"REGISTRAR EN  TRIM RESPECTIVO",IF(CM4&gt;0,HLOOKUP(CM4,$OI$1:PK4,OH4),"")))</f>
        <v>BAJO PESO</v>
      </c>
      <c r="CO4" s="31" t="str">
        <f t="shared" si="13"/>
        <v>BAJO PESO</v>
      </c>
      <c r="CP4" s="31">
        <v>110</v>
      </c>
      <c r="CQ4" s="31">
        <v>70</v>
      </c>
      <c r="CR4" s="37" t="str">
        <f t="shared" si="14"/>
        <v>APARENTEMENTE NORMAL</v>
      </c>
      <c r="CS4" s="31">
        <v>100</v>
      </c>
      <c r="CT4" s="31">
        <v>70</v>
      </c>
      <c r="CU4" s="37" t="str">
        <f t="shared" si="15"/>
        <v>VIGILAR CIFRAS PRESION ARTERIAL</v>
      </c>
      <c r="CV4" s="31">
        <v>100</v>
      </c>
      <c r="CW4" s="31">
        <v>70</v>
      </c>
      <c r="CX4" s="31">
        <v>110</v>
      </c>
      <c r="CY4" s="31">
        <v>70</v>
      </c>
      <c r="CZ4" s="37" t="str">
        <f t="shared" si="16"/>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7"/>
        <v>SALE SIN PLAN DE PARTO</v>
      </c>
      <c r="DR4" s="46" t="str">
        <f t="shared" si="18"/>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t="shared" ca="1" si="19"/>
        <v/>
      </c>
      <c r="DU4" s="35">
        <f>IF(R4="","",IF(R4&gt;0,MAX(Tabla1[[#This Row],[FECHA C2]:[FECHA C13]],Tabla1[[#This Row],[FECHA CONSULTA PRIMERA VEZ PROGRAMA CPN ]])))</f>
        <v>44923</v>
      </c>
      <c r="DV4" s="31">
        <f t="shared" si="20"/>
        <v>37</v>
      </c>
      <c r="DW4" s="43">
        <f>IF(R4&gt;0,SUM(COUNTA(DC4:DN4)+COUNTA(Tabla1[[#This Row],[FECHA CONSULTA PRIMERA VEZ PROGRAMA CPN ]])),"")</f>
        <v>6</v>
      </c>
      <c r="DX4" s="43" t="str">
        <f t="shared" si="21"/>
        <v>SI</v>
      </c>
      <c r="DY4" s="39">
        <f t="shared" si="22"/>
        <v>9</v>
      </c>
      <c r="DZ4" s="47">
        <f t="shared" si="23"/>
        <v>0.66666666666666663</v>
      </c>
      <c r="EA4" s="35">
        <v>44734</v>
      </c>
      <c r="EB4" s="35">
        <v>44734</v>
      </c>
      <c r="EC4" s="35">
        <v>44734</v>
      </c>
      <c r="ED4" s="35">
        <v>44761</v>
      </c>
      <c r="EE4" s="35">
        <v>44734</v>
      </c>
      <c r="EF4" s="35">
        <v>44767</v>
      </c>
      <c r="EG4" s="35">
        <v>44823</v>
      </c>
      <c r="EH4" s="31">
        <v>2</v>
      </c>
      <c r="EI4" s="31">
        <v>13</v>
      </c>
      <c r="EJ4" s="35">
        <v>44734</v>
      </c>
      <c r="EK4" s="43">
        <f t="shared" si="24"/>
        <v>10</v>
      </c>
      <c r="EL4" s="39" t="str">
        <f t="shared" si="25"/>
        <v>NORMAL- SUMINISTRAR SULFATO FERROSO</v>
      </c>
      <c r="EM4" s="31" t="str">
        <f t="shared" si="26"/>
        <v>I TRIM</v>
      </c>
      <c r="EN4" s="37">
        <v>15</v>
      </c>
      <c r="EO4" s="35">
        <v>44883</v>
      </c>
      <c r="EP4" s="44">
        <f t="shared" si="27"/>
        <v>31.285714285714285</v>
      </c>
      <c r="EQ4" s="39" t="str">
        <f t="shared" si="28"/>
        <v>NO DAR SULFATO FERROSO</v>
      </c>
      <c r="ER4" s="37" t="s">
        <v>893</v>
      </c>
      <c r="ES4" s="35">
        <v>44734</v>
      </c>
      <c r="ET4" s="44">
        <f t="shared" si="29"/>
        <v>10</v>
      </c>
      <c r="EU4" s="39" t="str">
        <f t="shared" si="30"/>
        <v>NO HAY RIESGO POR RH</v>
      </c>
      <c r="EV4" s="31">
        <v>95</v>
      </c>
      <c r="EW4" s="35">
        <v>44734</v>
      </c>
      <c r="EX4" s="44">
        <f t="shared" si="31"/>
        <v>10</v>
      </c>
      <c r="EY4" s="44">
        <v>75</v>
      </c>
      <c r="EZ4" s="44">
        <v>85</v>
      </c>
      <c r="FA4" s="44">
        <v>110</v>
      </c>
      <c r="FB4" s="31" t="str">
        <f t="shared" ca="1" si="32"/>
        <v>NORMAL</v>
      </c>
      <c r="FC4" s="48">
        <v>44848</v>
      </c>
      <c r="FD4" s="44">
        <f t="shared" si="33"/>
        <v>26.285714285714285</v>
      </c>
      <c r="FE4" s="35" t="s">
        <v>894</v>
      </c>
      <c r="FF4" s="35">
        <v>44734</v>
      </c>
      <c r="FG4" s="44">
        <f t="shared" ca="1" si="34"/>
        <v>10</v>
      </c>
      <c r="FH4" s="35" t="s">
        <v>894</v>
      </c>
      <c r="FI4" s="49">
        <v>44820</v>
      </c>
      <c r="FJ4" s="44">
        <f t="shared" ca="1" si="35"/>
        <v>22.285714285714285</v>
      </c>
      <c r="FK4" s="35" t="s">
        <v>894</v>
      </c>
      <c r="FL4" s="49">
        <v>44883</v>
      </c>
      <c r="FM4" s="44">
        <f t="shared" ca="1" si="36"/>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44734</v>
      </c>
      <c r="FS4" s="44">
        <f t="shared" si="37"/>
        <v>10</v>
      </c>
      <c r="FT4" s="43" t="s">
        <v>895</v>
      </c>
      <c r="FU4" s="35">
        <v>44734</v>
      </c>
      <c r="FV4" s="44">
        <f t="shared" si="38"/>
        <v>10</v>
      </c>
      <c r="FW4" s="35">
        <v>44734</v>
      </c>
      <c r="FX4" s="35">
        <v>44734</v>
      </c>
      <c r="FY4" s="35" t="s">
        <v>896</v>
      </c>
      <c r="FZ4" s="35">
        <v>44734</v>
      </c>
      <c r="GA4" s="44">
        <f t="shared" ca="1" si="39"/>
        <v>10</v>
      </c>
      <c r="GB4" s="35" t="s">
        <v>896</v>
      </c>
      <c r="GC4" s="35">
        <v>44820</v>
      </c>
      <c r="GD4" s="44">
        <f t="shared" ca="1" si="40"/>
        <v>22.285714285714285</v>
      </c>
      <c r="GE4" s="35" t="s">
        <v>896</v>
      </c>
      <c r="GF4" s="35">
        <v>44883</v>
      </c>
      <c r="GG4" s="44">
        <f t="shared" ca="1" si="41"/>
        <v>31.285714285714285</v>
      </c>
      <c r="GH4" s="35"/>
      <c r="GI4" s="44"/>
      <c r="GJ4" s="35" t="s">
        <v>883</v>
      </c>
      <c r="GK4" s="35"/>
      <c r="GL4" s="35" t="s">
        <v>883</v>
      </c>
      <c r="GM4" s="35"/>
      <c r="GN4" s="43" t="s">
        <v>895</v>
      </c>
      <c r="GO4" s="35">
        <v>44734</v>
      </c>
      <c r="GP4" s="44">
        <f t="shared" si="42"/>
        <v>10</v>
      </c>
      <c r="GQ4" s="43" t="s">
        <v>895</v>
      </c>
      <c r="GR4" s="43" t="s">
        <v>895</v>
      </c>
      <c r="GS4" s="35" t="str">
        <f t="shared" si="43"/>
        <v>CONTROL Igm</v>
      </c>
      <c r="GT4" s="35">
        <v>44734</v>
      </c>
      <c r="GU4" s="44">
        <f t="shared" si="44"/>
        <v>10</v>
      </c>
      <c r="GV4" s="31" t="str">
        <f t="shared" si="45"/>
        <v>I TRIM</v>
      </c>
      <c r="GW4" s="43" t="s">
        <v>895</v>
      </c>
      <c r="GX4" s="46">
        <v>5</v>
      </c>
      <c r="GY4" s="31"/>
      <c r="GZ4" s="35"/>
      <c r="HA4" s="43" t="str">
        <f t="shared" si="46"/>
        <v/>
      </c>
      <c r="HB4" s="31" t="str">
        <f t="shared" si="47"/>
        <v/>
      </c>
      <c r="HC4" s="31" t="str">
        <f t="shared" si="48"/>
        <v/>
      </c>
      <c r="HD4" s="31" t="s">
        <v>897</v>
      </c>
      <c r="HE4" s="31"/>
      <c r="HF4" s="31" t="s">
        <v>898</v>
      </c>
      <c r="HG4" s="31"/>
      <c r="HH4" s="31" t="s">
        <v>899</v>
      </c>
      <c r="HI4" s="31">
        <v>0</v>
      </c>
      <c r="HJ4" s="35" t="s">
        <v>900</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 t="shared" si="49"/>
        <v>****BAJO PESO*****PREVENCIÓN CONTAGIO TOXOPLASMOSIS***</v>
      </c>
      <c r="HM4" s="35" t="str">
        <f t="shared" ca="1" si="50"/>
        <v>CON RIESGO</v>
      </c>
      <c r="HN4" s="31" t="str">
        <f t="shared" ca="1" si="51"/>
        <v>**********************MULTIPARIDAD**********</v>
      </c>
      <c r="HO4" s="31" t="str">
        <f t="shared" si="52"/>
        <v>SIN ANTECEDENTES DE RIESGO</v>
      </c>
      <c r="HP4" s="37" t="str">
        <f t="shared" si="53"/>
        <v>APARENTEMENTE NORMAL</v>
      </c>
      <c r="HQ4" s="31" t="str">
        <f t="shared" ca="1" si="54"/>
        <v/>
      </c>
      <c r="HR4" s="46" t="str">
        <f t="shared" si="55"/>
        <v>SALIO PROGRAMA</v>
      </c>
      <c r="HS4" s="31" t="s">
        <v>875</v>
      </c>
      <c r="HT4" s="31" t="s">
        <v>883</v>
      </c>
      <c r="HU4" s="35">
        <v>44848</v>
      </c>
      <c r="HV4" s="35" t="s">
        <v>901</v>
      </c>
      <c r="HW4" s="35">
        <v>44848</v>
      </c>
      <c r="HX4" s="35" t="s">
        <v>901</v>
      </c>
      <c r="HY4" s="35">
        <v>44734</v>
      </c>
      <c r="HZ4" s="35" t="s">
        <v>901</v>
      </c>
      <c r="IA4" s="40" t="s">
        <v>887</v>
      </c>
      <c r="IB4" s="35">
        <v>44734</v>
      </c>
      <c r="IC4" s="43">
        <f t="shared" si="56"/>
        <v>10</v>
      </c>
      <c r="ID4" s="40" t="s">
        <v>875</v>
      </c>
      <c r="IE4" s="40" t="s">
        <v>902</v>
      </c>
      <c r="IF4" s="35"/>
      <c r="IG4" s="35"/>
      <c r="IH4" s="171"/>
      <c r="II4" s="171"/>
      <c r="IJ4" s="171"/>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71">
        <v>44792</v>
      </c>
      <c r="IM4" s="35">
        <v>44820</v>
      </c>
      <c r="IN4" s="35" t="str">
        <f t="shared" ca="1" si="57"/>
        <v>VACUNA APLICADA ENTRE SEMANA 20 Y SEMANA 26</v>
      </c>
      <c r="IO4" s="35"/>
      <c r="IP4" s="35">
        <f t="shared" si="58"/>
        <v>44944</v>
      </c>
      <c r="IQ4" s="44">
        <f t="shared" ca="1" si="59"/>
        <v>-286</v>
      </c>
      <c r="IR4" s="35" t="str">
        <f t="shared" ca="1" si="60"/>
        <v>POSIBLEMENTE NACIO</v>
      </c>
      <c r="IS4" s="35"/>
      <c r="IT4" s="31" t="s">
        <v>904</v>
      </c>
      <c r="IU4" s="31" t="s">
        <v>905</v>
      </c>
      <c r="IV4" s="51" t="s">
        <v>906</v>
      </c>
      <c r="IW4" s="35">
        <v>44945</v>
      </c>
      <c r="IX4" s="31" t="s">
        <v>907</v>
      </c>
      <c r="IY4" s="44">
        <f t="shared" si="61"/>
        <v>40.142857142857146</v>
      </c>
      <c r="IZ4" s="52" t="s">
        <v>908</v>
      </c>
      <c r="JA4" s="31" t="s">
        <v>909</v>
      </c>
      <c r="JB4" s="31" t="s">
        <v>910</v>
      </c>
      <c r="JC4" s="31" t="s">
        <v>911</v>
      </c>
      <c r="JD4" s="31" t="s">
        <v>887</v>
      </c>
      <c r="JE4" s="31" t="s">
        <v>887</v>
      </c>
      <c r="JF4" s="31" t="s">
        <v>887</v>
      </c>
      <c r="JG4" s="31" t="s">
        <v>887</v>
      </c>
      <c r="JH4" s="31" t="s">
        <v>887</v>
      </c>
      <c r="JI4" s="31" t="s">
        <v>887</v>
      </c>
      <c r="JJ4" s="31" t="s">
        <v>912</v>
      </c>
      <c r="JK4" s="46">
        <v>1</v>
      </c>
      <c r="JL4" s="31" t="s">
        <v>913</v>
      </c>
      <c r="JM4" s="53">
        <v>2970</v>
      </c>
      <c r="JN4" s="31" t="str">
        <f t="shared" si="62"/>
        <v>PESO ADECUADO EDAD GESTACIONAL</v>
      </c>
      <c r="JO4" s="236">
        <v>44945</v>
      </c>
      <c r="JP4" s="31"/>
      <c r="JQ4" s="31"/>
      <c r="JR4" s="31"/>
      <c r="JS4" s="46" t="s">
        <v>893</v>
      </c>
      <c r="JT4" s="35">
        <v>44945</v>
      </c>
      <c r="JU4" s="35">
        <v>44945</v>
      </c>
      <c r="JV4" s="31"/>
      <c r="JW4" s="53"/>
      <c r="JX4" s="31" t="str">
        <f t="shared" si="63"/>
        <v/>
      </c>
      <c r="JY4" s="35"/>
      <c r="JZ4" s="31"/>
      <c r="KA4" s="31"/>
      <c r="KB4" s="31"/>
      <c r="KC4" s="46"/>
      <c r="KD4" s="35"/>
      <c r="KE4" s="35"/>
      <c r="KF4" s="50">
        <v>44953</v>
      </c>
      <c r="KG4" s="43">
        <f t="shared" si="64"/>
        <v>8</v>
      </c>
      <c r="KH4" s="50">
        <v>44953</v>
      </c>
      <c r="KI4" s="43">
        <f t="shared" si="65"/>
        <v>8</v>
      </c>
      <c r="KJ4" s="31" t="s">
        <v>875</v>
      </c>
      <c r="KK4" s="31" t="s">
        <v>875</v>
      </c>
      <c r="KL4" s="31" t="s">
        <v>875</v>
      </c>
      <c r="KM4" s="54">
        <v>44945</v>
      </c>
      <c r="KN4" s="43" t="s">
        <v>914</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 t="shared" si="66"/>
        <v>0</v>
      </c>
      <c r="MR4" t="str">
        <f t="shared" si="67"/>
        <v/>
      </c>
      <c r="MS4" t="str">
        <f t="shared" si="68"/>
        <v/>
      </c>
      <c r="MT4">
        <f t="shared" si="69"/>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 t="shared" si="70"/>
        <v>10</v>
      </c>
      <c r="MW4">
        <f t="shared" si="71"/>
        <v>6</v>
      </c>
      <c r="MX4">
        <f t="shared" si="72"/>
        <v>2022</v>
      </c>
      <c r="MY4" t="str">
        <f t="shared" si="73"/>
        <v>II TRIMESTRE AÑO</v>
      </c>
      <c r="MZ4">
        <f t="shared" si="74"/>
        <v>17.832895313184405</v>
      </c>
      <c r="NA4">
        <f t="shared" si="75"/>
        <v>0</v>
      </c>
      <c r="NB4" t="str">
        <f t="shared" si="76"/>
        <v>DE 14 A 19AÑOS</v>
      </c>
      <c r="NC4">
        <f t="shared" si="77"/>
        <v>0</v>
      </c>
      <c r="ND4">
        <f t="shared" si="78"/>
        <v>1</v>
      </c>
      <c r="NE4">
        <f t="shared" si="79"/>
        <v>0</v>
      </c>
      <c r="NF4">
        <f t="shared" si="80"/>
        <v>0</v>
      </c>
      <c r="NG4" t="str">
        <f t="shared" si="81"/>
        <v/>
      </c>
      <c r="NH4" t="str">
        <f t="shared" ca="1" si="82"/>
        <v/>
      </c>
      <c r="NI4" t="str">
        <f t="shared" si="83"/>
        <v/>
      </c>
      <c r="NJ4">
        <f t="shared" si="84"/>
        <v>0</v>
      </c>
      <c r="NK4" t="str">
        <f t="shared" si="85"/>
        <v>0</v>
      </c>
      <c r="NL4">
        <f t="shared" si="86"/>
        <v>0</v>
      </c>
      <c r="NM4">
        <f t="shared" ca="1" si="87"/>
        <v>1</v>
      </c>
      <c r="NN4">
        <f>IF(OR(O4&gt;0,R4&gt;0),SUM(COUNTIF(Tabla1[[#This Row],[AÑOS AL INICIO5 CPN]],"&gt;=40"),COUNTIF(AR4,"0"),COUNTIF(AQ4,"SI"),COUNTIF(BW4,"SI"),COUNTIF(BM4,"&gt;119"),COUNTIF(CC4,"&gt;=35")),"")</f>
        <v>1</v>
      </c>
      <c r="NO4">
        <f t="shared" si="88"/>
        <v>22.285714285714285</v>
      </c>
      <c r="NP4">
        <f t="shared" si="89"/>
        <v>0</v>
      </c>
      <c r="NQ4">
        <f t="shared" si="90"/>
        <v>98</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 t="shared" si="91"/>
        <v>33</v>
      </c>
      <c r="NV4" t="str">
        <f t="shared" si="92"/>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SI</v>
      </c>
      <c r="NY4" s="147" t="str">
        <f t="shared" si="93"/>
        <v>II TRIM</v>
      </c>
      <c r="NZ4" s="1" t="str">
        <f>IF(AND(IY5&gt;0,IY5&lt;37),10,IF(OR(BX5="Transversa",BX5="Oblicua"),9,IF(BW5="SI",8,IF(AND(AS5=0,AV5=0,BW5="NO",BX5="Cefálica",IY5&gt;=37,JC5="INICIO ESPONTÁNEO"),1,IF(AND(AND(AS5=0,AV5=0,BW5="NO",BX5="Cefálica",IY5&gt;=37),OR(JC5="LE HACEN INDUCCIÓN",JC5="LE HACEN CESÁREA SIN INICIO TRABAJO DE PARTO")),2,IF(AND(AS5&gt;=1,AV5=0,BW5="NO",BX5="Cefálica",IY5&gt;=37,JC5="INICIO ESPONTÁNEO"),3,IF(AND(AND(AS5&gt;=1,AV5=0,BW5="NO",BX5="Cefálica",IY5&gt;=37),OR(JC5="LE HACEN INDUCCIÓN",JC5="LE HACEN CESÁREA SIN INICIO TRABAJO DE PARTO")),4,IF(AND(AND(AS5&gt;=1,AV5&gt;=1,BW5="NO",BX5="Cefálica",IY5&gt;=37),OR(JC5="LE HACEN INDUCCIÓN",JC5="LE HACEN CESÁREA SIN INICIO TRABAJO DE PARTO",JC5="INICIO ESPONTÁNEO")),5,IF(AND(AND(AS5=0,AV5=0,BW5="NO",BX5="Podálica",IY5&gt;=1),OR(JC5="LE HACEN INDUCCIÓN",JC5="LE HACEN CESÁREA SIN INICIO TRABAJO DE PARTO",JC5="INICIO ESPONTÁNEO")),6,IF(AND(AND(AS5&gt;=1,BW5="NO",BX5="Podálica",IY5&gt;=1),OR(JC5="LE HACEN INDUCCIÓN",JC5="LE HACEN CESÁREA SIN INICIO TRABAJO DE PARTO",JC5="INICIO ESPONTÁNEO"),OR(AV5=0,AV5&gt;=1)),7,""))))))))))</f>
        <v/>
      </c>
      <c r="OA4" s="1">
        <f t="shared" si="94"/>
        <v>3</v>
      </c>
      <c r="OB4" s="213">
        <f t="shared" ca="1" si="95"/>
        <v>3</v>
      </c>
      <c r="OC4" s="1">
        <f t="shared" ca="1" si="96"/>
        <v>3</v>
      </c>
      <c r="OD4" s="1" t="str">
        <f t="shared" ca="1" si="97"/>
        <v>COMPLETO</v>
      </c>
      <c r="OE4" s="1" t="str">
        <f t="shared" ca="1" si="98"/>
        <v>COMPLETO</v>
      </c>
      <c r="OF4" s="221"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30" t="str">
        <f t="shared" ca="1" si="99"/>
        <v>VACUNADA</v>
      </c>
      <c r="OH4" s="148">
        <f>ROW(Tabla1[[#This Row],[SEMANAS DE GESTACION II TRIM]])</f>
        <v>4</v>
      </c>
      <c r="OI4" t="str">
        <f t="shared" si="100"/>
        <v/>
      </c>
      <c r="OJ4" t="str">
        <f t="shared" si="101"/>
        <v/>
      </c>
      <c r="OK4" t="str">
        <f t="shared" si="102"/>
        <v/>
      </c>
      <c r="OL4" t="str">
        <f t="shared" si="103"/>
        <v/>
      </c>
      <c r="OM4" t="str">
        <f t="shared" si="104"/>
        <v>BAJO PESO</v>
      </c>
      <c r="ON4" t="str">
        <f t="shared" si="105"/>
        <v/>
      </c>
      <c r="OO4" t="str">
        <f t="shared" si="106"/>
        <v/>
      </c>
      <c r="OP4" t="str">
        <f t="shared" si="107"/>
        <v/>
      </c>
      <c r="OQ4" t="str">
        <f t="shared" si="108"/>
        <v/>
      </c>
      <c r="OR4" t="str">
        <f t="shared" si="109"/>
        <v/>
      </c>
      <c r="OS4" t="str">
        <f t="shared" si="110"/>
        <v/>
      </c>
      <c r="OT4" t="str">
        <f t="shared" si="111"/>
        <v/>
      </c>
      <c r="OU4" t="str">
        <f t="shared" si="112"/>
        <v/>
      </c>
      <c r="OV4" t="str">
        <f t="shared" si="113"/>
        <v/>
      </c>
      <c r="OW4" t="str">
        <f t="shared" si="114"/>
        <v/>
      </c>
      <c r="OX4" t="str">
        <f t="shared" si="115"/>
        <v/>
      </c>
      <c r="OY4" t="str">
        <f t="shared" si="116"/>
        <v/>
      </c>
      <c r="OZ4" t="str">
        <f t="shared" si="117"/>
        <v>BAJO PESO</v>
      </c>
      <c r="PA4" t="str">
        <f t="shared" si="118"/>
        <v/>
      </c>
      <c r="PB4" t="str">
        <f t="shared" si="119"/>
        <v/>
      </c>
      <c r="PC4" t="str">
        <f t="shared" si="120"/>
        <v/>
      </c>
      <c r="PD4" t="str">
        <f t="shared" si="121"/>
        <v/>
      </c>
      <c r="PE4" t="str">
        <f t="shared" si="122"/>
        <v/>
      </c>
      <c r="PF4" t="str">
        <f t="shared" si="123"/>
        <v/>
      </c>
      <c r="PG4" t="str">
        <f t="shared" si="124"/>
        <v/>
      </c>
      <c r="PH4" t="str">
        <f t="shared" si="125"/>
        <v/>
      </c>
      <c r="PI4" t="str">
        <f t="shared" si="126"/>
        <v/>
      </c>
      <c r="PJ4" t="str">
        <f t="shared" si="127"/>
        <v/>
      </c>
      <c r="PK4" t="str">
        <f t="shared" si="128"/>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129"/>
        <v/>
      </c>
      <c r="PN4" s="161" t="str">
        <f t="shared" si="130"/>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45230</v>
      </c>
      <c r="PQ4" s="219"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row r="5" spans="1:433" ht="39.950000000000003" customHeight="1" x14ac:dyDescent="0.25">
      <c r="A5" s="145" t="s">
        <v>869</v>
      </c>
      <c r="B5" s="68" t="s">
        <v>854</v>
      </c>
      <c r="C5" s="68" t="s">
        <v>855</v>
      </c>
      <c r="D5" s="187" t="s">
        <v>863</v>
      </c>
      <c r="E5" s="68" t="s">
        <v>870</v>
      </c>
      <c r="F5" s="68" t="s">
        <v>871</v>
      </c>
      <c r="G5" s="68" t="s">
        <v>872</v>
      </c>
      <c r="H5" s="68" t="s">
        <v>873</v>
      </c>
      <c r="I5" s="145" t="s">
        <v>867</v>
      </c>
      <c r="J5" s="146">
        <v>1061719887</v>
      </c>
      <c r="K5" s="68" t="s">
        <v>874</v>
      </c>
      <c r="L5" s="68" t="s">
        <v>868</v>
      </c>
      <c r="M5" s="35">
        <v>39245</v>
      </c>
      <c r="N5" s="38">
        <f t="shared" ca="1" si="0"/>
        <v>16.397260273972602</v>
      </c>
      <c r="O5" s="35">
        <v>44737</v>
      </c>
      <c r="P5" s="39" t="str">
        <f t="shared" si="1"/>
        <v>SI</v>
      </c>
      <c r="Q5" s="40" t="s">
        <v>876</v>
      </c>
      <c r="R5" s="35">
        <v>44737</v>
      </c>
      <c r="S5" s="31" t="s">
        <v>877</v>
      </c>
      <c r="T5" s="37" t="s">
        <v>800</v>
      </c>
      <c r="U5" s="31" t="s">
        <v>878</v>
      </c>
      <c r="V5" s="31" t="s">
        <v>879</v>
      </c>
      <c r="W5" s="31" t="s">
        <v>892</v>
      </c>
      <c r="X5" s="31" t="s">
        <v>892</v>
      </c>
      <c r="Y5" s="31" t="s">
        <v>888</v>
      </c>
      <c r="Z5" s="31">
        <v>3148325692</v>
      </c>
      <c r="AA5" s="31" t="s">
        <v>882</v>
      </c>
      <c r="AB5" s="41" t="s">
        <v>883</v>
      </c>
      <c r="AC5" s="40" t="s">
        <v>889</v>
      </c>
      <c r="AD5" s="55" t="s">
        <v>885</v>
      </c>
      <c r="AE5" s="40" t="s">
        <v>875</v>
      </c>
      <c r="AF5" s="40" t="s">
        <v>875</v>
      </c>
      <c r="AG5" s="36" t="s">
        <v>886</v>
      </c>
      <c r="AH5" s="36" t="s">
        <v>886</v>
      </c>
      <c r="AI5" s="37" t="s">
        <v>885</v>
      </c>
      <c r="AJ5" s="36" t="s">
        <v>886</v>
      </c>
      <c r="AK5" s="42" t="str">
        <f>IF(AND(AE5="",AF5="",AG5="",AH5="",AI5="",AJ5=""),"",IF(AND(OR(O5&gt;0,R5&gt;0),NP5&gt;=0,NP5&lt;2),"SIN RIESGO",IF(AND(OR(O5&gt;0,R5&gt;0),NP5&gt;=2),"CON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5" s="36" t="s">
        <v>886</v>
      </c>
      <c r="AM5" s="40" t="s">
        <v>886</v>
      </c>
      <c r="AN5" s="40" t="s">
        <v>886</v>
      </c>
      <c r="AO5" s="40" t="s">
        <v>886</v>
      </c>
      <c r="AP5" s="40" t="s">
        <v>886</v>
      </c>
      <c r="AQ5" s="40" t="s">
        <v>886</v>
      </c>
      <c r="AR5" s="31">
        <v>1</v>
      </c>
      <c r="AS5" s="31">
        <v>0</v>
      </c>
      <c r="AT5" s="31">
        <v>0</v>
      </c>
      <c r="AU5" s="40" t="s">
        <v>886</v>
      </c>
      <c r="AV5" s="31">
        <v>0</v>
      </c>
      <c r="AW5" s="40" t="s">
        <v>886</v>
      </c>
      <c r="AX5" s="40" t="s">
        <v>886</v>
      </c>
      <c r="AY5" s="40" t="s">
        <v>886</v>
      </c>
      <c r="AZ5" s="40" t="s">
        <v>886</v>
      </c>
      <c r="BA5" s="40" t="s">
        <v>886</v>
      </c>
      <c r="BB5" s="40" t="s">
        <v>886</v>
      </c>
      <c r="BC5" s="40" t="s">
        <v>886</v>
      </c>
      <c r="BD5" s="40" t="s">
        <v>886</v>
      </c>
      <c r="BE5" s="40" t="s">
        <v>886</v>
      </c>
      <c r="BF5" s="40" t="s">
        <v>886</v>
      </c>
      <c r="BG5" s="40" t="s">
        <v>886</v>
      </c>
      <c r="BH5" s="40" t="s">
        <v>886</v>
      </c>
      <c r="BI5" s="40" t="s">
        <v>886</v>
      </c>
      <c r="BJ5" s="35"/>
      <c r="BK5" s="35">
        <v>44667</v>
      </c>
      <c r="BL5" s="31" t="s">
        <v>875</v>
      </c>
      <c r="BM5" s="43">
        <f t="shared" si="2"/>
        <v>0</v>
      </c>
      <c r="BN5" s="57">
        <f t="shared" si="3"/>
        <v>44660.6</v>
      </c>
      <c r="BO5" s="44">
        <f t="shared" si="4"/>
        <v>10</v>
      </c>
      <c r="BP5" s="31" t="str">
        <f t="shared" si="5"/>
        <v>I TRIM</v>
      </c>
      <c r="BQ5" s="39" t="str">
        <f t="shared" ca="1" si="6"/>
        <v/>
      </c>
      <c r="BR5" s="35">
        <v>44774</v>
      </c>
      <c r="BS5" s="43">
        <v>16.2</v>
      </c>
      <c r="BT5" s="35"/>
      <c r="BU5" s="31"/>
      <c r="BV5" s="40" t="s">
        <v>886</v>
      </c>
      <c r="BW5" s="40" t="s">
        <v>886</v>
      </c>
      <c r="BX5" s="40" t="s">
        <v>887</v>
      </c>
      <c r="BY5" s="40" t="s">
        <v>887</v>
      </c>
      <c r="BZ5" s="35">
        <v>44737</v>
      </c>
      <c r="CA5" s="31">
        <v>1.53</v>
      </c>
      <c r="CB5" s="31">
        <v>58</v>
      </c>
      <c r="CC5" s="39">
        <f t="shared" si="7"/>
        <v>24.776795249690291</v>
      </c>
      <c r="CD5" s="45" t="str">
        <f t="shared" si="8"/>
        <v>NORMAL</v>
      </c>
      <c r="CE5" s="35">
        <v>44803</v>
      </c>
      <c r="CF5" s="31">
        <v>51</v>
      </c>
      <c r="CG5" s="39">
        <f t="shared" si="9"/>
        <v>21.786492374727668</v>
      </c>
      <c r="CH5" s="31">
        <f t="shared" si="10"/>
        <v>19</v>
      </c>
      <c r="CI5" s="31" t="str">
        <f>IF(OR(CH5="",CH5="NA"),"",IF(AND(CH5&gt;=29,CH5&lt;=42),"REGISTRAR EN III TRIM",IF(AND(CH5&gt;0,CH5&lt;=13),"REGISTRAR EN I TRIM",IF(CH5="REVISAR FUM O FECHA PESO","REVISAR",IF(CH5&gt;0,HLOOKUP(CH5,$OI$1:PK5,OH5),"")))))</f>
        <v>NORMAL</v>
      </c>
      <c r="CJ5" s="35">
        <v>44897</v>
      </c>
      <c r="CK5" s="31">
        <v>58</v>
      </c>
      <c r="CL5" s="39">
        <f t="shared" si="11"/>
        <v>24.776795249690291</v>
      </c>
      <c r="CM5" s="31">
        <f t="shared" si="12"/>
        <v>32</v>
      </c>
      <c r="CN5" s="31" t="str">
        <f>IF(OR(CM5="",CM5="NA"),"",IF(AND(CM5&gt;0,CM5&lt;=28),"REGISTRAR EN  TRIM RESPECTIVO",IF(CM5&gt;0,HLOOKUP(CM5,$OI$1:PK5,OH5),"")))</f>
        <v>NORMAL</v>
      </c>
      <c r="CO5" s="31" t="str">
        <f t="shared" si="13"/>
        <v>NORMAL</v>
      </c>
      <c r="CP5" s="31">
        <v>110</v>
      </c>
      <c r="CQ5" s="31">
        <v>70</v>
      </c>
      <c r="CR5" s="37" t="str">
        <f t="shared" si="14"/>
        <v>APARENTEMENTE NORMAL</v>
      </c>
      <c r="CS5" s="31">
        <v>100</v>
      </c>
      <c r="CT5" s="31">
        <v>70</v>
      </c>
      <c r="CU5" s="37" t="str">
        <f t="shared" si="15"/>
        <v>VIGILAR CIFRAS PRESION ARTERIAL</v>
      </c>
      <c r="CV5" s="31">
        <v>110</v>
      </c>
      <c r="CW5" s="31">
        <v>70</v>
      </c>
      <c r="CX5" s="31">
        <v>110</v>
      </c>
      <c r="CY5" s="31">
        <v>60</v>
      </c>
      <c r="CZ5" s="37" t="str">
        <f t="shared" si="16"/>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7"/>
        <v>SALE SIN PLAN DE PARTO</v>
      </c>
      <c r="DR5" s="46" t="str">
        <f t="shared" si="18"/>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str">
        <f t="shared" ca="1" si="19"/>
        <v/>
      </c>
      <c r="DU5" s="35">
        <f>IF(R5="","",IF(R5&gt;0,MAX(Tabla1[[#This Row],[FECHA C2]:[FECHA C13]],Tabla1[[#This Row],[FECHA CONSULTA PRIMERA VEZ PROGRAMA CPN ]])))</f>
        <v>44930</v>
      </c>
      <c r="DV5" s="31">
        <f t="shared" si="20"/>
        <v>37</v>
      </c>
      <c r="DW5" s="43">
        <f>IF(R5&gt;0,SUM(COUNTA(DC5:DN5)+COUNTA(Tabla1[[#This Row],[FECHA CONSULTA PRIMERA VEZ PROGRAMA CPN ]])),"")</f>
        <v>7</v>
      </c>
      <c r="DX5" s="43" t="str">
        <f t="shared" si="21"/>
        <v>SI</v>
      </c>
      <c r="DY5" s="39">
        <f t="shared" si="22"/>
        <v>9</v>
      </c>
      <c r="DZ5" s="47">
        <f t="shared" si="23"/>
        <v>0.77777777777777779</v>
      </c>
      <c r="EA5" s="35">
        <v>44737</v>
      </c>
      <c r="EB5" s="35">
        <v>44737</v>
      </c>
      <c r="EC5" s="35">
        <v>44737</v>
      </c>
      <c r="ED5" s="35">
        <v>44765</v>
      </c>
      <c r="EE5" s="35">
        <v>44737</v>
      </c>
      <c r="EF5" s="35">
        <v>44774</v>
      </c>
      <c r="EG5" s="35"/>
      <c r="EH5" s="31">
        <v>1</v>
      </c>
      <c r="EI5" s="31">
        <v>13</v>
      </c>
      <c r="EJ5" s="35">
        <v>44737</v>
      </c>
      <c r="EK5" s="43">
        <f t="shared" si="24"/>
        <v>10</v>
      </c>
      <c r="EL5" s="39" t="str">
        <f t="shared" si="25"/>
        <v>NORMAL- SUMINISTRAR SULFATO FERROSO</v>
      </c>
      <c r="EM5" s="31" t="str">
        <f t="shared" si="26"/>
        <v>I TRIM</v>
      </c>
      <c r="EN5" s="37">
        <v>14</v>
      </c>
      <c r="EO5" s="35">
        <v>44866</v>
      </c>
      <c r="EP5" s="44">
        <f t="shared" si="27"/>
        <v>28.428571428571427</v>
      </c>
      <c r="EQ5" s="39" t="str">
        <f t="shared" si="28"/>
        <v>NO DAR SULFATO FERROSO</v>
      </c>
      <c r="ER5" s="37" t="s">
        <v>893</v>
      </c>
      <c r="ES5" s="35">
        <v>44737</v>
      </c>
      <c r="ET5" s="44">
        <f t="shared" si="29"/>
        <v>10</v>
      </c>
      <c r="EU5" s="39" t="str">
        <f t="shared" si="30"/>
        <v>NO HAY RIESGO POR RH</v>
      </c>
      <c r="EV5" s="31">
        <v>94</v>
      </c>
      <c r="EW5" s="35">
        <v>44737</v>
      </c>
      <c r="EX5" s="44">
        <f t="shared" si="31"/>
        <v>10</v>
      </c>
      <c r="EY5" s="44">
        <v>69</v>
      </c>
      <c r="EZ5" s="44">
        <v>110</v>
      </c>
      <c r="FA5" s="44">
        <v>70</v>
      </c>
      <c r="FB5" s="31" t="str">
        <f t="shared" ca="1" si="32"/>
        <v>NORMAL</v>
      </c>
      <c r="FC5" s="48">
        <v>44835</v>
      </c>
      <c r="FD5" s="44">
        <f t="shared" si="33"/>
        <v>24</v>
      </c>
      <c r="FE5" s="35" t="s">
        <v>894</v>
      </c>
      <c r="FF5" s="35">
        <v>44737</v>
      </c>
      <c r="FG5" s="44">
        <f t="shared" ca="1" si="34"/>
        <v>10</v>
      </c>
      <c r="FH5" s="35" t="s">
        <v>894</v>
      </c>
      <c r="FI5" s="49">
        <v>44803</v>
      </c>
      <c r="FJ5" s="44">
        <f t="shared" ca="1" si="35"/>
        <v>19.428571428571427</v>
      </c>
      <c r="FK5" s="35"/>
      <c r="FL5" s="49"/>
      <c r="FM5" s="44" t="str">
        <f t="shared" ca="1" si="36"/>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801</v>
      </c>
      <c r="FR5" s="35">
        <v>44737</v>
      </c>
      <c r="FS5" s="44">
        <f t="shared" si="37"/>
        <v>10</v>
      </c>
      <c r="FT5" s="43" t="s">
        <v>895</v>
      </c>
      <c r="FU5" s="35">
        <v>44737</v>
      </c>
      <c r="FV5" s="44">
        <f t="shared" si="38"/>
        <v>10</v>
      </c>
      <c r="FW5" s="35">
        <v>44737</v>
      </c>
      <c r="FX5" s="35">
        <v>44737</v>
      </c>
      <c r="FY5" s="35" t="s">
        <v>896</v>
      </c>
      <c r="FZ5" s="35">
        <v>44737</v>
      </c>
      <c r="GA5" s="44">
        <f t="shared" ca="1" si="39"/>
        <v>10</v>
      </c>
      <c r="GB5" s="35" t="s">
        <v>896</v>
      </c>
      <c r="GC5" s="35">
        <v>44803</v>
      </c>
      <c r="GD5" s="44">
        <f t="shared" ca="1" si="40"/>
        <v>19.428571428571427</v>
      </c>
      <c r="GE5" s="35"/>
      <c r="GF5" s="35"/>
      <c r="GG5" s="44" t="str">
        <f t="shared" ca="1" si="41"/>
        <v>PIERDE TOMA DE TAMIZAJE</v>
      </c>
      <c r="GH5" s="35"/>
      <c r="GI5" s="44"/>
      <c r="GJ5" s="35" t="s">
        <v>883</v>
      </c>
      <c r="GK5" s="35"/>
      <c r="GL5" s="35" t="s">
        <v>883</v>
      </c>
      <c r="GM5" s="35"/>
      <c r="GN5" s="43" t="s">
        <v>895</v>
      </c>
      <c r="GO5" s="35">
        <v>44737</v>
      </c>
      <c r="GP5" s="44">
        <f t="shared" si="42"/>
        <v>10</v>
      </c>
      <c r="GQ5" s="43" t="s">
        <v>895</v>
      </c>
      <c r="GR5" s="43" t="s">
        <v>895</v>
      </c>
      <c r="GS5" s="35" t="str">
        <f t="shared" si="43"/>
        <v>CONTROL Igm</v>
      </c>
      <c r="GT5" s="35">
        <v>44737</v>
      </c>
      <c r="GU5" s="44">
        <f t="shared" si="44"/>
        <v>10</v>
      </c>
      <c r="GV5" s="31" t="str">
        <f t="shared" si="45"/>
        <v>I TRIM</v>
      </c>
      <c r="GW5" s="43" t="s">
        <v>895</v>
      </c>
      <c r="GX5" s="46">
        <v>5</v>
      </c>
      <c r="GY5" s="31"/>
      <c r="GZ5" s="35"/>
      <c r="HA5" s="43" t="str">
        <f t="shared" si="46"/>
        <v/>
      </c>
      <c r="HB5" s="31" t="str">
        <f t="shared" si="47"/>
        <v/>
      </c>
      <c r="HC5" s="31" t="str">
        <f t="shared" si="48"/>
        <v/>
      </c>
      <c r="HD5" s="31" t="s">
        <v>897</v>
      </c>
      <c r="HE5" s="31"/>
      <c r="HF5" s="31" t="s">
        <v>898</v>
      </c>
      <c r="HG5" s="31"/>
      <c r="HH5" s="31" t="s">
        <v>899</v>
      </c>
      <c r="HI5" s="31">
        <v>0</v>
      </c>
      <c r="HJ5" s="35" t="s">
        <v>900</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str">
        <f t="shared" si="49"/>
        <v>*********PREVENCIÓN CONTAGIO TOXOPLASMOSIS***</v>
      </c>
      <c r="HM5" s="35" t="str">
        <f t="shared" ca="1" si="50"/>
        <v>CON RIESGO</v>
      </c>
      <c r="HN5" s="31" t="str">
        <f t="shared" ca="1" si="51"/>
        <v>**********************MULTIPARIDAD**RIESGO POR EDAD********</v>
      </c>
      <c r="HO5" s="31" t="str">
        <f t="shared" si="52"/>
        <v>SIN ANTECEDENTES DE RIESGO</v>
      </c>
      <c r="HP5" s="37" t="str">
        <f t="shared" si="53"/>
        <v>APARENTEMENTE NORMAL</v>
      </c>
      <c r="HQ5" s="31" t="str">
        <f t="shared" ca="1" si="54"/>
        <v/>
      </c>
      <c r="HR5" s="46" t="str">
        <f t="shared" si="55"/>
        <v>SALIO PROGRAMA</v>
      </c>
      <c r="HS5" s="31" t="s">
        <v>875</v>
      </c>
      <c r="HT5" s="31" t="s">
        <v>883</v>
      </c>
      <c r="HU5" s="35">
        <v>44866</v>
      </c>
      <c r="HV5" s="35" t="s">
        <v>901</v>
      </c>
      <c r="HW5" s="35">
        <v>44835</v>
      </c>
      <c r="HX5" s="35" t="s">
        <v>901</v>
      </c>
      <c r="HY5" s="35">
        <v>44866</v>
      </c>
      <c r="HZ5" s="35" t="s">
        <v>901</v>
      </c>
      <c r="IA5" s="40" t="s">
        <v>887</v>
      </c>
      <c r="IB5" s="35">
        <v>44737</v>
      </c>
      <c r="IC5" s="43">
        <f t="shared" si="56"/>
        <v>10</v>
      </c>
      <c r="ID5" s="40" t="s">
        <v>875</v>
      </c>
      <c r="IE5" s="40" t="s">
        <v>902</v>
      </c>
      <c r="IF5" s="35"/>
      <c r="IG5" s="35"/>
      <c r="IH5" s="171"/>
      <c r="II5" s="171"/>
      <c r="IJ5" s="171"/>
      <c r="IK5" s="37" t="str">
        <f ca="1">IF(AND(BK5="",PM5="SD"),"SIN DATO EDAD GESTACIONAL",IF(AND(BK5="",PN5=""),"",IF(AND(AND(BQ5&gt;0,BQ5&lt;12),PN5=""),"MENOR 12 SEMANAS",IF(AND(BQ5&gt;11.6,PN5="",HJ5="BAJO RIESGO O SE DESCARTA INFECCIÓN POR SARS-CoV2"),"PROGRAMAR APLICACION DE VACUNA",IF(OR(AND(BQ5&gt;11.6,PN5=""),HJ5="FACTOR DE RIESGO PARA COVID19",HJ5="COVID19 PRIMER TRIMESTRE",HJ5="COVID19 SEGUNDO TRIMESTRE",HJ5="COVID19 TERCER TRIMESTRE",HJ5="COVID19 PUERPERIO"),"DIFERIR FECHA DE VACUNACION SEGÚN LINEAMIENTOS",IF(AND(BQ5&gt;11.6,PN5="Error Jansen X Fecha Segunda Dosis"),"Error Jansen X Fecha Segunda Dosis",IF(AND(BQ5&gt;11.6,PN5="Firma"),"FIRMA DISENTIMIENTO",IF(AND(BQ5&gt;11.6,PN5="Firma3"),"NO ACEPTA VACUNA Y NO FIRMA DISCENTIMIENTO",IF(AND(BQ5&gt;11.6,PN5="Firma2"),"Error en Fecha x Firma Disentimiento",IF(AND(BQ5&gt;11.6,PN5="Firma4"),"Error en Fecha x No Acepta no Firma",IF(AND(BQ5&gt;11.6,PN5="Completo",Tabla1[[#This Row],[Fecha Refuerzo Anti COVID-20]]=""),"PENDIENTE REFUERZO",IF(AND(BQ5&gt;11.6,PN5="Completo",Tabla1[[#This Row],[Fecha Refuerzo Anti COVID-20]]&lt;&gt;""),"CON REFUERZO",IF(AND(BQ5&gt;11.6,PN5="Falta Dosis"),PQ5,IF(OR(AND(BQ5&gt;11.6,PN5=""),HJ5="",HJ5="NO SE EVALUA RIESGO INFECCIÓN COVID19"),"DEFINIR RIESGO CONTAGIO SARS-CoV2, columna GZ",""))))))))))))))</f>
        <v>FIRMA DISENTIMIENTO</v>
      </c>
      <c r="IL5" s="171">
        <v>44803</v>
      </c>
      <c r="IM5" s="35">
        <v>44803</v>
      </c>
      <c r="IN5" s="35" t="str">
        <f t="shared" ca="1" si="57"/>
        <v>VACUNA APLICADA ENTRE SEMANA 20 Y SEMANA 26</v>
      </c>
      <c r="IO5" s="35"/>
      <c r="IP5" s="35">
        <f t="shared" si="58"/>
        <v>44947</v>
      </c>
      <c r="IQ5" s="44">
        <f t="shared" ca="1" si="59"/>
        <v>-283</v>
      </c>
      <c r="IR5" s="35" t="str">
        <f t="shared" ca="1" si="60"/>
        <v>POSIBLEMENTE NACIO</v>
      </c>
      <c r="IS5" s="35"/>
      <c r="IT5" s="31" t="s">
        <v>915</v>
      </c>
      <c r="IU5" s="31" t="s">
        <v>905</v>
      </c>
      <c r="IV5" s="51" t="s">
        <v>916</v>
      </c>
      <c r="IW5" s="35">
        <v>44935</v>
      </c>
      <c r="IX5" s="31" t="s">
        <v>907</v>
      </c>
      <c r="IY5" s="44">
        <f t="shared" si="61"/>
        <v>38.285714285714285</v>
      </c>
      <c r="IZ5" s="52" t="s">
        <v>908</v>
      </c>
      <c r="JA5" s="31" t="s">
        <v>909</v>
      </c>
      <c r="JB5" s="31" t="s">
        <v>910</v>
      </c>
      <c r="JC5" s="31" t="s">
        <v>917</v>
      </c>
      <c r="JD5" s="31" t="s">
        <v>875</v>
      </c>
      <c r="JE5" s="31" t="s">
        <v>875</v>
      </c>
      <c r="JF5" s="31"/>
      <c r="JG5" s="31" t="s">
        <v>875</v>
      </c>
      <c r="JH5" s="31" t="s">
        <v>875</v>
      </c>
      <c r="JI5" s="31"/>
      <c r="JJ5" s="31" t="s">
        <v>918</v>
      </c>
      <c r="JK5" s="46">
        <v>1</v>
      </c>
      <c r="JL5" s="31" t="s">
        <v>919</v>
      </c>
      <c r="JM5" s="53">
        <v>2564</v>
      </c>
      <c r="JN5" s="31" t="str">
        <f t="shared" si="62"/>
        <v>PESO ADECUADO EDAD GESTACIONAL</v>
      </c>
      <c r="JO5" s="236">
        <v>44935</v>
      </c>
      <c r="JP5" s="31"/>
      <c r="JQ5" s="31"/>
      <c r="JR5" s="31"/>
      <c r="JS5" s="46" t="s">
        <v>893</v>
      </c>
      <c r="JT5" s="35">
        <v>44935</v>
      </c>
      <c r="JU5" s="35">
        <v>44935</v>
      </c>
      <c r="JV5" s="31"/>
      <c r="JW5" s="53"/>
      <c r="JX5" s="31" t="str">
        <f t="shared" si="63"/>
        <v/>
      </c>
      <c r="JY5" s="35"/>
      <c r="JZ5" s="31"/>
      <c r="KA5" s="31"/>
      <c r="KB5" s="31"/>
      <c r="KC5" s="46"/>
      <c r="KD5" s="35"/>
      <c r="KE5" s="35"/>
      <c r="KF5" s="50">
        <v>44942</v>
      </c>
      <c r="KG5" s="43">
        <f t="shared" si="64"/>
        <v>7</v>
      </c>
      <c r="KH5" s="50">
        <v>44942</v>
      </c>
      <c r="KI5" s="43">
        <f t="shared" si="65"/>
        <v>7</v>
      </c>
      <c r="KJ5" s="31" t="s">
        <v>875</v>
      </c>
      <c r="KK5" s="31" t="s">
        <v>875</v>
      </c>
      <c r="KL5" s="31" t="s">
        <v>875</v>
      </c>
      <c r="KM5" s="54">
        <v>44935</v>
      </c>
      <c r="KN5" s="43" t="s">
        <v>914</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53"/>
      <c r="MQ5" s="148">
        <f t="shared" si="66"/>
        <v>0</v>
      </c>
      <c r="MR5" t="str">
        <f t="shared" si="67"/>
        <v/>
      </c>
      <c r="MS5" t="str">
        <f t="shared" si="68"/>
        <v/>
      </c>
      <c r="MT5">
        <f t="shared" si="69"/>
        <v>0</v>
      </c>
      <c r="MU5">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5">
        <f t="shared" si="70"/>
        <v>10</v>
      </c>
      <c r="MW5">
        <f t="shared" si="71"/>
        <v>6</v>
      </c>
      <c r="MX5">
        <f t="shared" si="72"/>
        <v>2022</v>
      </c>
      <c r="MY5" t="str">
        <f t="shared" si="73"/>
        <v>II TRIMESTRE AÑO</v>
      </c>
      <c r="MZ5">
        <f t="shared" si="74"/>
        <v>14.818769163381516</v>
      </c>
      <c r="NA5">
        <f t="shared" si="75"/>
        <v>1</v>
      </c>
      <c r="NB5" t="str">
        <f t="shared" si="76"/>
        <v>DE 14 A 19AÑOS</v>
      </c>
      <c r="NC5">
        <f t="shared" si="77"/>
        <v>0</v>
      </c>
      <c r="ND5">
        <f t="shared" si="78"/>
        <v>1</v>
      </c>
      <c r="NE5">
        <f t="shared" si="79"/>
        <v>0</v>
      </c>
      <c r="NF5">
        <f t="shared" si="80"/>
        <v>0</v>
      </c>
      <c r="NG5" t="str">
        <f t="shared" si="81"/>
        <v/>
      </c>
      <c r="NH5" t="str">
        <f t="shared" ca="1" si="82"/>
        <v/>
      </c>
      <c r="NI5" t="str">
        <f t="shared" si="83"/>
        <v/>
      </c>
      <c r="NJ5">
        <f t="shared" si="84"/>
        <v>0</v>
      </c>
      <c r="NK5" t="str">
        <f t="shared" si="85"/>
        <v>0</v>
      </c>
      <c r="NL5">
        <f t="shared" si="86"/>
        <v>0</v>
      </c>
      <c r="NM5">
        <f t="shared" ca="1" si="87"/>
        <v>2</v>
      </c>
      <c r="NN5">
        <f>IF(OR(O5&gt;0,R5&gt;0),SUM(COUNTIF(Tabla1[[#This Row],[AÑOS AL INICIO5 CPN]],"&gt;=40"),COUNTIF(AR5,"0"),COUNTIF(AQ5,"SI"),COUNTIF(BW5,"SI"),COUNTIF(BM5,"&gt;119"),COUNTIF(CC5,"&gt;=35")),"")</f>
        <v>0</v>
      </c>
      <c r="NO5">
        <f t="shared" si="88"/>
        <v>19.428571428571427</v>
      </c>
      <c r="NP5">
        <f t="shared" si="89"/>
        <v>0</v>
      </c>
      <c r="NQ5">
        <f t="shared" si="90"/>
        <v>113.39999999999999</v>
      </c>
      <c r="NR5" t="str">
        <f ca="1">IF(Tabla1[[#This Row],[GESTANTES ACTUALES]]="","SD",IF(Tabla1[[#This Row],[GESTANTES ACTUALES]]="SEGUIMIENTO REPORTE EPS","Y",IF(Tabla1[[#This Row],[GESTANTES ACTUALES]]="SALE SIN INGRESO CPN","X",IF(AND(Tabla1[[#This Row],[CITA PROXIMO CONTROL]]="",Tabla1[[#This Row],[GESTANTES ACTUALES]]="ACTIVA SIN INGRESO CPN",P5="NO"),"Z",IF(AND(Tabla1[[#This Row],[CITA PROXIMO CONTROL]]="CITA MANUAL",Tabla1[[#This Row],[GESTANTES ACTUALES]]="ACTIVA INGRESO A CPN"),"W",IF(AND(Tabla1[[#This Row],[GESTANTES ACTUALES]]="SALIO PROGRAMA",IW5=""),"S",IF(AND(Tabla1[[#This Row],[CITA PROXIMO CONTROL]]&gt;0,IW5=""),(Tabla1[[#This Row],[CITA PROXIMO CONTROL]]-TODAY()),"SD")))))))</f>
        <v>SD</v>
      </c>
      <c r="NS5">
        <f>MONTH(Tabla1[[#This Row],[FECHA DE SALIDA  DEL PROGRAMA]])</f>
        <v>1</v>
      </c>
      <c r="NT5">
        <f>YEAR(Tabla1[[#This Row],[FECHA DE SALIDA  DEL PROGRAMA]])</f>
        <v>2023</v>
      </c>
      <c r="NU5">
        <f t="shared" si="91"/>
        <v>37</v>
      </c>
      <c r="NV5" t="str">
        <f t="shared" si="92"/>
        <v>SI</v>
      </c>
      <c r="NW5" t="str">
        <f ca="1">IF(AND(O5&gt;0,R5=""),"NO CPN",IF(AND(O5="",R5=""),"",IF(AND(R5&gt;0,Tabla1[[#This Row],[SEMANAS DE GESTACION ACTUALIZADAS]]&lt;=12),"NO APLICA",IF(AND(FC5&lt;&gt;"",FI5&lt;&gt;""),"SI","NO"))))</f>
        <v>SI</v>
      </c>
      <c r="NX5" s="149" t="str">
        <f ca="1">IF(AND(O5&gt;0,R5=""),"NO CPN",IF(AND(O5="",R5=""),"",IF(AND(R5&gt;0,Tabla1[[#This Row],[SEMANAS DE GESTACION ACTUALIZADAS]]&lt;=27),"NO APLICA",IF(AND(EO5&lt;&gt;"",FL5&lt;&gt;"",GF5&lt;&gt;""),"SI","NO"))))</f>
        <v>NO</v>
      </c>
      <c r="NY5" s="147" t="str">
        <f t="shared" si="93"/>
        <v>II TRIM</v>
      </c>
      <c r="NZ5"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5" s="1">
        <f t="shared" si="94"/>
        <v>3</v>
      </c>
      <c r="OB5" s="213">
        <f t="shared" ca="1" si="95"/>
        <v>2</v>
      </c>
      <c r="OC5" s="1">
        <f t="shared" ca="1" si="96"/>
        <v>2</v>
      </c>
      <c r="OD5" s="1" t="str">
        <f t="shared" ca="1" si="97"/>
        <v>INCOMPLETO</v>
      </c>
      <c r="OE5" s="1" t="str">
        <f t="shared" ca="1" si="98"/>
        <v>INCOMPLETO</v>
      </c>
      <c r="OF5" s="221" t="str">
        <f>IF(AND(O5="",R5=""),"",IF(OR(AND(Tabla1[[#This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5" s="230" t="str">
        <f t="shared" ca="1" si="99"/>
        <v>VACUNADA</v>
      </c>
      <c r="OH5" s="148">
        <f>ROW(Tabla1[[#This Row],[SEMANAS DE GESTACION II TRIM]])</f>
        <v>5</v>
      </c>
      <c r="OI5" t="str">
        <f t="shared" si="100"/>
        <v/>
      </c>
      <c r="OJ5" t="str">
        <f t="shared" si="101"/>
        <v/>
      </c>
      <c r="OK5" t="str">
        <f t="shared" si="102"/>
        <v/>
      </c>
      <c r="OL5" t="str">
        <f t="shared" si="103"/>
        <v/>
      </c>
      <c r="OM5" t="str">
        <f t="shared" si="104"/>
        <v/>
      </c>
      <c r="ON5" t="str">
        <f t="shared" si="105"/>
        <v>NORMAL</v>
      </c>
      <c r="OO5" t="str">
        <f t="shared" si="106"/>
        <v/>
      </c>
      <c r="OP5" t="str">
        <f t="shared" si="107"/>
        <v/>
      </c>
      <c r="OQ5" t="str">
        <f t="shared" si="108"/>
        <v/>
      </c>
      <c r="OR5" t="str">
        <f t="shared" si="109"/>
        <v/>
      </c>
      <c r="OS5" t="str">
        <f t="shared" si="110"/>
        <v/>
      </c>
      <c r="OT5" t="str">
        <f t="shared" si="111"/>
        <v/>
      </c>
      <c r="OU5" t="str">
        <f t="shared" si="112"/>
        <v/>
      </c>
      <c r="OV5" t="str">
        <f t="shared" si="113"/>
        <v/>
      </c>
      <c r="OW5" t="str">
        <f t="shared" si="114"/>
        <v/>
      </c>
      <c r="OX5" t="str">
        <f t="shared" si="115"/>
        <v/>
      </c>
      <c r="OY5" t="str">
        <f t="shared" si="116"/>
        <v/>
      </c>
      <c r="OZ5" t="str">
        <f t="shared" si="117"/>
        <v/>
      </c>
      <c r="PA5" t="str">
        <f t="shared" si="118"/>
        <v>NORMAL</v>
      </c>
      <c r="PB5" t="str">
        <f t="shared" si="119"/>
        <v/>
      </c>
      <c r="PC5" t="str">
        <f t="shared" si="120"/>
        <v/>
      </c>
      <c r="PD5" t="str">
        <f t="shared" si="121"/>
        <v/>
      </c>
      <c r="PE5" t="str">
        <f t="shared" si="122"/>
        <v/>
      </c>
      <c r="PF5" t="str">
        <f t="shared" si="123"/>
        <v/>
      </c>
      <c r="PG5" t="str">
        <f t="shared" si="124"/>
        <v/>
      </c>
      <c r="PH5" t="str">
        <f t="shared" si="125"/>
        <v/>
      </c>
      <c r="PI5" t="str">
        <f t="shared" si="126"/>
        <v/>
      </c>
      <c r="PJ5" t="str">
        <f t="shared" si="127"/>
        <v/>
      </c>
      <c r="PK5" t="str">
        <f t="shared" si="128"/>
        <v/>
      </c>
      <c r="PL5"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5" s="162" t="str">
        <f t="shared" si="129"/>
        <v/>
      </c>
      <c r="PN5" s="161" t="str">
        <f t="shared" si="130"/>
        <v>Firma</v>
      </c>
      <c r="PO5"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5" s="161">
        <f ca="1">IF(PO5="","",SUM(TODAY()-Tabla1[[#This Row],[Fecha 1ra Dosis Anti COVID-19]]))</f>
        <v>45230</v>
      </c>
      <c r="PQ5" s="168" t="str">
        <f>IFERROR(IF(Tabla1[[#This Row],[Fecha 1ra Dosis Anti COVID-19]]="","",IF(OR(AND(Tabla1[[#This Row],[Tipo Biológico Vacuna anti COVID-19 (Disentimiento)]]="Astrazeneca",PP5&lt;84),AND(Tabla1[[#This Row],[Tipo Biológico Vacuna anti COVID-19 (Disentimiento)]]="Pfizer",PP5&lt;21),AND(Tabla1[[#This Row],[Tipo Biológico Vacuna anti COVID-19 (Disentimiento)]]="Moderna",PP5&lt;21),AND(Tabla1[[#This Row],[Tipo Biológico Vacuna anti COVID-19 (Disentimiento)]]="Sinovac",PP5&lt;28)),"Pendiente Segunda Dosis",IF(OR(AND(Tabla1[[#This Row],[Tipo Biológico Vacuna anti COVID-19 (Disentimiento)]]="Astrazeneca",PP5&gt;=85),AND(Tabla1[[#This Row],[Tipo Biológico Vacuna anti COVID-19 (Disentimiento)]]="Pfizer",PP5&gt;=22),AND(Tabla1[[#This Row],[Tipo Biológico Vacuna anti COVID-19 (Disentimiento)]]="Moderna",PP5&gt;=22),AND(Tabla1[[#This Row],[Tipo Biológico Vacuna anti COVID-19 (Disentimiento)]]="Sinovac",PP5&gt;=29)),"inasistente",IF(OR(AND(Tabla1[[#This Row],[Tipo Biológico Vacuna anti COVID-19 (Disentimiento)]],"Astrazeneca",PP5=84),AND(Tabla1[[#This Row],[Tipo Biológico Vacuna anti COVID-19 (Disentimiento)]],"Pfizer",PP5=21),AND(Tabla1[[#This Row],[Tipo Biológico Vacuna anti COVID-19 (Disentimiento)]],"Moderna",PP5=21),AND(Tabla1[[#This Row],[Tipo Biológico Vacuna anti COVID-19 (Disentimiento)]],"Sinovac",PP5=28)),"Día vacunación1","")))),"Día de Vacunación")</f>
        <v/>
      </c>
    </row>
    <row r="6" spans="1:433" ht="39.950000000000003" customHeight="1" x14ac:dyDescent="0.25">
      <c r="A6" s="145" t="s">
        <v>853</v>
      </c>
      <c r="B6" s="68" t="s">
        <v>854</v>
      </c>
      <c r="C6" s="68" t="s">
        <v>855</v>
      </c>
      <c r="D6" s="187" t="s">
        <v>856</v>
      </c>
      <c r="E6" s="68" t="s">
        <v>857</v>
      </c>
      <c r="F6" s="68" t="s">
        <v>858</v>
      </c>
      <c r="G6" s="68" t="s">
        <v>859</v>
      </c>
      <c r="H6" s="68"/>
      <c r="I6" s="145" t="s">
        <v>860</v>
      </c>
      <c r="J6" s="146">
        <v>1002952263</v>
      </c>
      <c r="K6" s="68" t="s">
        <v>861</v>
      </c>
      <c r="L6" s="68" t="s">
        <v>862</v>
      </c>
      <c r="M6" s="35">
        <v>37247</v>
      </c>
      <c r="N6" s="38">
        <f t="shared" ca="1" si="0"/>
        <v>21.87123287671233</v>
      </c>
      <c r="O6" s="35">
        <v>44662</v>
      </c>
      <c r="P6" s="39" t="str">
        <f t="shared" si="1"/>
        <v>SI</v>
      </c>
      <c r="Q6" s="40" t="s">
        <v>876</v>
      </c>
      <c r="R6" s="35">
        <v>44662</v>
      </c>
      <c r="S6" s="31" t="s">
        <v>877</v>
      </c>
      <c r="T6" s="37" t="s">
        <v>800</v>
      </c>
      <c r="U6" s="31" t="s">
        <v>878</v>
      </c>
      <c r="V6" s="31" t="s">
        <v>879</v>
      </c>
      <c r="W6" s="31" t="s">
        <v>880</v>
      </c>
      <c r="X6" s="31" t="s">
        <v>880</v>
      </c>
      <c r="Y6" s="31" t="s">
        <v>881</v>
      </c>
      <c r="Z6" s="31">
        <v>3044779923</v>
      </c>
      <c r="AA6" s="31" t="s">
        <v>882</v>
      </c>
      <c r="AB6" s="41" t="s">
        <v>883</v>
      </c>
      <c r="AC6" s="40" t="s">
        <v>884</v>
      </c>
      <c r="AD6" s="55" t="s">
        <v>885</v>
      </c>
      <c r="AE6" s="40" t="s">
        <v>875</v>
      </c>
      <c r="AF6" s="40" t="s">
        <v>875</v>
      </c>
      <c r="AG6" s="36" t="s">
        <v>886</v>
      </c>
      <c r="AH6" s="36" t="s">
        <v>886</v>
      </c>
      <c r="AI6" s="37" t="s">
        <v>885</v>
      </c>
      <c r="AJ6" s="36" t="s">
        <v>886</v>
      </c>
      <c r="AK6" s="42" t="str">
        <f>IF(AND(AE6="",AF6="",AG6="",AH6="",AI6="",AJ6=""),"",IF(AND(OR(O6&gt;0,R6&gt;0),NP6&gt;=0,NP6&lt;2),"SIN RIESGO",IF(AND(OR(O6&gt;0,R6&gt;0),NP6&gt;=2),"CON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6" s="36" t="s">
        <v>886</v>
      </c>
      <c r="AM6" s="40" t="s">
        <v>886</v>
      </c>
      <c r="AN6" s="40" t="s">
        <v>886</v>
      </c>
      <c r="AO6" s="40" t="s">
        <v>886</v>
      </c>
      <c r="AP6" s="40" t="s">
        <v>886</v>
      </c>
      <c r="AQ6" s="40" t="s">
        <v>886</v>
      </c>
      <c r="AR6" s="31">
        <v>1</v>
      </c>
      <c r="AS6" s="31">
        <v>0</v>
      </c>
      <c r="AT6" s="31">
        <v>1</v>
      </c>
      <c r="AU6" s="40" t="s">
        <v>886</v>
      </c>
      <c r="AV6" s="31">
        <v>0</v>
      </c>
      <c r="AW6" s="40" t="s">
        <v>886</v>
      </c>
      <c r="AX6" s="40" t="s">
        <v>886</v>
      </c>
      <c r="AY6" s="40" t="s">
        <v>886</v>
      </c>
      <c r="AZ6" s="40" t="s">
        <v>886</v>
      </c>
      <c r="BA6" s="40" t="s">
        <v>886</v>
      </c>
      <c r="BB6" s="40" t="s">
        <v>886</v>
      </c>
      <c r="BC6" s="40" t="s">
        <v>886</v>
      </c>
      <c r="BD6" s="40" t="s">
        <v>886</v>
      </c>
      <c r="BE6" s="40" t="s">
        <v>886</v>
      </c>
      <c r="BF6" s="40" t="s">
        <v>886</v>
      </c>
      <c r="BG6" s="40" t="s">
        <v>886</v>
      </c>
      <c r="BH6" s="40" t="s">
        <v>886</v>
      </c>
      <c r="BI6" s="40" t="s">
        <v>886</v>
      </c>
      <c r="BJ6" s="35">
        <v>44053</v>
      </c>
      <c r="BK6" s="35">
        <v>44657</v>
      </c>
      <c r="BL6" s="31" t="s">
        <v>875</v>
      </c>
      <c r="BM6" s="43">
        <f t="shared" si="2"/>
        <v>20.133333333333333</v>
      </c>
      <c r="BN6" s="57" t="str">
        <f t="shared" si="3"/>
        <v/>
      </c>
      <c r="BO6" s="44">
        <f t="shared" si="4"/>
        <v>0.7142857142857143</v>
      </c>
      <c r="BP6" s="31" t="str">
        <f t="shared" si="5"/>
        <v>I TRIM</v>
      </c>
      <c r="BQ6" s="39" t="str">
        <f t="shared" ca="1" si="6"/>
        <v/>
      </c>
      <c r="BR6" s="35"/>
      <c r="BS6" s="43"/>
      <c r="BT6" s="35"/>
      <c r="BU6" s="31"/>
      <c r="BV6" s="40" t="s">
        <v>886</v>
      </c>
      <c r="BW6" s="40" t="s">
        <v>886</v>
      </c>
      <c r="BX6" s="40" t="s">
        <v>887</v>
      </c>
      <c r="BY6" s="40" t="s">
        <v>887</v>
      </c>
      <c r="BZ6" s="35">
        <v>44662</v>
      </c>
      <c r="CA6" s="31">
        <v>1.6</v>
      </c>
      <c r="CB6" s="31">
        <v>65</v>
      </c>
      <c r="CC6" s="39">
        <f t="shared" si="7"/>
        <v>25.390624999999996</v>
      </c>
      <c r="CD6" s="45" t="str">
        <f t="shared" si="8"/>
        <v>SOBREPESO</v>
      </c>
      <c r="CE6" s="35"/>
      <c r="CF6" s="31"/>
      <c r="CG6" s="39">
        <f t="shared" si="9"/>
        <v>0</v>
      </c>
      <c r="CH6" s="31" t="str">
        <f t="shared" si="10"/>
        <v>NA</v>
      </c>
      <c r="CI6" s="31" t="str">
        <f>IF(OR(CH6="",CH6="NA"),"",IF(AND(CH6&gt;=29,CH6&lt;=42),"REGISTRAR EN III TRIM",IF(AND(CH6&gt;0,CH6&lt;=13),"REGISTRAR EN I TRIM",IF(CH6="REVISAR FUM O FECHA PESO","REVISAR",IF(CH6&gt;0,HLOOKUP(CH6,$OI$1:PK6,OH6),"")))))</f>
        <v/>
      </c>
      <c r="CJ6" s="35"/>
      <c r="CK6" s="31"/>
      <c r="CL6" s="39">
        <f t="shared" si="11"/>
        <v>0</v>
      </c>
      <c r="CM6" s="31" t="str">
        <f t="shared" si="12"/>
        <v>NA</v>
      </c>
      <c r="CN6" s="31" t="str">
        <f>IF(OR(CM6="",CM6="NA"),"",IF(AND(CM6&gt;0,CM6&lt;=28),"REGISTRAR EN  TRIM RESPECTIVO",IF(CM6&gt;0,HLOOKUP(CM6,$OI$1:PK6,OH6),"")))</f>
        <v/>
      </c>
      <c r="CO6" s="31" t="str">
        <f t="shared" si="13"/>
        <v>SOBREPESO</v>
      </c>
      <c r="CP6" s="31">
        <v>110</v>
      </c>
      <c r="CQ6" s="31">
        <v>70</v>
      </c>
      <c r="CR6" s="37" t="str">
        <f t="shared" si="14"/>
        <v>APARENTEMENTE NORMAL</v>
      </c>
      <c r="CS6" s="31"/>
      <c r="CT6" s="31"/>
      <c r="CU6" s="37" t="str">
        <f t="shared" si="15"/>
        <v/>
      </c>
      <c r="CV6" s="31"/>
      <c r="CW6" s="31"/>
      <c r="CX6" s="31"/>
      <c r="CY6" s="31"/>
      <c r="CZ6" s="37" t="str">
        <f t="shared" si="16"/>
        <v/>
      </c>
      <c r="DA6" s="35">
        <v>44662</v>
      </c>
      <c r="DB6" s="35">
        <v>44662</v>
      </c>
      <c r="DC6" s="35"/>
      <c r="DD6" s="35"/>
      <c r="DE6" s="35"/>
      <c r="DF6" s="35"/>
      <c r="DG6" s="35"/>
      <c r="DH6" s="35"/>
      <c r="DI6" s="35"/>
      <c r="DJ6" s="35"/>
      <c r="DK6" s="35"/>
      <c r="DL6" s="35"/>
      <c r="DM6" s="35"/>
      <c r="DN6" s="35"/>
      <c r="DO6" s="43"/>
      <c r="DP6" s="35"/>
      <c r="DQ6" s="31" t="str">
        <f t="shared" ca="1" si="17"/>
        <v>SALE SIN PLAN DE PARTO</v>
      </c>
      <c r="DR6" s="46" t="str">
        <f t="shared" si="18"/>
        <v>SEGUIMIENTO REPORTE EPS</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6" s="31" t="e">
        <f t="shared" ca="1" si="19"/>
        <v>#VALUE!</v>
      </c>
      <c r="DU6" s="35" t="e">
        <f>IF(R6="","",IF(R6&gt;0,MAX(Tabla1[[#This Row],[FECHA C2]:[FECHA C13]],Tabla1[[#This Row],[FECHA CONSULTA PRIMERA VEZ PROGRAMA CPN ]])))</f>
        <v>#VALUE!</v>
      </c>
      <c r="DV6" s="31" t="e">
        <f t="shared" si="20"/>
        <v>#VALUE!</v>
      </c>
      <c r="DW6" s="43">
        <f>IF(R6&gt;0,SUM(COUNTA(DC6:DN6)+COUNTA(Tabla1[[#This Row],[FECHA CONSULTA PRIMERA VEZ PROGRAMA CPN ]])),"")</f>
        <v>1</v>
      </c>
      <c r="DX6" s="43" t="str">
        <f t="shared" si="21"/>
        <v>NO</v>
      </c>
      <c r="DY6" s="39">
        <f t="shared" si="22"/>
        <v>11</v>
      </c>
      <c r="DZ6" s="47">
        <f t="shared" si="23"/>
        <v>9.0909090909090912E-2</v>
      </c>
      <c r="EA6" s="35">
        <v>44662</v>
      </c>
      <c r="EB6" s="35">
        <v>44662</v>
      </c>
      <c r="EC6" s="35">
        <v>44662</v>
      </c>
      <c r="ED6" s="35"/>
      <c r="EE6" s="35">
        <v>44662</v>
      </c>
      <c r="EF6" s="35"/>
      <c r="EG6" s="35"/>
      <c r="EH6" s="31"/>
      <c r="EI6" s="31">
        <v>14</v>
      </c>
      <c r="EJ6" s="35">
        <v>44662</v>
      </c>
      <c r="EK6" s="43">
        <f t="shared" si="24"/>
        <v>0.7142857142857143</v>
      </c>
      <c r="EL6" s="39" t="str">
        <f t="shared" si="25"/>
        <v>NORMAL- SUMINISTRAR SULFATO FERROSO</v>
      </c>
      <c r="EM6" s="31" t="str">
        <f t="shared" si="26"/>
        <v>I TRIM</v>
      </c>
      <c r="EN6" s="37"/>
      <c r="EO6" s="35"/>
      <c r="EP6" s="44" t="str">
        <f t="shared" si="27"/>
        <v>TOMAR EXAMEN</v>
      </c>
      <c r="EQ6" s="39" t="str">
        <f t="shared" si="28"/>
        <v/>
      </c>
      <c r="ER6" s="37" t="s">
        <v>893</v>
      </c>
      <c r="ES6" s="35">
        <v>44662</v>
      </c>
      <c r="ET6" s="44">
        <f t="shared" si="29"/>
        <v>0.7142857142857143</v>
      </c>
      <c r="EU6" s="39" t="str">
        <f t="shared" si="30"/>
        <v>NO HAY RIESGO POR RH</v>
      </c>
      <c r="EV6" s="31">
        <v>95</v>
      </c>
      <c r="EW6" s="35">
        <v>44662</v>
      </c>
      <c r="EX6" s="44">
        <f t="shared" si="31"/>
        <v>0.7142857142857143</v>
      </c>
      <c r="EY6" s="44"/>
      <c r="EZ6" s="44"/>
      <c r="FA6" s="44"/>
      <c r="FB6" s="31" t="str">
        <f t="shared" ca="1" si="32"/>
        <v/>
      </c>
      <c r="FC6" s="48"/>
      <c r="FD6" s="44" t="str">
        <f t="shared" si="33"/>
        <v>TOMAR EXAMEN</v>
      </c>
      <c r="FE6" s="35" t="s">
        <v>894</v>
      </c>
      <c r="FF6" s="35">
        <v>44662</v>
      </c>
      <c r="FG6" s="44">
        <f t="shared" ca="1" si="34"/>
        <v>0.7142857142857143</v>
      </c>
      <c r="FH6" s="35"/>
      <c r="FI6" s="49"/>
      <c r="FJ6" s="44" t="str">
        <f t="shared" ca="1" si="35"/>
        <v>PIERDE TOMA DE TAMIZAJE</v>
      </c>
      <c r="FK6" s="35"/>
      <c r="FL6" s="49"/>
      <c r="FM6" s="44" t="str">
        <f t="shared" ca="1" si="36"/>
        <v>PIERDE TOMA DE TAMIZAJE</v>
      </c>
      <c r="FN6" s="35"/>
      <c r="FO6" s="49"/>
      <c r="FP6" s="44" t="e">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6" s="31"/>
      <c r="FR6" s="35">
        <v>44662</v>
      </c>
      <c r="FS6" s="44">
        <f t="shared" si="37"/>
        <v>0.7142857142857143</v>
      </c>
      <c r="FT6" s="43" t="s">
        <v>895</v>
      </c>
      <c r="FU6" s="35">
        <v>44662</v>
      </c>
      <c r="FV6" s="44">
        <f t="shared" si="38"/>
        <v>0.7142857142857143</v>
      </c>
      <c r="FW6" s="35">
        <v>44662</v>
      </c>
      <c r="FX6" s="35">
        <v>44662</v>
      </c>
      <c r="FY6" s="35" t="s">
        <v>896</v>
      </c>
      <c r="FZ6" s="35">
        <v>44662</v>
      </c>
      <c r="GA6" s="44">
        <f t="shared" ca="1" si="39"/>
        <v>0.7142857142857143</v>
      </c>
      <c r="GB6" s="35"/>
      <c r="GC6" s="35"/>
      <c r="GD6" s="44" t="str">
        <f t="shared" ca="1" si="40"/>
        <v>PIERDE TOMA DE TAMIZAJE</v>
      </c>
      <c r="GE6" s="35"/>
      <c r="GF6" s="35"/>
      <c r="GG6" s="44" t="str">
        <f t="shared" ca="1" si="41"/>
        <v>PIERDE TOMA DE TAMIZAJE</v>
      </c>
      <c r="GH6" s="35"/>
      <c r="GI6" s="44"/>
      <c r="GJ6" s="35" t="s">
        <v>883</v>
      </c>
      <c r="GK6" s="35"/>
      <c r="GL6" s="35" t="s">
        <v>883</v>
      </c>
      <c r="GM6" s="35"/>
      <c r="GN6" s="43" t="s">
        <v>895</v>
      </c>
      <c r="GO6" s="35">
        <v>44662</v>
      </c>
      <c r="GP6" s="44">
        <f t="shared" si="42"/>
        <v>0.7142857142857143</v>
      </c>
      <c r="GQ6" s="43" t="s">
        <v>895</v>
      </c>
      <c r="GR6" s="43" t="s">
        <v>895</v>
      </c>
      <c r="GS6" s="35" t="str">
        <f t="shared" si="43"/>
        <v>CONTROL Igm</v>
      </c>
      <c r="GT6" s="35">
        <v>44662</v>
      </c>
      <c r="GU6" s="44">
        <f t="shared" si="44"/>
        <v>0.7142857142857143</v>
      </c>
      <c r="GV6" s="31" t="str">
        <f t="shared" si="45"/>
        <v>I TRIM</v>
      </c>
      <c r="GW6" s="43"/>
      <c r="GX6" s="46"/>
      <c r="GY6" s="31"/>
      <c r="GZ6" s="35"/>
      <c r="HA6" s="43" t="str">
        <f t="shared" si="46"/>
        <v/>
      </c>
      <c r="HB6" s="31" t="str">
        <f t="shared" si="47"/>
        <v/>
      </c>
      <c r="HC6" s="31" t="str">
        <f t="shared" si="48"/>
        <v/>
      </c>
      <c r="HD6" s="31" t="s">
        <v>897</v>
      </c>
      <c r="HE6" s="31"/>
      <c r="HF6" s="31" t="s">
        <v>898</v>
      </c>
      <c r="HG6" s="31"/>
      <c r="HH6" s="31" t="s">
        <v>899</v>
      </c>
      <c r="HI6" s="31">
        <v>0</v>
      </c>
      <c r="HJ6" s="35" t="s">
        <v>900</v>
      </c>
      <c r="HK6" s="35" t="e">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6" s="35" t="str">
        <f t="shared" si="49"/>
        <v>*****SOBREPESO****PREVENCIÓN CONTAGIO TOXOPLASMOSIS***</v>
      </c>
      <c r="HM6" s="35" t="e">
        <f t="shared" si="50"/>
        <v>#VALUE!</v>
      </c>
      <c r="HN6" s="31" t="e">
        <f t="shared" ca="1" si="51"/>
        <v>#VALUE!</v>
      </c>
      <c r="HO6" s="31" t="e">
        <f t="shared" si="52"/>
        <v>#VALUE!</v>
      </c>
      <c r="HP6" s="37" t="str">
        <f t="shared" si="53"/>
        <v>APARENTEMENTE NORMAL</v>
      </c>
      <c r="HQ6" s="31" t="e">
        <f t="shared" ca="1" si="54"/>
        <v>#VALUE!</v>
      </c>
      <c r="HR6" s="46" t="str">
        <f t="shared" si="55"/>
        <v>SEGUIMIENTO REPORTE EPS</v>
      </c>
      <c r="HS6" s="31" t="s">
        <v>875</v>
      </c>
      <c r="HT6" s="31" t="s">
        <v>883</v>
      </c>
      <c r="HU6" s="35"/>
      <c r="HV6" s="35"/>
      <c r="HW6" s="35">
        <v>44662</v>
      </c>
      <c r="HX6" s="35" t="s">
        <v>901</v>
      </c>
      <c r="HY6" s="35">
        <v>44662</v>
      </c>
      <c r="HZ6" s="35" t="s">
        <v>901</v>
      </c>
      <c r="IA6" s="40" t="s">
        <v>887</v>
      </c>
      <c r="IB6" s="35">
        <v>44662</v>
      </c>
      <c r="IC6" s="43">
        <f t="shared" si="56"/>
        <v>0.7142857142857143</v>
      </c>
      <c r="ID6" s="40" t="s">
        <v>875</v>
      </c>
      <c r="IE6" s="40"/>
      <c r="IF6" s="35"/>
      <c r="IG6" s="35"/>
      <c r="IH6" s="171"/>
      <c r="II6" s="171"/>
      <c r="IJ6" s="171"/>
      <c r="IK6" s="37" t="e">
        <f>IF(AND(BK6="",PM6="SD"),"SIN DATO EDAD GESTACIONAL",IF(AND(BK6="",PN6=""),"",IF(AND(AND(BQ6&gt;0,BQ6&lt;12),PN6=""),"MENOR 12 SEMANAS",IF(AND(BQ6&gt;11.6,PN6="",HJ6="BAJO RIESGO O SE DESCARTA INFECCIÓN POR SARS-CoV2"),"PROGRAMAR APLICACION DE VACUNA",IF(OR(AND(BQ6&gt;11.6,PN6=""),HJ6="FACTOR DE RIESGO PARA COVID19",HJ6="COVID19 PRIMER TRIMESTRE",HJ6="COVID19 SEGUNDO TRIMESTRE",HJ6="COVID19 TERCER TRIMESTRE",HJ6="COVID19 PUERPERIO"),"DIFERIR FECHA DE VACUNACION SEGÚN LINEAMIENTOS",IF(AND(BQ6&gt;11.6,PN6="Error Jansen X Fecha Segunda Dosis"),"Error Jansen X Fecha Segunda Dosis",IF(AND(BQ6&gt;11.6,PN6="Firma"),"FIRMA DISENTIMIENTO",IF(AND(BQ6&gt;11.6,PN6="Firma3"),"NO ACEPTA VACUNA Y NO FIRMA DISCENTIMIENTO",IF(AND(BQ6&gt;11.6,PN6="Firma2"),"Error en Fecha x Firma Disentimiento",IF(AND(BQ6&gt;11.6,PN6="Firma4"),"Error en Fecha x No Acepta no Firma",IF(AND(BQ6&gt;11.6,PN6="Completo",Tabla1[[#This Row],[Fecha Refuerzo Anti COVID-20]]=""),"PENDIENTE REFUERZO",IF(AND(BQ6&gt;11.6,PN6="Completo",Tabla1[[#This Row],[Fecha Refuerzo Anti COVID-20]]&lt;&gt;""),"CON REFUERZO",IF(AND(BQ6&gt;11.6,PN6="Falta Dosis"),PQ6,IF(OR(AND(BQ6&gt;11.6,PN6=""),HJ6="",HJ6="NO SE EVALUA RIESGO INFECCIÓN COVID19"),"DEFINIR RIESGO CONTAGIO SARS-CoV2, columna GZ",""))))))))))))))</f>
        <v>#VALUE!</v>
      </c>
      <c r="IL6" s="171"/>
      <c r="IM6" s="35"/>
      <c r="IN6" s="35" t="str">
        <f t="shared" ca="1" si="57"/>
        <v/>
      </c>
      <c r="IO6" s="35"/>
      <c r="IP6" s="35">
        <f t="shared" si="58"/>
        <v>44937</v>
      </c>
      <c r="IQ6" s="44">
        <f t="shared" ca="1" si="59"/>
        <v>-293</v>
      </c>
      <c r="IR6" s="35" t="str">
        <f t="shared" ca="1" si="60"/>
        <v>POSIBLEMENTE NACIO</v>
      </c>
      <c r="IS6" s="35"/>
      <c r="IT6" s="31" t="s">
        <v>903</v>
      </c>
      <c r="IU6" s="31"/>
      <c r="IV6" s="51"/>
      <c r="IW6" s="35"/>
      <c r="IX6" s="31"/>
      <c r="IY6" s="44" t="str">
        <f t="shared" si="61"/>
        <v/>
      </c>
      <c r="IZ6" s="52"/>
      <c r="JA6" s="31"/>
      <c r="JB6" s="31"/>
      <c r="JC6" s="31"/>
      <c r="JD6" s="31"/>
      <c r="JE6" s="31"/>
      <c r="JF6" s="31"/>
      <c r="JG6" s="31"/>
      <c r="JH6" s="31"/>
      <c r="JI6" s="31"/>
      <c r="JJ6" s="31"/>
      <c r="JK6" s="46"/>
      <c r="JL6" s="31"/>
      <c r="JM6" s="53"/>
      <c r="JN6" s="31" t="str">
        <f t="shared" si="62"/>
        <v/>
      </c>
      <c r="JO6" s="46"/>
      <c r="JP6" s="31"/>
      <c r="JQ6" s="31"/>
      <c r="JR6" s="31"/>
      <c r="JS6" s="46"/>
      <c r="JT6" s="35"/>
      <c r="JU6" s="35"/>
      <c r="JV6" s="31"/>
      <c r="JW6" s="53"/>
      <c r="JX6" s="31" t="str">
        <f t="shared" si="63"/>
        <v/>
      </c>
      <c r="JY6" s="35"/>
      <c r="JZ6" s="31"/>
      <c r="KA6" s="31"/>
      <c r="KB6" s="31"/>
      <c r="KC6" s="46"/>
      <c r="KD6" s="35"/>
      <c r="KE6" s="35"/>
      <c r="KF6" s="50"/>
      <c r="KG6" s="43" t="str">
        <f t="shared" si="64"/>
        <v/>
      </c>
      <c r="KH6" s="50"/>
      <c r="KI6" s="43" t="str">
        <f t="shared" si="65"/>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53"/>
      <c r="MQ6" s="148">
        <f t="shared" si="66"/>
        <v>0</v>
      </c>
      <c r="MR6" t="str">
        <f t="shared" si="67"/>
        <v/>
      </c>
      <c r="MS6" t="str">
        <f t="shared" si="68"/>
        <v/>
      </c>
      <c r="MT6">
        <f t="shared" si="69"/>
        <v>0</v>
      </c>
      <c r="MU6"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6">
        <f t="shared" si="70"/>
        <v>0.7142857142857143</v>
      </c>
      <c r="MW6">
        <f t="shared" si="71"/>
        <v>4</v>
      </c>
      <c r="MX6">
        <f t="shared" si="72"/>
        <v>2022</v>
      </c>
      <c r="MY6" t="str">
        <f t="shared" si="73"/>
        <v>II TRIMESTRE AÑO</v>
      </c>
      <c r="MZ6">
        <f t="shared" si="74"/>
        <v>20.009307928164695</v>
      </c>
      <c r="NA6">
        <f t="shared" si="75"/>
        <v>0</v>
      </c>
      <c r="NB6" t="str">
        <f t="shared" si="76"/>
        <v xml:space="preserve"> DE 20 A 24 AÑOS</v>
      </c>
      <c r="NC6">
        <f t="shared" si="77"/>
        <v>0</v>
      </c>
      <c r="ND6">
        <f t="shared" si="78"/>
        <v>1</v>
      </c>
      <c r="NE6">
        <f t="shared" si="79"/>
        <v>0</v>
      </c>
      <c r="NF6">
        <f t="shared" si="80"/>
        <v>0</v>
      </c>
      <c r="NG6" t="str">
        <f t="shared" si="81"/>
        <v/>
      </c>
      <c r="NH6" t="str">
        <f t="shared" ca="1" si="82"/>
        <v/>
      </c>
      <c r="NI6" t="str">
        <f t="shared" si="83"/>
        <v/>
      </c>
      <c r="NJ6">
        <f t="shared" si="84"/>
        <v>0</v>
      </c>
      <c r="NK6" t="str">
        <f t="shared" si="85"/>
        <v>0</v>
      </c>
      <c r="NL6">
        <f t="shared" si="86"/>
        <v>0</v>
      </c>
      <c r="NM6">
        <f t="shared" ca="1" si="87"/>
        <v>1</v>
      </c>
      <c r="NN6" t="e">
        <f>IF(OR(O6&gt;0,R6&gt;0),SUM(COUNTIF(Tabla1[[#This Row],[AÑOS AL INICIO5 CPN]],"&gt;=40"),COUNTIF(AR6,"0"),COUNTIF(AQ6,"SI"),COUNTIF(BW6,"SI"),COUNTIF(BM6,"&gt;119"),COUNTIF(CC6,"&gt;=35")),"")</f>
        <v>#VALUE!</v>
      </c>
      <c r="NO6" t="str">
        <f t="shared" si="88"/>
        <v/>
      </c>
      <c r="NP6">
        <f t="shared" si="89"/>
        <v>0</v>
      </c>
      <c r="NQ6" t="str">
        <f t="shared" si="90"/>
        <v/>
      </c>
      <c r="NR6" t="e">
        <f ca="1">IF(Tabla1[[#This Row],[GESTANTES ACTUALES]]="","SD",IF(Tabla1[[#This Row],[GESTANTES ACTUALES]]="SEGUIMIENTO REPORTE EPS","Y",IF(Tabla1[[#This Row],[GESTANTES ACTUALES]]="SALE SIN INGRESO CPN","X",IF(AND(Tabla1[[#This Row],[CITA PROXIMO CONTROL]]="",Tabla1[[#This Row],[GESTANTES ACTUALES]]="ACTIVA SIN INGRESO CPN",P6="NO"),"Z",IF(AND(Tabla1[[#This Row],[CITA PROXIMO CONTROL]]="CITA MANUAL",Tabla1[[#This Row],[GESTANTES ACTUALES]]="ACTIVA INGRESO A CPN"),"W",IF(AND(Tabla1[[#This Row],[GESTANTES ACTUALES]]="SALIO PROGRAMA",IW6=""),"S",IF(AND(Tabla1[[#This Row],[CITA PROXIMO CONTROL]]&gt;0,IW6=""),(Tabla1[[#This Row],[CITA PROXIMO CONTROL]]-TODAY()),"SD")))))))</f>
        <v>#VALUE!</v>
      </c>
      <c r="NS6" t="e">
        <f>MONTH(Tabla1[[#This Row],[FECHA DE SALIDA  DEL PROGRAMA]])</f>
        <v>#VALUE!</v>
      </c>
      <c r="NT6" t="e">
        <f>YEAR(Tabla1[[#This Row],[FECHA DE SALIDA  DEL PROGRAMA]])</f>
        <v>#VALUE!</v>
      </c>
      <c r="NU6" t="str">
        <f t="shared" si="91"/>
        <v>X</v>
      </c>
      <c r="NV6" t="str">
        <f t="shared" si="92"/>
        <v>SI</v>
      </c>
      <c r="NW6" t="e">
        <f>IF(AND(O6&gt;0,R6=""),"NO CPN",IF(AND(O6="",R6=""),"",IF(AND(R6&gt;0,Tabla1[[#This Row],[SEMANAS DE GESTACION ACTUALIZADAS]]&lt;=12),"NO APLICA",IF(AND(FC6&lt;&gt;"",FI6&lt;&gt;""),"SI","NO"))))</f>
        <v>#VALUE!</v>
      </c>
      <c r="NX6" s="149" t="e">
        <f>IF(AND(O6&gt;0,R6=""),"NO CPN",IF(AND(O6="",R6=""),"",IF(AND(R6&gt;0,Tabla1[[#This Row],[SEMANAS DE GESTACION ACTUALIZADAS]]&lt;=27),"NO APLICA",IF(AND(EO6&lt;&gt;"",FL6&lt;&gt;"",GF6&lt;&gt;""),"SI","NO"))))</f>
        <v>#VALUE!</v>
      </c>
      <c r="NY6" s="147" t="str">
        <f t="shared" si="93"/>
        <v>I TRIM</v>
      </c>
      <c r="NZ6" s="1">
        <f>IF(AND(IY7&gt;0,IY7&lt;37),10,IF(OR(BX7="Transversa",BX7="Oblicua"),9,IF(BW7="SI",8,IF(AND(AS7=0,AV7=0,BW7="NO",BX7="Cefálica",IY7&gt;=37,JC7="INICIO ESPONTÁNEO"),1,IF(AND(AND(AS7=0,AV7=0,BW7="NO",BX7="Cefálica",IY7&gt;=37),OR(JC7="LE HACEN INDUCCIÓN",JC7="LE HACEN CESÁREA SIN INICIO TRABAJO DE PARTO")),2,IF(AND(AS7&gt;=1,AV7=0,BW7="NO",BX7="Cefálica",IY7&gt;=37,JC7="INICIO ESPONTÁNEO"),3,IF(AND(AND(AS7&gt;=1,AV7=0,BW7="NO",BX7="Cefálica",IY7&gt;=37),OR(JC7="LE HACEN INDUCCIÓN",JC7="LE HACEN CESÁREA SIN INICIO TRABAJO DE PARTO")),4,IF(AND(AND(AS7&gt;=1,AV7&gt;=1,BW7="NO",BX7="Cefálica",IY7&gt;=37),OR(JC7="LE HACEN INDUCCIÓN",JC7="LE HACEN CESÁREA SIN INICIO TRABAJO DE PARTO",JC7="INICIO ESPONTÁNEO")),5,IF(AND(AND(AS7=0,AV7=0,BW7="NO",BX7="Podálica",IY7&gt;=1),OR(JC7="LE HACEN INDUCCIÓN",JC7="LE HACEN CESÁREA SIN INICIO TRABAJO DE PARTO",JC7="INICIO ESPONTÁNEO")),6,IF(AND(AND(AS7&gt;=1,BW7="NO",BX7="Podálica",IY7&gt;=1),OR(JC7="LE HACEN INDUCCIÓN",JC7="LE HACEN CESÁREA SIN INICIO TRABAJO DE PARTO",JC7="INICIO ESPONTÁNEO"),OR(AV7=0,AV7&gt;=1)),7,""))))))))))</f>
        <v>2</v>
      </c>
      <c r="OA6" s="1" t="str">
        <f t="shared" ca="1" si="94"/>
        <v>REVISAR FUM O FECHA SALIDA PROGRAMA</v>
      </c>
      <c r="OB6" s="213">
        <f t="shared" ca="1" si="95"/>
        <v>1</v>
      </c>
      <c r="OC6" s="1">
        <f t="shared" ca="1" si="96"/>
        <v>1</v>
      </c>
      <c r="OD6" s="1" t="str">
        <f t="shared" ca="1" si="97"/>
        <v>POR DEFINIR</v>
      </c>
      <c r="OE6" s="1" t="str">
        <f t="shared" ca="1" si="98"/>
        <v>POR DEFINIR</v>
      </c>
      <c r="OF6" s="221" t="e">
        <f>IF(AND(O6="",R6=""),"",IF(OR(AND(Tabla1[[#This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6" s="230" t="str">
        <f t="shared" ca="1" si="99"/>
        <v>SIN VACUNAR</v>
      </c>
      <c r="OH6" s="148" t="e">
        <f>ROW(Tabla1[[#This Row],[SEMANAS DE GESTACION II TRIM]])</f>
        <v>#VALUE!</v>
      </c>
      <c r="OI6" t="str">
        <f t="shared" ref="OI6:OI8" si="131">IF(AND(CH6=$OI$1,CG6&gt;10,CG6&lt;20.8),"BAJO PESO",IF(AND(CH6=$OI$1,CG6&gt;20.7,CG6&lt;25.8),"NORMAL",IF(AND(CH6=$OI$1,CG6&gt;25.7,CG6&lt;30.6),"SOBREPESO",IF(AND(CH6=$OI$1,CG6&gt;30.5,CG6&lt;50),"OBESIDAD",""))))</f>
        <v/>
      </c>
      <c r="OJ6" t="str">
        <f t="shared" ref="OJ6:OJ8" si="132">IF(AND(CH6=$OJ$1,CG6&gt;10,CG6&lt;20.9),"BAJO PESO",IF(AND(CH6=$OJ$1,CG6&gt;20.8,CG6&lt;25.9),"NORMAL",IF(AND(CH6=$OJ$1,CG6&gt;25.8,CG6&lt;30.7),"SOBREPESO",IF(AND(CH6=$OJ$1,CG6&gt;30.6,CG6&lt;50),"OBESIDAD",""))))</f>
        <v/>
      </c>
      <c r="OK6" t="str">
        <f t="shared" ref="OK6:OK8" si="133">IF(AND(CH6=$OK$1,CG6&gt;10,CG6&lt;21.1),"BAJO PESO",IF(AND(CH6=$OK$1,CG6&gt;21,CG6&lt;26),"NORMAL",IF(AND(CH6=$OK$1,CG6&gt;25.9,CG6&lt;30.8),"SOBREPESO",IF(AND(CH6=$OK$1,CG6&gt;30.7,CG6&lt;50),"OBESIDAD",""))))</f>
        <v/>
      </c>
      <c r="OL6" t="str">
        <f t="shared" ref="OL6:OL8" si="134">IF(AND(CH6=$OL$1,CG6&gt;10,CG6&lt;21.2),"BAJO PESO",IF(AND(CH6=$OL$1,CG6&gt;21.1,CG6&lt;26.1),"NORMAL",IF(AND(CH6=$OL$1,CG6&gt;26,CG6&lt;31.9),"SOBREPESO",IF(AND(CH6=$OL$1,CG6&gt;30.8,CG6&lt;50),"OBESIDAD",""))))</f>
        <v/>
      </c>
      <c r="OM6" t="str">
        <f t="shared" ref="OM6:OM8" si="135">IF(AND(CH6=$OM$1,CG6&gt;10,CG6&lt;21.3),"BAJO PESO",IF(AND(CH6=$OM$1,CG6&gt;21.2,CG6&lt;26.2),"NORMAL",IF(AND(CH6=$OM$1,CG6&gt;26.1,CG6&lt;31),"SOBREPESO",IF(AND(CH6=$OM$1,CG6&gt;30.9,CG6&lt;50),"OBESIDAD",""))))</f>
        <v/>
      </c>
      <c r="ON6" t="str">
        <f t="shared" ref="ON6:ON8" si="136">IF(AND(CH6=$ON$1,CG6&gt;10,CG6&lt;21.5),"BAJO PESO",IF(AND(CH6=$ON$1,CG6&gt;21.4,CG6&lt;26.3),"NORMAL",IF(AND(CH6=$ON$1,CG6&gt;26.2,CG6&lt;31),"SOBREPESO",IF(AND(CH6=$ON$1,CG6&gt;30.9,CG6&lt;50),"OBESIDAD",""))))</f>
        <v/>
      </c>
      <c r="OO6" t="str">
        <f t="shared" ref="OO6:OO8" si="137">IF(AND(CH6=$OO$1,CG6&gt;10,CG6&lt;21.6),"BAJO PESO",IF(AND(CH6=$OO$1,CG6&gt;21.5,CG6&lt;26.4),"NORMAL",IF(AND(CH6=$OO$1,CG6&gt;26.3,CG6&lt;31.1),"SOBREPESO",IF(AND(CH6=$OO$1,CG6&gt;31,CG6&lt;50),"OBESIDAD",""))))</f>
        <v/>
      </c>
      <c r="OP6" t="str">
        <f t="shared" ref="OP6:OP8" si="138">IF(AND(CH6=$OP$1,CG6&gt;10,CG6&lt;21.8),"BAJO PESO",IF(AND(CH6=$OP$1,CG6&gt;21.7,CG6&lt;26.5),"NORMAL",IF(AND(CH6=$OP$1,CG6&gt;26.4,CG6&lt;31.2),"SOBREPESO",IF(AND(CH6=$OP$1,CG6&gt;31.1,CG6&lt;50),"OBESIDAD",""))))</f>
        <v/>
      </c>
      <c r="OQ6" t="str">
        <f t="shared" ref="OQ6:OQ8" si="139">IF(AND(CH6=$OQ$1,CG6&gt;10,CG6&lt;21.9),"BAJO PESO",IF(AND(CH6=$OQ$1,CG6&gt;21.8,CG6&lt;26.7),"NORMAL",IF(AND(CH6=$OQ$1,CG6&gt;26.6,CG6&lt;31.3),"SOBREPESO",IF(AND(CH6=$OQ$1,CG6&gt;31.2,CG6&lt;50),"OBESIDAD",""))))</f>
        <v/>
      </c>
      <c r="OR6" t="str">
        <f t="shared" ref="OR6:OR8" si="140">IF(AND(CH6=$OR$1,CG6&gt;10,CG6&lt;22.1),"BAJO PESO",IF(AND(CH6=$OR$1,CG6&gt;22,CG6&lt;26.8),"NORMAL",IF(AND(CH6=$OR$1,CG6&gt;26.7,CG6&lt;31.4),"SOBREPESO",IF(AND(CH6=$OR$1,CG6&gt;31.3,CG6&lt;50),"OBESIDAD",""))))</f>
        <v/>
      </c>
      <c r="OS6" t="str">
        <f t="shared" ref="OS6:OS8" si="141">IF(AND(CH6=$OS$1,CG6&gt;10,CG6&lt;22.3),"BAJO PESO",IF(AND(CH6=$OS$1,CG6&gt;22.2,CG6&lt;27),"NORMAL",IF(AND(CH6=$OS$1,CG6&gt;26.9,CG6&lt;31.6),"SOBREPESO",IF(AND(CH6=$OS$1,CG6&gt;31.5,CG6&lt;50),"OBESIDAD",""))))</f>
        <v/>
      </c>
      <c r="OT6" t="str">
        <f t="shared" ref="OT6:OT8" si="142">IF(AND(CH6=$OT$1,$CG6&gt;10,CG6&lt;22.5),"BAJO PESO",IF(AND(CH6=$OT$1,CG6&gt;22.4,CG6&lt;27.1),"NORMAL",IF(AND(CH6=$OT$1,CG6&gt;27,CG6&lt;31.7),"SOBREPESO",IF(AND(CH6=$OT$1,CG6&gt;31.6,CG6&lt;50),"OBESIDAD",""))))</f>
        <v/>
      </c>
      <c r="OU6" t="str">
        <f t="shared" ref="OU6:OU8" si="143">IF(AND(CH6=$OU$1,CG6&gt;10,CG6&lt;22.7),"BAJO PESO",IF(AND(CH6=$OU$1,CG6&gt;22.6,CG6&lt;27.3),"NORMAL",IF(AND(CH6=$OU$1,CG6&gt;27.1,CG6&lt;31.8),"SOBREPESO",IF(AND(CH6=$OU$1,CG6&gt;31.7,CG6&lt;50),"OBESIDAD",""))))</f>
        <v/>
      </c>
      <c r="OV6" t="str">
        <f t="shared" ref="OV6:OV8" si="144">IF(AND(CH6=$OV$1,CG6&gt;10,CG6&lt;22.8),"BAJO PESO",IF(AND(CH6=$OV$1,CG6&gt;22.7,CG6&lt;27.4),"NORMAL",IF(AND(CH6=$OV$1,CG6&gt;27.3,CG6&lt;31.9),"SOBREPESO",IF(AND(CH6=$OV$1,CG6&gt;31.8,CG6&lt;50),"OBESIDAD",""))))</f>
        <v/>
      </c>
      <c r="OW6" t="str">
        <f t="shared" ref="OW6:OW8" si="145">IF(AND(CH6=$OW$1,CG6&gt;10,CG6&lt;23),"BAJO PESO",IF(AND(CH6=$OW$1,CG6&gt;22.9,CG6&lt;27.6),"NORMAL",IF(AND(CH6=$OW$1,CG6&gt;27.5,CG6&lt;32),"SOBREPESO",IF(AND(CH6=$OW$1,CG6&gt;31.9,CG6&lt;50),"OBESIDAD",""))))</f>
        <v/>
      </c>
      <c r="OX6" t="str">
        <f t="shared" ref="OX6:OX8" si="146">IF(AND(CM6=$OX$1,CL6&gt;10,CL6&lt;23.2),"BAJO PESO",IF(AND(CM6=$OX$1,CL6&gt;23.1,CL6&lt;27.7),"NORMAL",IF(AND(CM6=$OX$1,CL6&gt;27.6,CL6&lt;32.1),"SOBREPESO",IF(AND(CM6=$OX$1,CL6&gt;32,CL6&lt;50),"OBESIDAD",""))))</f>
        <v/>
      </c>
      <c r="OY6" t="str">
        <f t="shared" ref="OY6:OY8" si="147">IF(AND(CM6=$OY$1,CL6&gt;10,CL6&lt;23.4),"BAJO PESO",IF(AND(CM6=$OY$1,CL6&gt;23.3,CL6&lt;27.9),"NORMAL",IF(AND(CM6=$OY$1,CL6&gt;27.8,CL6&lt;32.2),"SOBREPESO",IF(AND(CM6=$OY$1,CL6&gt;32.1,CL6&lt;50),"OBESIDAD",""))))</f>
        <v/>
      </c>
      <c r="OZ6" t="str">
        <f t="shared" ref="OZ6:OZ8" si="148">IF(AND(CM6=$OZ$1,CL6&gt;10,CL6&lt;23.5),"BAJO PESO",IF(AND(CM6=$OZ$1,CL6&gt;23.4,CL6&lt;28),"NORMAL",IF(AND(CM6=$OZ$1,CL6&gt;27.9,CL6&lt;32.1),"SOBREPESO",IF(AND(CM6=$OZ$1,CL6&gt;32.2,CL6&lt;50),"OBESIDAD",""))))</f>
        <v/>
      </c>
      <c r="PA6" t="str">
        <f t="shared" ref="PA6:PA8" si="149">IF(AND(CM6=$PA$1,CL6&gt;10,CL6&lt;23.7),"BAJO PESO",IF(AND(CM6=$PA$1,CL6&gt;23.6,CL6&lt;28.1),"NORMAL",IF(AND(CM6=$PA$1,CL6&gt;28,CL6&lt;33.4),"SOBREPESO",IF(AND(CM6=$PA$1,CL6&gt;33.3,CL6&lt;50),"OBESIDAD",""))))</f>
        <v/>
      </c>
      <c r="PB6" t="str">
        <f t="shared" ref="PB6:PB8" si="150">IF(AND(CM6=$PB$1,CL6&gt;10,CL6&lt;23.9),"BAJO PESO",IF(AND(CM6=$PB$1,CL6&gt;23.8,CL6&lt;28.2),"NORMAL",IF(AND(CM6=$PB$1,CL6&gt;28.1,CL6&lt;33.5),"SOBREPESO",IF(AND(CM6=$PB$1,CL6&gt;33.4,CL6&lt;50),"OBESIDAD",""))))</f>
        <v/>
      </c>
      <c r="PC6" t="str">
        <f t="shared" ref="PC6:PC8" si="151">IF(AND(CM6=$PC$1,CL6&gt;10,CL6&lt;24),"BAJO PESO",IF(AND(CM6=$PC$1,CL6&gt;23.9,CL6&lt;28.4),"NORMAL",IF(AND(CM6=$PC$1,CL6&gt;28.3,CL6&lt;33.6),"SOBREPESO",IF(AND(CM6=$PC$1,CL6&gt;33.5,CL6&lt;50),"OBESIDAD",""))))</f>
        <v/>
      </c>
      <c r="PD6" t="str">
        <f t="shared" ref="PD6:PD8" si="152">IF(AND(CM6=$PD$1,CL6&gt;10,CL6&lt;24.2),"BAJO PESO",IF(AND(CM6=$PD$1,CL6&gt;24.1,CL6&lt;28.5),"NORMAL",IF(AND(CM6=$PD$1,CL6&gt;28.4,CL6&lt;33.7),"SOBREPESO",IF(AND(CM6=$PD$1,CL6&gt;33.6,CL6&lt;50),"OBESIDAD",""))))</f>
        <v/>
      </c>
      <c r="PE6" t="str">
        <f t="shared" ref="PE6:PE8" si="153">IF(AND(CM6=$PE$1,CL6&gt;10,CL6&lt;24.3),"BAJO PESO",IF(AND(CM6=$PE$1,CL6&gt;24.2,CL6&lt;28.6),"NORMAL",IF(AND(CM6=$PE$1,CL6&gt;28.5,CL6&lt;33.8),"SOBREPESO",IF(AND(CM6=$PE$1,CL6&gt;33.7,CL6&lt;50),"OBESIDAD",""))))</f>
        <v/>
      </c>
      <c r="PF6" t="str">
        <f t="shared" ref="PF6:PF8" si="154">IF(AND(CM6=$PF$1,CL6&gt;10,CL6&lt;24.5),"BAJO PESO",IF(AND(CM6=$PF$1,CL6&gt;24.4,CL6&lt;28.8),"NORMAL",IF(AND(CM6=$PF$1,CL6&gt;28.7,CL6&lt;32.9),"SOBREPESO",IF(AND(CM6=$PF$1,CL6&gt;32.8,CL6&lt;50),"OBESIDAD",""))))</f>
        <v/>
      </c>
      <c r="PG6" t="str">
        <f t="shared" ref="PG6:PG8" si="155">IF(AND(CM6=$PG$1,CL6&gt;10,CL6&lt;24.6),"BAJO PESO",IF(AND(CM6=$PG$1,CL6&gt;24.5,CL6&lt;28.9),"NORMAL",IF(AND(CM6=$PG$1,CL6&gt;28.8,CL6&lt;33),"SOBREPESO",IF(AND(CM6=$PG$1,CL6&gt;32.9,CL6&lt;50),"OBESIDAD",""))))</f>
        <v/>
      </c>
      <c r="PH6" t="str">
        <f t="shared" ref="PH6:PH8" si="156">IF(AND(CM6=$PH$1,CL6&gt;10,CL6&lt;24.8),"BAJO PESO",IF(AND(CM6=$PH$1,CL6&gt;24.7,CL6&lt;29),"NORMAL",IF(AND(CM6=$PH$1,CL6&gt;28.9,CL6&lt;33.1),"SOBREPESO",IF(AND(CM6=$PH$1,CL6&gt;33,CL6&lt;50),"OBESIDAD",""))))</f>
        <v/>
      </c>
      <c r="PI6" t="str">
        <f t="shared" ref="PI6:PI8" si="157">IF(AND(CM6=$PI$1,CL6&gt;10,CL6&lt;25),"BAJO PESO",IF(AND(CM6=$PI$1,CL6&gt;24.9,CL6&lt;29.2),"NORMAL",IF(AND(CM6=$PI$1,CL6&gt;29.1,CL6&lt;33.2),"SOBREPESO",IF(AND(CM6=$PI$1,CL6&gt;33.1,CL6&lt;50),"OBESIDAD",""))))</f>
        <v/>
      </c>
      <c r="PJ6" t="str">
        <f t="shared" ref="PJ6:PJ8" si="158">IF(AND(CM6=$PJ$1,CL6&gt;10,CL6&lt;25.1),"BAJO PESO",IF(AND(CM6=$PJ$1,CL6&gt;25,CL6&lt;29.3),"NORMAL",IF(AND(CM6=$PJ$1,CL6&gt;29.2,CL6&lt;33.3),"SOBREPESO",IF(AND(CM6=$PJ$1,CL6&gt;33.2,CL6&lt;50),"OBESIDAD",""))))</f>
        <v/>
      </c>
      <c r="PK6" t="str">
        <f t="shared" ref="PK6:PK8" si="159">IF(AND(CM6=$PK$1,CL6&gt;10,CL6&lt;25.1),"BAJO PESO",IF(AND(CM6=$PK$1,CL6&gt;25,CL6&lt;29.4),"NORMAL",IF(AND(CM6=$PK$1,CL6&gt;29.3,CL6&lt;33.3),"SOBREPESO",IF(AND(CM6=$PK$1,CL6&gt;33.2,CL6&lt;50),"OBESIDAD",""))))</f>
        <v/>
      </c>
      <c r="PL6"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6" s="162" t="str">
        <f t="shared" ref="PM6:PM8" si="160">IF(AND(R6="",O6=""),"",IF(AND(OR(O6&gt;0,R6&gt;0),BK6=""),"SD",IF(AND(OR(O6&gt;0,R6&gt;0),IF6&gt;0),SUM(IF6-BK6)/7,"")))</f>
        <v/>
      </c>
      <c r="PN6" s="161" t="e">
        <f t="shared" ref="PN6:PN8" si="161">IF(AND(PL6="x",IF6="",IH6=""),"Firma",IF(AND(PL6="x",IF6&gt;0,IH6=""),"Firma2",IF(AND(PL6="x",IF6&gt;0,IH6&gt;0),"Firma2",IF(AND(PL6&lt;&gt;"b",IF6&gt;0,IH6=""),"Falta dosis",IF(AND(PL6="b",IF6&gt;0,IH6=""),"Completo",IF(AND(PL6="b",IF6&gt;0,IH6&gt;0),"Error Jansen X Fecha Segunda Dosis",IF(AND(PL6&lt;&gt;"b",IF6&gt;0,IH6&gt;0),"Completo","")))))))</f>
        <v>#VALUE!</v>
      </c>
      <c r="PO6"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6" s="161" t="e">
        <f ca="1">IF(PO6="","",SUM(TODAY()-Tabla1[[#This Row],[Fecha 1ra Dosis Anti COVID-19]]))</f>
        <v>#VALUE!</v>
      </c>
      <c r="PQ6" s="219" t="str">
        <f>IFERROR(IF(Tabla1[[#This Row],[Fecha 1ra Dosis Anti COVID-19]]="","",IF(OR(AND(Tabla1[[#This Row],[Tipo Biológico Vacuna anti COVID-19 (Disentimiento)]]="Astrazeneca",PP6&lt;84),AND(Tabla1[[#This Row],[Tipo Biológico Vacuna anti COVID-19 (Disentimiento)]]="Pfizer",PP6&lt;21),AND(Tabla1[[#This Row],[Tipo Biológico Vacuna anti COVID-19 (Disentimiento)]]="Moderna",PP6&lt;21),AND(Tabla1[[#This Row],[Tipo Biológico Vacuna anti COVID-19 (Disentimiento)]]="Sinovac",PP6&lt;28)),"Pendiente Segunda Dosis",IF(OR(AND(Tabla1[[#This Row],[Tipo Biológico Vacuna anti COVID-19 (Disentimiento)]]="Astrazeneca",PP6&gt;=85),AND(Tabla1[[#This Row],[Tipo Biológico Vacuna anti COVID-19 (Disentimiento)]]="Pfizer",PP6&gt;=22),AND(Tabla1[[#This Row],[Tipo Biológico Vacuna anti COVID-19 (Disentimiento)]]="Moderna",PP6&gt;=22),AND(Tabla1[[#This Row],[Tipo Biológico Vacuna anti COVID-19 (Disentimiento)]]="Sinovac",PP6&gt;=29)),"inasistente",IF(OR(AND(Tabla1[[#This Row],[Tipo Biológico Vacuna anti COVID-19 (Disentimiento)]],"Astrazeneca",PP6=84),AND(Tabla1[[#This Row],[Tipo Biológico Vacuna anti COVID-19 (Disentimiento)]],"Pfizer",PP6=21),AND(Tabla1[[#This Row],[Tipo Biológico Vacuna anti COVID-19 (Disentimiento)]],"Moderna",PP6=21),AND(Tabla1[[#This Row],[Tipo Biológico Vacuna anti COVID-19 (Disentimiento)]],"Sinovac",PP6=28)),"Día vacunación1","")))),"Día de Vacunación")</f>
        <v>Día de Vacunación</v>
      </c>
    </row>
    <row r="7" spans="1:433" ht="39.950000000000003" customHeight="1" x14ac:dyDescent="0.25">
      <c r="A7" s="145" t="s">
        <v>853</v>
      </c>
      <c r="B7" s="68" t="s">
        <v>854</v>
      </c>
      <c r="C7" s="68" t="s">
        <v>855</v>
      </c>
      <c r="D7" s="187" t="s">
        <v>863</v>
      </c>
      <c r="E7" s="68" t="s">
        <v>864</v>
      </c>
      <c r="F7" s="68" t="s">
        <v>865</v>
      </c>
      <c r="G7" s="68" t="s">
        <v>866</v>
      </c>
      <c r="H7" s="68"/>
      <c r="I7" s="145" t="s">
        <v>867</v>
      </c>
      <c r="J7" s="146">
        <v>1058546619</v>
      </c>
      <c r="K7" s="68" t="s">
        <v>861</v>
      </c>
      <c r="L7" s="68" t="s">
        <v>868</v>
      </c>
      <c r="M7" s="35">
        <v>38125</v>
      </c>
      <c r="N7" s="38">
        <f t="shared" ca="1" si="0"/>
        <v>19.465753424657535</v>
      </c>
      <c r="O7" s="35">
        <v>44734</v>
      </c>
      <c r="P7" s="39" t="str">
        <f t="shared" si="1"/>
        <v>SI</v>
      </c>
      <c r="Q7" s="40" t="s">
        <v>876</v>
      </c>
      <c r="R7" s="35">
        <v>44734</v>
      </c>
      <c r="S7" s="31" t="s">
        <v>877</v>
      </c>
      <c r="T7" s="37" t="s">
        <v>800</v>
      </c>
      <c r="U7" s="31" t="s">
        <v>878</v>
      </c>
      <c r="V7" s="31" t="s">
        <v>879</v>
      </c>
      <c r="W7" s="31" t="s">
        <v>888</v>
      </c>
      <c r="X7" s="31" t="s">
        <v>888</v>
      </c>
      <c r="Y7" s="31" t="s">
        <v>888</v>
      </c>
      <c r="Z7" s="31">
        <v>3175892519</v>
      </c>
      <c r="AA7" s="31" t="s">
        <v>882</v>
      </c>
      <c r="AB7" s="41" t="s">
        <v>883</v>
      </c>
      <c r="AC7" s="40" t="s">
        <v>889</v>
      </c>
      <c r="AD7" s="55" t="s">
        <v>890</v>
      </c>
      <c r="AE7" s="40" t="s">
        <v>875</v>
      </c>
      <c r="AF7" s="40" t="s">
        <v>875</v>
      </c>
      <c r="AG7" s="36" t="s">
        <v>886</v>
      </c>
      <c r="AH7" s="36" t="s">
        <v>886</v>
      </c>
      <c r="AI7" s="37" t="s">
        <v>885</v>
      </c>
      <c r="AJ7" s="36" t="s">
        <v>886</v>
      </c>
      <c r="AK7" s="42" t="str">
        <f>IF(AND(AE7="",AF7="",AG7="",AH7="",AI7="",AJ7=""),"",IF(AND(OR(O7&gt;0,R7&gt;0),NP7&gt;=0,NP7&lt;2),"SIN RIESGO",IF(AND(OR(O7&gt;0,R7&gt;0),NP7&gt;=2),"CON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7" s="36" t="s">
        <v>886</v>
      </c>
      <c r="AM7" s="40" t="s">
        <v>886</v>
      </c>
      <c r="AN7" s="40" t="s">
        <v>886</v>
      </c>
      <c r="AO7" s="40" t="s">
        <v>886</v>
      </c>
      <c r="AP7" s="40" t="s">
        <v>886</v>
      </c>
      <c r="AQ7" s="40" t="s">
        <v>886</v>
      </c>
      <c r="AR7" s="31">
        <v>0</v>
      </c>
      <c r="AS7" s="31">
        <v>0</v>
      </c>
      <c r="AT7" s="31">
        <v>0</v>
      </c>
      <c r="AU7" s="40" t="s">
        <v>886</v>
      </c>
      <c r="AV7" s="31">
        <v>0</v>
      </c>
      <c r="AW7" s="40" t="s">
        <v>886</v>
      </c>
      <c r="AX7" s="40" t="s">
        <v>886</v>
      </c>
      <c r="AY7" s="40" t="s">
        <v>886</v>
      </c>
      <c r="AZ7" s="40" t="s">
        <v>886</v>
      </c>
      <c r="BA7" s="40" t="s">
        <v>886</v>
      </c>
      <c r="BB7" s="40" t="s">
        <v>886</v>
      </c>
      <c r="BC7" s="40" t="s">
        <v>886</v>
      </c>
      <c r="BD7" s="40" t="s">
        <v>886</v>
      </c>
      <c r="BE7" s="40" t="s">
        <v>886</v>
      </c>
      <c r="BF7" s="40" t="s">
        <v>886</v>
      </c>
      <c r="BG7" s="40" t="s">
        <v>886</v>
      </c>
      <c r="BH7" s="40" t="s">
        <v>886</v>
      </c>
      <c r="BI7" s="40" t="s">
        <v>886</v>
      </c>
      <c r="BJ7" s="35"/>
      <c r="BK7" s="35">
        <v>44664</v>
      </c>
      <c r="BL7" s="31" t="s">
        <v>875</v>
      </c>
      <c r="BM7" s="43">
        <f t="shared" si="2"/>
        <v>0</v>
      </c>
      <c r="BN7" s="57">
        <f t="shared" si="3"/>
        <v>44669</v>
      </c>
      <c r="BO7" s="44">
        <f t="shared" si="4"/>
        <v>10</v>
      </c>
      <c r="BP7" s="31" t="str">
        <f t="shared" si="5"/>
        <v>I TRIM</v>
      </c>
      <c r="BQ7" s="39" t="str">
        <f t="shared" ca="1" si="6"/>
        <v/>
      </c>
      <c r="BR7" s="35">
        <v>44767</v>
      </c>
      <c r="BS7" s="43">
        <v>14</v>
      </c>
      <c r="BT7" s="35">
        <v>44823</v>
      </c>
      <c r="BU7" s="31">
        <v>22</v>
      </c>
      <c r="BV7" s="40" t="s">
        <v>886</v>
      </c>
      <c r="BW7" s="40" t="s">
        <v>886</v>
      </c>
      <c r="BX7" s="40" t="s">
        <v>891</v>
      </c>
      <c r="BY7" s="40" t="s">
        <v>886</v>
      </c>
      <c r="BZ7" s="35">
        <v>44734</v>
      </c>
      <c r="CA7" s="31">
        <v>1.6</v>
      </c>
      <c r="CB7" s="31">
        <v>59</v>
      </c>
      <c r="CC7" s="39">
        <f t="shared" si="7"/>
        <v>23.046874999999996</v>
      </c>
      <c r="CD7" s="45" t="str">
        <f t="shared" si="8"/>
        <v>NORMAL</v>
      </c>
      <c r="CE7" s="35">
        <v>44792</v>
      </c>
      <c r="CF7" s="31">
        <v>54</v>
      </c>
      <c r="CG7" s="39">
        <f t="shared" si="9"/>
        <v>21.093749999999996</v>
      </c>
      <c r="CH7" s="31">
        <f t="shared" si="10"/>
        <v>18</v>
      </c>
      <c r="CI7" s="31" t="e">
        <f>IF(OR(CH7="",CH7="NA"),"",IF(AND(CH7&gt;=29,CH7&lt;=42),"REGISTRAR EN III TRIM",IF(AND(CH7&gt;0,CH7&lt;=13),"REGISTRAR EN I TRIM",IF(CH7="REVISAR FUM O FECHA PESO","REVISAR",IF(CH7&gt;0,HLOOKUP(CH7,$OI$1:PK7,OH7),"")))))</f>
        <v>#REF!</v>
      </c>
      <c r="CJ7" s="35">
        <v>44883</v>
      </c>
      <c r="CK7" s="31">
        <v>60</v>
      </c>
      <c r="CL7" s="39">
        <f t="shared" si="11"/>
        <v>23.437499999999996</v>
      </c>
      <c r="CM7" s="31">
        <f t="shared" si="12"/>
        <v>31</v>
      </c>
      <c r="CN7" s="31" t="e">
        <f>IF(OR(CM7="",CM7="NA"),"",IF(AND(CM7&gt;0,CM7&lt;=28),"REGISTRAR EN  TRIM RESPECTIVO",IF(CM7&gt;0,HLOOKUP(CM7,$OI$1:PK7,OH7),"")))</f>
        <v>#REF!</v>
      </c>
      <c r="CO7" s="31" t="e">
        <f t="shared" si="13"/>
        <v>#REF!</v>
      </c>
      <c r="CP7" s="31">
        <v>110</v>
      </c>
      <c r="CQ7" s="31">
        <v>70</v>
      </c>
      <c r="CR7" s="37" t="str">
        <f t="shared" si="14"/>
        <v>APARENTEMENTE NORMAL</v>
      </c>
      <c r="CS7" s="31">
        <v>100</v>
      </c>
      <c r="CT7" s="31">
        <v>70</v>
      </c>
      <c r="CU7" s="37" t="str">
        <f t="shared" si="15"/>
        <v>VIGILAR CIFRAS PRESION ARTERIAL</v>
      </c>
      <c r="CV7" s="31">
        <v>100</v>
      </c>
      <c r="CW7" s="31">
        <v>70</v>
      </c>
      <c r="CX7" s="31">
        <v>110</v>
      </c>
      <c r="CY7" s="31">
        <v>70</v>
      </c>
      <c r="CZ7" s="37" t="str">
        <f t="shared" si="16"/>
        <v>APARENTEMENTE NORMAL</v>
      </c>
      <c r="DA7" s="35">
        <v>44734</v>
      </c>
      <c r="DB7" s="35">
        <v>44734</v>
      </c>
      <c r="DC7" s="35">
        <v>44792</v>
      </c>
      <c r="DD7" s="35">
        <v>44820</v>
      </c>
      <c r="DE7" s="35">
        <v>44848</v>
      </c>
      <c r="DF7" s="35">
        <v>44883</v>
      </c>
      <c r="DG7" s="35">
        <v>44923</v>
      </c>
      <c r="DH7" s="35"/>
      <c r="DI7" s="35"/>
      <c r="DJ7" s="35"/>
      <c r="DK7" s="35"/>
      <c r="DL7" s="35"/>
      <c r="DM7" s="35"/>
      <c r="DN7" s="35"/>
      <c r="DO7" s="43"/>
      <c r="DP7" s="35"/>
      <c r="DQ7" s="31" t="str">
        <f t="shared" ca="1" si="17"/>
        <v>SALE SIN PLAN DE PARTO</v>
      </c>
      <c r="DR7" s="46" t="str">
        <f t="shared" si="18"/>
        <v>SALIO PROGRAMA</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7" s="31" t="e">
        <f t="shared" ca="1" si="19"/>
        <v>#VALUE!</v>
      </c>
      <c r="DU7" s="35" t="e">
        <f>IF(R7="","",IF(R7&gt;0,MAX(Tabla1[[#This Row],[FECHA C2]:[FECHA C13]],Tabla1[[#This Row],[FECHA CONSULTA PRIMERA VEZ PROGRAMA CPN ]])))</f>
        <v>#VALUE!</v>
      </c>
      <c r="DV7" s="31" t="e">
        <f t="shared" si="20"/>
        <v>#VALUE!</v>
      </c>
      <c r="DW7" s="43">
        <f>IF(R7&gt;0,SUM(COUNTA(DC7:DN7)+COUNTA(Tabla1[[#This Row],[FECHA CONSULTA PRIMERA VEZ PROGRAMA CPN ]])),"")</f>
        <v>6</v>
      </c>
      <c r="DX7" s="43" t="str">
        <f t="shared" si="21"/>
        <v>SI</v>
      </c>
      <c r="DY7" s="39">
        <f t="shared" si="22"/>
        <v>9</v>
      </c>
      <c r="DZ7" s="47">
        <f t="shared" si="23"/>
        <v>0.66666666666666663</v>
      </c>
      <c r="EA7" s="35">
        <v>44734</v>
      </c>
      <c r="EB7" s="35">
        <v>44734</v>
      </c>
      <c r="EC7" s="35">
        <v>44734</v>
      </c>
      <c r="ED7" s="35">
        <v>44761</v>
      </c>
      <c r="EE7" s="35">
        <v>44734</v>
      </c>
      <c r="EF7" s="35">
        <v>44767</v>
      </c>
      <c r="EG7" s="35">
        <v>44823</v>
      </c>
      <c r="EH7" s="31">
        <v>2</v>
      </c>
      <c r="EI7" s="31">
        <v>13</v>
      </c>
      <c r="EJ7" s="35">
        <v>44734</v>
      </c>
      <c r="EK7" s="43">
        <f t="shared" si="24"/>
        <v>10</v>
      </c>
      <c r="EL7" s="39" t="str">
        <f t="shared" si="25"/>
        <v>NORMAL- SUMINISTRAR SULFATO FERROSO</v>
      </c>
      <c r="EM7" s="31" t="str">
        <f t="shared" si="26"/>
        <v>I TRIM</v>
      </c>
      <c r="EN7" s="37">
        <v>15</v>
      </c>
      <c r="EO7" s="35">
        <v>44883</v>
      </c>
      <c r="EP7" s="44">
        <f t="shared" si="27"/>
        <v>31.285714285714285</v>
      </c>
      <c r="EQ7" s="39" t="str">
        <f t="shared" si="28"/>
        <v>NO DAR SULFATO FERROSO</v>
      </c>
      <c r="ER7" s="37" t="s">
        <v>893</v>
      </c>
      <c r="ES7" s="35">
        <v>44734</v>
      </c>
      <c r="ET7" s="44">
        <f t="shared" si="29"/>
        <v>10</v>
      </c>
      <c r="EU7" s="39" t="str">
        <f t="shared" si="30"/>
        <v>NO HAY RIESGO POR RH</v>
      </c>
      <c r="EV7" s="31">
        <v>95</v>
      </c>
      <c r="EW7" s="35">
        <v>44734</v>
      </c>
      <c r="EX7" s="44">
        <f t="shared" si="31"/>
        <v>10</v>
      </c>
      <c r="EY7" s="44">
        <v>75</v>
      </c>
      <c r="EZ7" s="44">
        <v>85</v>
      </c>
      <c r="FA7" s="44">
        <v>110</v>
      </c>
      <c r="FB7" s="31" t="str">
        <f t="shared" ca="1" si="32"/>
        <v>NORMAL</v>
      </c>
      <c r="FC7" s="48">
        <v>44848</v>
      </c>
      <c r="FD7" s="44">
        <f t="shared" si="33"/>
        <v>26.285714285714285</v>
      </c>
      <c r="FE7" s="35" t="s">
        <v>894</v>
      </c>
      <c r="FF7" s="35">
        <v>44734</v>
      </c>
      <c r="FG7" s="44">
        <f t="shared" ca="1" si="34"/>
        <v>10</v>
      </c>
      <c r="FH7" s="35" t="s">
        <v>894</v>
      </c>
      <c r="FI7" s="49">
        <v>44820</v>
      </c>
      <c r="FJ7" s="44">
        <f t="shared" ca="1" si="35"/>
        <v>22.285714285714285</v>
      </c>
      <c r="FK7" s="35" t="s">
        <v>894</v>
      </c>
      <c r="FL7" s="49">
        <v>44883</v>
      </c>
      <c r="FM7" s="44">
        <f t="shared" ca="1" si="36"/>
        <v>31.285714285714285</v>
      </c>
      <c r="FN7" s="35"/>
      <c r="FO7" s="49"/>
      <c r="FP7" s="44" t="e">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7" s="31" t="s">
        <v>801</v>
      </c>
      <c r="FR7" s="35">
        <v>44734</v>
      </c>
      <c r="FS7" s="44">
        <f t="shared" si="37"/>
        <v>10</v>
      </c>
      <c r="FT7" s="43" t="s">
        <v>895</v>
      </c>
      <c r="FU7" s="35">
        <v>44734</v>
      </c>
      <c r="FV7" s="44">
        <f t="shared" si="38"/>
        <v>10</v>
      </c>
      <c r="FW7" s="35">
        <v>44734</v>
      </c>
      <c r="FX7" s="35">
        <v>44734</v>
      </c>
      <c r="FY7" s="35" t="s">
        <v>896</v>
      </c>
      <c r="FZ7" s="35">
        <v>44734</v>
      </c>
      <c r="GA7" s="44">
        <f t="shared" ca="1" si="39"/>
        <v>10</v>
      </c>
      <c r="GB7" s="35" t="s">
        <v>896</v>
      </c>
      <c r="GC7" s="35">
        <v>44820</v>
      </c>
      <c r="GD7" s="44">
        <f t="shared" ca="1" si="40"/>
        <v>22.285714285714285</v>
      </c>
      <c r="GE7" s="35" t="s">
        <v>896</v>
      </c>
      <c r="GF7" s="35">
        <v>44883</v>
      </c>
      <c r="GG7" s="44">
        <f t="shared" ca="1" si="41"/>
        <v>31.285714285714285</v>
      </c>
      <c r="GH7" s="35"/>
      <c r="GI7" s="44"/>
      <c r="GJ7" s="35" t="s">
        <v>883</v>
      </c>
      <c r="GK7" s="35"/>
      <c r="GL7" s="35" t="s">
        <v>883</v>
      </c>
      <c r="GM7" s="35"/>
      <c r="GN7" s="43" t="s">
        <v>895</v>
      </c>
      <c r="GO7" s="35">
        <v>44734</v>
      </c>
      <c r="GP7" s="44">
        <f t="shared" si="42"/>
        <v>10</v>
      </c>
      <c r="GQ7" s="43" t="s">
        <v>895</v>
      </c>
      <c r="GR7" s="43" t="s">
        <v>895</v>
      </c>
      <c r="GS7" s="35" t="str">
        <f t="shared" si="43"/>
        <v>CONTROL Igm</v>
      </c>
      <c r="GT7" s="35">
        <v>44734</v>
      </c>
      <c r="GU7" s="44">
        <f t="shared" si="44"/>
        <v>10</v>
      </c>
      <c r="GV7" s="31" t="str">
        <f t="shared" si="45"/>
        <v>I TRIM</v>
      </c>
      <c r="GW7" s="43" t="s">
        <v>895</v>
      </c>
      <c r="GX7" s="46">
        <v>5</v>
      </c>
      <c r="GY7" s="31"/>
      <c r="GZ7" s="35"/>
      <c r="HA7" s="43" t="str">
        <f t="shared" si="46"/>
        <v/>
      </c>
      <c r="HB7" s="31" t="str">
        <f t="shared" si="47"/>
        <v/>
      </c>
      <c r="HC7" s="31" t="str">
        <f t="shared" si="48"/>
        <v/>
      </c>
      <c r="HD7" s="31" t="s">
        <v>897</v>
      </c>
      <c r="HE7" s="31"/>
      <c r="HF7" s="31" t="s">
        <v>898</v>
      </c>
      <c r="HG7" s="31"/>
      <c r="HH7" s="31" t="s">
        <v>899</v>
      </c>
      <c r="HI7" s="31">
        <v>0</v>
      </c>
      <c r="HJ7" s="35" t="s">
        <v>900</v>
      </c>
      <c r="HK7" s="35" t="e">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7" s="35" t="e">
        <f t="shared" si="49"/>
        <v>#REF!</v>
      </c>
      <c r="HM7" s="35" t="e">
        <f t="shared" si="50"/>
        <v>#VALUE!</v>
      </c>
      <c r="HN7" s="31" t="e">
        <f t="shared" ca="1" si="51"/>
        <v>#VALUE!</v>
      </c>
      <c r="HO7" s="31" t="e">
        <f t="shared" si="52"/>
        <v>#VALUE!</v>
      </c>
      <c r="HP7" s="37" t="str">
        <f t="shared" si="53"/>
        <v>APARENTEMENTE NORMAL</v>
      </c>
      <c r="HQ7" s="31" t="e">
        <f t="shared" ca="1" si="54"/>
        <v>#VALUE!</v>
      </c>
      <c r="HR7" s="46" t="str">
        <f t="shared" si="55"/>
        <v>SALIO PROGRAMA</v>
      </c>
      <c r="HS7" s="31" t="s">
        <v>875</v>
      </c>
      <c r="HT7" s="31" t="s">
        <v>883</v>
      </c>
      <c r="HU7" s="35">
        <v>44848</v>
      </c>
      <c r="HV7" s="35" t="s">
        <v>901</v>
      </c>
      <c r="HW7" s="35">
        <v>44848</v>
      </c>
      <c r="HX7" s="35" t="s">
        <v>901</v>
      </c>
      <c r="HY7" s="35">
        <v>44734</v>
      </c>
      <c r="HZ7" s="35" t="s">
        <v>901</v>
      </c>
      <c r="IA7" s="40" t="s">
        <v>887</v>
      </c>
      <c r="IB7" s="35">
        <v>44734</v>
      </c>
      <c r="IC7" s="43">
        <f t="shared" si="56"/>
        <v>10</v>
      </c>
      <c r="ID7" s="40" t="s">
        <v>875</v>
      </c>
      <c r="IE7" s="40" t="s">
        <v>902</v>
      </c>
      <c r="IF7" s="35"/>
      <c r="IG7" s="35"/>
      <c r="IH7" s="171"/>
      <c r="II7" s="171"/>
      <c r="IJ7" s="171"/>
      <c r="IK7" s="37" t="e">
        <f>IF(AND(BK7="",PM7="SD"),"SIN DATO EDAD GESTACIONAL",IF(AND(BK7="",PN7=""),"",IF(AND(AND(BQ7&gt;0,BQ7&lt;12),PN7=""),"MENOR 12 SEMANAS",IF(AND(BQ7&gt;11.6,PN7="",HJ7="BAJO RIESGO O SE DESCARTA INFECCIÓN POR SARS-CoV2"),"PROGRAMAR APLICACION DE VACUNA",IF(OR(AND(BQ7&gt;11.6,PN7=""),HJ7="FACTOR DE RIESGO PARA COVID19",HJ7="COVID19 PRIMER TRIMESTRE",HJ7="COVID19 SEGUNDO TRIMESTRE",HJ7="COVID19 TERCER TRIMESTRE",HJ7="COVID19 PUERPERIO"),"DIFERIR FECHA DE VACUNACION SEGÚN LINEAMIENTOS",IF(AND(BQ7&gt;11.6,PN7="Error Jansen X Fecha Segunda Dosis"),"Error Jansen X Fecha Segunda Dosis",IF(AND(BQ7&gt;11.6,PN7="Firma"),"FIRMA DISENTIMIENTO",IF(AND(BQ7&gt;11.6,PN7="Firma3"),"NO ACEPTA VACUNA Y NO FIRMA DISCENTIMIENTO",IF(AND(BQ7&gt;11.6,PN7="Firma2"),"Error en Fecha x Firma Disentimiento",IF(AND(BQ7&gt;11.6,PN7="Firma4"),"Error en Fecha x No Acepta no Firma",IF(AND(BQ7&gt;11.6,PN7="Completo",Tabla1[[#This Row],[Fecha Refuerzo Anti COVID-20]]=""),"PENDIENTE REFUERZO",IF(AND(BQ7&gt;11.6,PN7="Completo",Tabla1[[#This Row],[Fecha Refuerzo Anti COVID-20]]&lt;&gt;""),"CON REFUERZO",IF(AND(BQ7&gt;11.6,PN7="Falta Dosis"),PQ7,IF(OR(AND(BQ7&gt;11.6,PN7=""),HJ7="",HJ7="NO SE EVALUA RIESGO INFECCIÓN COVID19"),"DEFINIR RIESGO CONTAGIO SARS-CoV2, columna GZ",""))))))))))))))</f>
        <v>#VALUE!</v>
      </c>
      <c r="IL7" s="171">
        <v>44792</v>
      </c>
      <c r="IM7" s="35">
        <v>44820</v>
      </c>
      <c r="IN7" s="35" t="str">
        <f t="shared" ca="1" si="57"/>
        <v>VACUNA APLICADA ENTRE SEMANA 20 Y SEMANA 26</v>
      </c>
      <c r="IO7" s="35"/>
      <c r="IP7" s="35">
        <f t="shared" si="58"/>
        <v>44944</v>
      </c>
      <c r="IQ7" s="44">
        <f t="shared" ca="1" si="59"/>
        <v>-286</v>
      </c>
      <c r="IR7" s="35" t="str">
        <f t="shared" ca="1" si="60"/>
        <v>POSIBLEMENTE NACIO</v>
      </c>
      <c r="IS7" s="35"/>
      <c r="IT7" s="31" t="s">
        <v>904</v>
      </c>
      <c r="IU7" s="31" t="s">
        <v>905</v>
      </c>
      <c r="IV7" s="51" t="s">
        <v>906</v>
      </c>
      <c r="IW7" s="35">
        <v>44945</v>
      </c>
      <c r="IX7" s="31" t="s">
        <v>907</v>
      </c>
      <c r="IY7" s="44">
        <f t="shared" si="61"/>
        <v>40.142857142857146</v>
      </c>
      <c r="IZ7" s="52" t="s">
        <v>908</v>
      </c>
      <c r="JA7" s="31" t="s">
        <v>909</v>
      </c>
      <c r="JB7" s="31" t="s">
        <v>910</v>
      </c>
      <c r="JC7" s="31" t="s">
        <v>911</v>
      </c>
      <c r="JD7" s="31" t="s">
        <v>887</v>
      </c>
      <c r="JE7" s="31" t="s">
        <v>887</v>
      </c>
      <c r="JF7" s="31" t="s">
        <v>887</v>
      </c>
      <c r="JG7" s="31" t="s">
        <v>887</v>
      </c>
      <c r="JH7" s="31" t="s">
        <v>887</v>
      </c>
      <c r="JI7" s="31" t="s">
        <v>887</v>
      </c>
      <c r="JJ7" s="31" t="s">
        <v>912</v>
      </c>
      <c r="JK7" s="46">
        <v>1</v>
      </c>
      <c r="JL7" s="31" t="s">
        <v>913</v>
      </c>
      <c r="JM7" s="53">
        <v>2970</v>
      </c>
      <c r="JN7" s="31" t="str">
        <f t="shared" si="62"/>
        <v>PESO ADECUADO EDAD GESTACIONAL</v>
      </c>
      <c r="JO7" s="236">
        <v>44945</v>
      </c>
      <c r="JP7" s="31"/>
      <c r="JQ7" s="31"/>
      <c r="JR7" s="31"/>
      <c r="JS7" s="46" t="s">
        <v>893</v>
      </c>
      <c r="JT7" s="35">
        <v>44945</v>
      </c>
      <c r="JU7" s="35">
        <v>44945</v>
      </c>
      <c r="JV7" s="31"/>
      <c r="JW7" s="53"/>
      <c r="JX7" s="31" t="str">
        <f t="shared" si="63"/>
        <v/>
      </c>
      <c r="JY7" s="35"/>
      <c r="JZ7" s="31"/>
      <c r="KA7" s="31"/>
      <c r="KB7" s="31"/>
      <c r="KC7" s="46"/>
      <c r="KD7" s="35"/>
      <c r="KE7" s="35"/>
      <c r="KF7" s="50">
        <v>44953</v>
      </c>
      <c r="KG7" s="43">
        <f t="shared" si="64"/>
        <v>8</v>
      </c>
      <c r="KH7" s="50">
        <v>44953</v>
      </c>
      <c r="KI7" s="43">
        <f t="shared" si="65"/>
        <v>8</v>
      </c>
      <c r="KJ7" s="31" t="s">
        <v>875</v>
      </c>
      <c r="KK7" s="31" t="s">
        <v>875</v>
      </c>
      <c r="KL7" s="31" t="s">
        <v>875</v>
      </c>
      <c r="KM7" s="54">
        <v>44945</v>
      </c>
      <c r="KN7" s="43" t="s">
        <v>914</v>
      </c>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53"/>
      <c r="MQ7" s="148">
        <f t="shared" si="66"/>
        <v>0</v>
      </c>
      <c r="MR7" t="str">
        <f t="shared" si="67"/>
        <v/>
      </c>
      <c r="MS7" t="str">
        <f t="shared" si="68"/>
        <v/>
      </c>
      <c r="MT7">
        <f t="shared" si="69"/>
        <v>0</v>
      </c>
      <c r="MU7"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7">
        <f t="shared" si="70"/>
        <v>10</v>
      </c>
      <c r="MW7">
        <f t="shared" si="71"/>
        <v>6</v>
      </c>
      <c r="MX7">
        <f t="shared" si="72"/>
        <v>2022</v>
      </c>
      <c r="MY7" t="str">
        <f t="shared" si="73"/>
        <v>II TRIMESTRE AÑO</v>
      </c>
      <c r="MZ7">
        <f t="shared" si="74"/>
        <v>17.832895313184405</v>
      </c>
      <c r="NA7">
        <f t="shared" si="75"/>
        <v>0</v>
      </c>
      <c r="NB7" t="str">
        <f t="shared" si="76"/>
        <v>DE 14 A 19AÑOS</v>
      </c>
      <c r="NC7">
        <f t="shared" si="77"/>
        <v>0</v>
      </c>
      <c r="ND7">
        <f t="shared" si="78"/>
        <v>1</v>
      </c>
      <c r="NE7">
        <f t="shared" si="79"/>
        <v>0</v>
      </c>
      <c r="NF7">
        <f t="shared" si="80"/>
        <v>0</v>
      </c>
      <c r="NG7" t="str">
        <f t="shared" si="81"/>
        <v/>
      </c>
      <c r="NH7" t="str">
        <f t="shared" ca="1" si="82"/>
        <v/>
      </c>
      <c r="NI7" t="str">
        <f t="shared" si="83"/>
        <v/>
      </c>
      <c r="NJ7">
        <f t="shared" si="84"/>
        <v>0</v>
      </c>
      <c r="NK7" t="str">
        <f t="shared" si="85"/>
        <v>0</v>
      </c>
      <c r="NL7">
        <f t="shared" si="86"/>
        <v>0</v>
      </c>
      <c r="NM7">
        <f t="shared" ca="1" si="87"/>
        <v>1</v>
      </c>
      <c r="NN7" t="e">
        <f>IF(OR(O7&gt;0,R7&gt;0),SUM(COUNTIF(Tabla1[[#This Row],[AÑOS AL INICIO5 CPN]],"&gt;=40"),COUNTIF(AR7,"0"),COUNTIF(AQ7,"SI"),COUNTIF(BW7,"SI"),COUNTIF(BM7,"&gt;119"),COUNTIF(CC7,"&gt;=35")),"")</f>
        <v>#VALUE!</v>
      </c>
      <c r="NO7">
        <f t="shared" si="88"/>
        <v>22.285714285714285</v>
      </c>
      <c r="NP7">
        <f t="shared" si="89"/>
        <v>0</v>
      </c>
      <c r="NQ7">
        <f t="shared" si="90"/>
        <v>98</v>
      </c>
      <c r="NR7" t="e">
        <f ca="1">IF(Tabla1[[#This Row],[GESTANTES ACTUALES]]="","SD",IF(Tabla1[[#This Row],[GESTANTES ACTUALES]]="SEGUIMIENTO REPORTE EPS","Y",IF(Tabla1[[#This Row],[GESTANTES ACTUALES]]="SALE SIN INGRESO CPN","X",IF(AND(Tabla1[[#This Row],[CITA PROXIMO CONTROL]]="",Tabla1[[#This Row],[GESTANTES ACTUALES]]="ACTIVA SIN INGRESO CPN",P7="NO"),"Z",IF(AND(Tabla1[[#This Row],[CITA PROXIMO CONTROL]]="CITA MANUAL",Tabla1[[#This Row],[GESTANTES ACTUALES]]="ACTIVA INGRESO A CPN"),"W",IF(AND(Tabla1[[#This Row],[GESTANTES ACTUALES]]="SALIO PROGRAMA",IW7=""),"S",IF(AND(Tabla1[[#This Row],[CITA PROXIMO CONTROL]]&gt;0,IW7=""),(Tabla1[[#This Row],[CITA PROXIMO CONTROL]]-TODAY()),"SD")))))))</f>
        <v>#VALUE!</v>
      </c>
      <c r="NS7" t="e">
        <f>MONTH(Tabla1[[#This Row],[FECHA DE SALIDA  DEL PROGRAMA]])</f>
        <v>#VALUE!</v>
      </c>
      <c r="NT7" t="e">
        <f>YEAR(Tabla1[[#This Row],[FECHA DE SALIDA  DEL PROGRAMA]])</f>
        <v>#VALUE!</v>
      </c>
      <c r="NU7">
        <f t="shared" si="91"/>
        <v>33</v>
      </c>
      <c r="NV7" t="str">
        <f t="shared" si="92"/>
        <v>SI</v>
      </c>
      <c r="NW7" t="e">
        <f>IF(AND(O7&gt;0,R7=""),"NO CPN",IF(AND(O7="",R7=""),"",IF(AND(R7&gt;0,Tabla1[[#This Row],[SEMANAS DE GESTACION ACTUALIZADAS]]&lt;=12),"NO APLICA",IF(AND(FC7&lt;&gt;"",FI7&lt;&gt;""),"SI","NO"))))</f>
        <v>#VALUE!</v>
      </c>
      <c r="NX7" s="149" t="e">
        <f>IF(AND(O7&gt;0,R7=""),"NO CPN",IF(AND(O7="",R7=""),"",IF(AND(R7&gt;0,Tabla1[[#This Row],[SEMANAS DE GESTACION ACTUALIZADAS]]&lt;=27),"NO APLICA",IF(AND(EO7&lt;&gt;"",FL7&lt;&gt;"",GF7&lt;&gt;""),"SI","NO"))))</f>
        <v>#VALUE!</v>
      </c>
      <c r="NY7" s="147" t="str">
        <f t="shared" si="93"/>
        <v>II TRIM</v>
      </c>
      <c r="NZ7" s="1" t="str">
        <f>IF(AND(IY8&gt;0,IY8&lt;37),10,IF(OR(BX8="Transversa",BX8="Oblicua"),9,IF(BW8="SI",8,IF(AND(AS8=0,AV8=0,BW8="NO",BX8="Cefálica",IY8&gt;=37,JC8="INICIO ESPONTÁNEO"),1,IF(AND(AND(AS8=0,AV8=0,BW8="NO",BX8="Cefálica",IY8&gt;=37),OR(JC8="LE HACEN INDUCCIÓN",JC8="LE HACEN CESÁREA SIN INICIO TRABAJO DE PARTO")),2,IF(AND(AS8&gt;=1,AV8=0,BW8="NO",BX8="Cefálica",IY8&gt;=37,JC8="INICIO ESPONTÁNEO"),3,IF(AND(AND(AS8&gt;=1,AV8=0,BW8="NO",BX8="Cefálica",IY8&gt;=37),OR(JC8="LE HACEN INDUCCIÓN",JC8="LE HACEN CESÁREA SIN INICIO TRABAJO DE PARTO")),4,IF(AND(AND(AS8&gt;=1,AV8&gt;=1,BW8="NO",BX8="Cefálica",IY8&gt;=37),OR(JC8="LE HACEN INDUCCIÓN",JC8="LE HACEN CESÁREA SIN INICIO TRABAJO DE PARTO",JC8="INICIO ESPONTÁNEO")),5,IF(AND(AND(AS8=0,AV8=0,BW8="NO",BX8="Podálica",IY8&gt;=1),OR(JC8="LE HACEN INDUCCIÓN",JC8="LE HACEN CESÁREA SIN INICIO TRABAJO DE PARTO",JC8="INICIO ESPONTÁNEO")),6,IF(AND(AND(AS8&gt;=1,BW8="NO",BX8="Podálica",IY8&gt;=1),OR(JC8="LE HACEN INDUCCIÓN",JC8="LE HACEN CESÁREA SIN INICIO TRABAJO DE PARTO",JC8="INICIO ESPONTÁNEO"),OR(AV8=0,AV8&gt;=1)),7,""))))))))))</f>
        <v/>
      </c>
      <c r="OA7" s="1">
        <f t="shared" si="94"/>
        <v>3</v>
      </c>
      <c r="OB7" s="213">
        <f t="shared" ca="1" si="95"/>
        <v>3</v>
      </c>
      <c r="OC7" s="1">
        <f t="shared" ca="1" si="96"/>
        <v>3</v>
      </c>
      <c r="OD7" s="1" t="str">
        <f t="shared" ca="1" si="97"/>
        <v>COMPLETO</v>
      </c>
      <c r="OE7" s="1" t="str">
        <f t="shared" ca="1" si="98"/>
        <v>COMPLETO</v>
      </c>
      <c r="OF7" s="221" t="e">
        <f>IF(AND(O7="",R7=""),"",IF(OR(AND(Tabla1[[#This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7" s="230" t="str">
        <f t="shared" ca="1" si="99"/>
        <v>VACUNADA</v>
      </c>
      <c r="OH7" s="148" t="e">
        <f>ROW(Tabla1[[#This Row],[SEMANAS DE GESTACION II TRIM]])</f>
        <v>#VALUE!</v>
      </c>
      <c r="OI7" t="str">
        <f t="shared" si="131"/>
        <v/>
      </c>
      <c r="OJ7" t="str">
        <f t="shared" si="132"/>
        <v/>
      </c>
      <c r="OK7" t="str">
        <f t="shared" si="133"/>
        <v/>
      </c>
      <c r="OL7" t="str">
        <f t="shared" si="134"/>
        <v/>
      </c>
      <c r="OM7" t="str">
        <f t="shared" si="135"/>
        <v>BAJO PESO</v>
      </c>
      <c r="ON7" t="str">
        <f t="shared" si="136"/>
        <v/>
      </c>
      <c r="OO7" t="str">
        <f t="shared" si="137"/>
        <v/>
      </c>
      <c r="OP7" t="str">
        <f t="shared" si="138"/>
        <v/>
      </c>
      <c r="OQ7" t="str">
        <f t="shared" si="139"/>
        <v/>
      </c>
      <c r="OR7" t="str">
        <f t="shared" si="140"/>
        <v/>
      </c>
      <c r="OS7" t="str">
        <f t="shared" si="141"/>
        <v/>
      </c>
      <c r="OT7" t="str">
        <f t="shared" si="142"/>
        <v/>
      </c>
      <c r="OU7" t="str">
        <f t="shared" si="143"/>
        <v/>
      </c>
      <c r="OV7" t="str">
        <f t="shared" si="144"/>
        <v/>
      </c>
      <c r="OW7" t="str">
        <f t="shared" si="145"/>
        <v/>
      </c>
      <c r="OX7" t="str">
        <f t="shared" si="146"/>
        <v/>
      </c>
      <c r="OY7" t="str">
        <f t="shared" si="147"/>
        <v/>
      </c>
      <c r="OZ7" t="str">
        <f t="shared" si="148"/>
        <v>BAJO PESO</v>
      </c>
      <c r="PA7" t="str">
        <f t="shared" si="149"/>
        <v/>
      </c>
      <c r="PB7" t="str">
        <f t="shared" si="150"/>
        <v/>
      </c>
      <c r="PC7" t="str">
        <f t="shared" si="151"/>
        <v/>
      </c>
      <c r="PD7" t="str">
        <f t="shared" si="152"/>
        <v/>
      </c>
      <c r="PE7" t="str">
        <f t="shared" si="153"/>
        <v/>
      </c>
      <c r="PF7" t="str">
        <f t="shared" si="154"/>
        <v/>
      </c>
      <c r="PG7" t="str">
        <f t="shared" si="155"/>
        <v/>
      </c>
      <c r="PH7" t="str">
        <f t="shared" si="156"/>
        <v/>
      </c>
      <c r="PI7" t="str">
        <f t="shared" si="157"/>
        <v/>
      </c>
      <c r="PJ7" t="str">
        <f t="shared" si="158"/>
        <v/>
      </c>
      <c r="PK7" t="str">
        <f t="shared" si="159"/>
        <v/>
      </c>
      <c r="PL7"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7" s="162" t="str">
        <f t="shared" si="160"/>
        <v/>
      </c>
      <c r="PN7" s="161" t="e">
        <f t="shared" si="161"/>
        <v>#VALUE!</v>
      </c>
      <c r="PO7"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7" s="161" t="e">
        <f ca="1">IF(PO7="","",SUM(TODAY()-Tabla1[[#This Row],[Fecha 1ra Dosis Anti COVID-19]]))</f>
        <v>#VALUE!</v>
      </c>
      <c r="PQ7" s="219" t="str">
        <f>IFERROR(IF(Tabla1[[#This Row],[Fecha 1ra Dosis Anti COVID-19]]="","",IF(OR(AND(Tabla1[[#This Row],[Tipo Biológico Vacuna anti COVID-19 (Disentimiento)]]="Astrazeneca",PP7&lt;84),AND(Tabla1[[#This Row],[Tipo Biológico Vacuna anti COVID-19 (Disentimiento)]]="Pfizer",PP7&lt;21),AND(Tabla1[[#This Row],[Tipo Biológico Vacuna anti COVID-19 (Disentimiento)]]="Moderna",PP7&lt;21),AND(Tabla1[[#This Row],[Tipo Biológico Vacuna anti COVID-19 (Disentimiento)]]="Sinovac",PP7&lt;28)),"Pendiente Segunda Dosis",IF(OR(AND(Tabla1[[#This Row],[Tipo Biológico Vacuna anti COVID-19 (Disentimiento)]]="Astrazeneca",PP7&gt;=85),AND(Tabla1[[#This Row],[Tipo Biológico Vacuna anti COVID-19 (Disentimiento)]]="Pfizer",PP7&gt;=22),AND(Tabla1[[#This Row],[Tipo Biológico Vacuna anti COVID-19 (Disentimiento)]]="Moderna",PP7&gt;=22),AND(Tabla1[[#This Row],[Tipo Biológico Vacuna anti COVID-19 (Disentimiento)]]="Sinovac",PP7&gt;=29)),"inasistente",IF(OR(AND(Tabla1[[#This Row],[Tipo Biológico Vacuna anti COVID-19 (Disentimiento)]],"Astrazeneca",PP7=84),AND(Tabla1[[#This Row],[Tipo Biológico Vacuna anti COVID-19 (Disentimiento)]],"Pfizer",PP7=21),AND(Tabla1[[#This Row],[Tipo Biológico Vacuna anti COVID-19 (Disentimiento)]],"Moderna",PP7=21),AND(Tabla1[[#This Row],[Tipo Biológico Vacuna anti COVID-19 (Disentimiento)]],"Sinovac",PP7=28)),"Día vacunación1","")))),"Día de Vacunación")</f>
        <v>Día de Vacunación</v>
      </c>
    </row>
    <row r="8" spans="1:433" ht="39.950000000000003" customHeight="1" x14ac:dyDescent="0.25">
      <c r="A8" s="145" t="s">
        <v>869</v>
      </c>
      <c r="B8" s="68" t="s">
        <v>854</v>
      </c>
      <c r="C8" s="68" t="s">
        <v>855</v>
      </c>
      <c r="D8" s="187" t="s">
        <v>863</v>
      </c>
      <c r="E8" s="68" t="s">
        <v>870</v>
      </c>
      <c r="F8" s="68" t="s">
        <v>871</v>
      </c>
      <c r="G8" s="68" t="s">
        <v>872</v>
      </c>
      <c r="H8" s="68" t="s">
        <v>873</v>
      </c>
      <c r="I8" s="145" t="s">
        <v>867</v>
      </c>
      <c r="J8" s="146">
        <v>1061719887</v>
      </c>
      <c r="K8" s="68" t="s">
        <v>874</v>
      </c>
      <c r="L8" s="68" t="s">
        <v>868</v>
      </c>
      <c r="M8" s="35">
        <v>39245</v>
      </c>
      <c r="N8" s="38">
        <f t="shared" ca="1" si="0"/>
        <v>16.397260273972602</v>
      </c>
      <c r="O8" s="35">
        <v>44737</v>
      </c>
      <c r="P8" s="39" t="str">
        <f t="shared" si="1"/>
        <v>SI</v>
      </c>
      <c r="Q8" s="40" t="s">
        <v>876</v>
      </c>
      <c r="R8" s="35">
        <v>44737</v>
      </c>
      <c r="S8" s="31" t="s">
        <v>877</v>
      </c>
      <c r="T8" s="37" t="s">
        <v>800</v>
      </c>
      <c r="U8" s="31" t="s">
        <v>878</v>
      </c>
      <c r="V8" s="31" t="s">
        <v>879</v>
      </c>
      <c r="W8" s="31" t="s">
        <v>892</v>
      </c>
      <c r="X8" s="31" t="s">
        <v>892</v>
      </c>
      <c r="Y8" s="31" t="s">
        <v>888</v>
      </c>
      <c r="Z8" s="31">
        <v>3148325692</v>
      </c>
      <c r="AA8" s="31" t="s">
        <v>882</v>
      </c>
      <c r="AB8" s="41" t="s">
        <v>883</v>
      </c>
      <c r="AC8" s="40" t="s">
        <v>889</v>
      </c>
      <c r="AD8" s="55" t="s">
        <v>885</v>
      </c>
      <c r="AE8" s="40" t="s">
        <v>875</v>
      </c>
      <c r="AF8" s="40" t="s">
        <v>875</v>
      </c>
      <c r="AG8" s="36" t="s">
        <v>886</v>
      </c>
      <c r="AH8" s="36" t="s">
        <v>886</v>
      </c>
      <c r="AI8" s="37" t="s">
        <v>885</v>
      </c>
      <c r="AJ8" s="36" t="s">
        <v>886</v>
      </c>
      <c r="AK8" s="42" t="str">
        <f>IF(AND(AE8="",AF8="",AG8="",AH8="",AI8="",AJ8=""),"",IF(AND(OR(O8&gt;0,R8&gt;0),NP8&gt;=0,NP8&lt;2),"SIN RIESGO",IF(AND(OR(O8&gt;0,R8&gt;0),NP8&gt;=2),"CON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8" s="36" t="s">
        <v>886</v>
      </c>
      <c r="AM8" s="40" t="s">
        <v>886</v>
      </c>
      <c r="AN8" s="40" t="s">
        <v>886</v>
      </c>
      <c r="AO8" s="40" t="s">
        <v>886</v>
      </c>
      <c r="AP8" s="40" t="s">
        <v>886</v>
      </c>
      <c r="AQ8" s="40" t="s">
        <v>886</v>
      </c>
      <c r="AR8" s="31">
        <v>1</v>
      </c>
      <c r="AS8" s="31">
        <v>0</v>
      </c>
      <c r="AT8" s="31">
        <v>0</v>
      </c>
      <c r="AU8" s="40" t="s">
        <v>886</v>
      </c>
      <c r="AV8" s="31">
        <v>0</v>
      </c>
      <c r="AW8" s="40" t="s">
        <v>886</v>
      </c>
      <c r="AX8" s="40" t="s">
        <v>886</v>
      </c>
      <c r="AY8" s="40" t="s">
        <v>886</v>
      </c>
      <c r="AZ8" s="40" t="s">
        <v>886</v>
      </c>
      <c r="BA8" s="40" t="s">
        <v>886</v>
      </c>
      <c r="BB8" s="40" t="s">
        <v>886</v>
      </c>
      <c r="BC8" s="40" t="s">
        <v>886</v>
      </c>
      <c r="BD8" s="40" t="s">
        <v>886</v>
      </c>
      <c r="BE8" s="40" t="s">
        <v>886</v>
      </c>
      <c r="BF8" s="40" t="s">
        <v>886</v>
      </c>
      <c r="BG8" s="40" t="s">
        <v>886</v>
      </c>
      <c r="BH8" s="40" t="s">
        <v>886</v>
      </c>
      <c r="BI8" s="40" t="s">
        <v>886</v>
      </c>
      <c r="BJ8" s="35"/>
      <c r="BK8" s="35">
        <v>44667</v>
      </c>
      <c r="BL8" s="31" t="s">
        <v>875</v>
      </c>
      <c r="BM8" s="43">
        <f t="shared" si="2"/>
        <v>0</v>
      </c>
      <c r="BN8" s="57">
        <f t="shared" si="3"/>
        <v>44660.6</v>
      </c>
      <c r="BO8" s="44">
        <f t="shared" si="4"/>
        <v>10</v>
      </c>
      <c r="BP8" s="31" t="str">
        <f t="shared" si="5"/>
        <v>I TRIM</v>
      </c>
      <c r="BQ8" s="39" t="str">
        <f t="shared" ca="1" si="6"/>
        <v/>
      </c>
      <c r="BR8" s="35">
        <v>44774</v>
      </c>
      <c r="BS8" s="43">
        <v>16.2</v>
      </c>
      <c r="BT8" s="35"/>
      <c r="BU8" s="31"/>
      <c r="BV8" s="40" t="s">
        <v>886</v>
      </c>
      <c r="BW8" s="40" t="s">
        <v>886</v>
      </c>
      <c r="BX8" s="40" t="s">
        <v>887</v>
      </c>
      <c r="BY8" s="40" t="s">
        <v>887</v>
      </c>
      <c r="BZ8" s="35">
        <v>44737</v>
      </c>
      <c r="CA8" s="31">
        <v>1.53</v>
      </c>
      <c r="CB8" s="31">
        <v>58</v>
      </c>
      <c r="CC8" s="39">
        <f t="shared" si="7"/>
        <v>24.776795249690291</v>
      </c>
      <c r="CD8" s="45" t="str">
        <f t="shared" si="8"/>
        <v>NORMAL</v>
      </c>
      <c r="CE8" s="35">
        <v>44803</v>
      </c>
      <c r="CF8" s="31">
        <v>51</v>
      </c>
      <c r="CG8" s="39">
        <f t="shared" si="9"/>
        <v>21.786492374727668</v>
      </c>
      <c r="CH8" s="31">
        <f t="shared" si="10"/>
        <v>19</v>
      </c>
      <c r="CI8" s="31" t="e">
        <f>IF(OR(CH8="",CH8="NA"),"",IF(AND(CH8&gt;=29,CH8&lt;=42),"REGISTRAR EN III TRIM",IF(AND(CH8&gt;0,CH8&lt;=13),"REGISTRAR EN I TRIM",IF(CH8="REVISAR FUM O FECHA PESO","REVISAR",IF(CH8&gt;0,HLOOKUP(CH8,$OI$1:PK8,OH8),"")))))</f>
        <v>#REF!</v>
      </c>
      <c r="CJ8" s="35">
        <v>44897</v>
      </c>
      <c r="CK8" s="31">
        <v>58</v>
      </c>
      <c r="CL8" s="39">
        <f t="shared" si="11"/>
        <v>24.776795249690291</v>
      </c>
      <c r="CM8" s="31">
        <f t="shared" si="12"/>
        <v>32</v>
      </c>
      <c r="CN8" s="31" t="e">
        <f>IF(OR(CM8="",CM8="NA"),"",IF(AND(CM8&gt;0,CM8&lt;=28),"REGISTRAR EN  TRIM RESPECTIVO",IF(CM8&gt;0,HLOOKUP(CM8,$OI$1:PK8,OH8),"")))</f>
        <v>#REF!</v>
      </c>
      <c r="CO8" s="31" t="e">
        <f t="shared" si="13"/>
        <v>#REF!</v>
      </c>
      <c r="CP8" s="31">
        <v>110</v>
      </c>
      <c r="CQ8" s="31">
        <v>70</v>
      </c>
      <c r="CR8" s="37" t="str">
        <f t="shared" si="14"/>
        <v>APARENTEMENTE NORMAL</v>
      </c>
      <c r="CS8" s="31">
        <v>100</v>
      </c>
      <c r="CT8" s="31">
        <v>70</v>
      </c>
      <c r="CU8" s="37" t="str">
        <f t="shared" si="15"/>
        <v>VIGILAR CIFRAS PRESION ARTERIAL</v>
      </c>
      <c r="CV8" s="31">
        <v>110</v>
      </c>
      <c r="CW8" s="31">
        <v>70</v>
      </c>
      <c r="CX8" s="31">
        <v>110</v>
      </c>
      <c r="CY8" s="31">
        <v>60</v>
      </c>
      <c r="CZ8" s="37" t="str">
        <f t="shared" si="16"/>
        <v>APARENTEMENTE NORMAL</v>
      </c>
      <c r="DA8" s="35">
        <v>44737</v>
      </c>
      <c r="DB8" s="35">
        <v>44737</v>
      </c>
      <c r="DC8" s="35">
        <v>44770</v>
      </c>
      <c r="DD8" s="35">
        <v>44803</v>
      </c>
      <c r="DE8" s="35">
        <v>44835</v>
      </c>
      <c r="DF8" s="35">
        <v>44866</v>
      </c>
      <c r="DG8" s="35">
        <v>44897</v>
      </c>
      <c r="DH8" s="35">
        <v>44930</v>
      </c>
      <c r="DI8" s="35"/>
      <c r="DJ8" s="35"/>
      <c r="DK8" s="35"/>
      <c r="DL8" s="35"/>
      <c r="DM8" s="35"/>
      <c r="DN8" s="35"/>
      <c r="DO8" s="43"/>
      <c r="DP8" s="35"/>
      <c r="DQ8" s="31" t="str">
        <f t="shared" ca="1" si="17"/>
        <v>SALE SIN PLAN DE PARTO</v>
      </c>
      <c r="DR8" s="46" t="str">
        <f t="shared" si="18"/>
        <v>SALIO PROGRAMA</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8" s="31" t="e">
        <f t="shared" ca="1" si="19"/>
        <v>#VALUE!</v>
      </c>
      <c r="DU8" s="35" t="e">
        <f>IF(R8="","",IF(R8&gt;0,MAX(Tabla1[[#This Row],[FECHA C2]:[FECHA C13]],Tabla1[[#This Row],[FECHA CONSULTA PRIMERA VEZ PROGRAMA CPN ]])))</f>
        <v>#VALUE!</v>
      </c>
      <c r="DV8" s="31" t="e">
        <f t="shared" si="20"/>
        <v>#VALUE!</v>
      </c>
      <c r="DW8" s="43">
        <f>IF(R8&gt;0,SUM(COUNTA(DC8:DN8)+COUNTA(Tabla1[[#This Row],[FECHA CONSULTA PRIMERA VEZ PROGRAMA CPN ]])),"")</f>
        <v>7</v>
      </c>
      <c r="DX8" s="43" t="str">
        <f t="shared" si="21"/>
        <v>SI</v>
      </c>
      <c r="DY8" s="39">
        <f t="shared" si="22"/>
        <v>9</v>
      </c>
      <c r="DZ8" s="47">
        <f t="shared" si="23"/>
        <v>0.77777777777777779</v>
      </c>
      <c r="EA8" s="35">
        <v>44737</v>
      </c>
      <c r="EB8" s="35">
        <v>44737</v>
      </c>
      <c r="EC8" s="35">
        <v>44737</v>
      </c>
      <c r="ED8" s="35">
        <v>44765</v>
      </c>
      <c r="EE8" s="35">
        <v>44737</v>
      </c>
      <c r="EF8" s="35">
        <v>44774</v>
      </c>
      <c r="EG8" s="35"/>
      <c r="EH8" s="31">
        <v>1</v>
      </c>
      <c r="EI8" s="31">
        <v>13</v>
      </c>
      <c r="EJ8" s="35">
        <v>44737</v>
      </c>
      <c r="EK8" s="43">
        <f t="shared" si="24"/>
        <v>10</v>
      </c>
      <c r="EL8" s="39" t="str">
        <f t="shared" si="25"/>
        <v>NORMAL- SUMINISTRAR SULFATO FERROSO</v>
      </c>
      <c r="EM8" s="31" t="str">
        <f t="shared" si="26"/>
        <v>I TRIM</v>
      </c>
      <c r="EN8" s="37">
        <v>14</v>
      </c>
      <c r="EO8" s="35">
        <v>44866</v>
      </c>
      <c r="EP8" s="44">
        <f t="shared" si="27"/>
        <v>28.428571428571427</v>
      </c>
      <c r="EQ8" s="39" t="str">
        <f t="shared" si="28"/>
        <v>NO DAR SULFATO FERROSO</v>
      </c>
      <c r="ER8" s="37" t="s">
        <v>893</v>
      </c>
      <c r="ES8" s="35">
        <v>44737</v>
      </c>
      <c r="ET8" s="44">
        <f t="shared" si="29"/>
        <v>10</v>
      </c>
      <c r="EU8" s="39" t="str">
        <f t="shared" si="30"/>
        <v>NO HAY RIESGO POR RH</v>
      </c>
      <c r="EV8" s="31">
        <v>94</v>
      </c>
      <c r="EW8" s="35">
        <v>44737</v>
      </c>
      <c r="EX8" s="44">
        <f t="shared" si="31"/>
        <v>10</v>
      </c>
      <c r="EY8" s="44">
        <v>69</v>
      </c>
      <c r="EZ8" s="44">
        <v>110</v>
      </c>
      <c r="FA8" s="44">
        <v>70</v>
      </c>
      <c r="FB8" s="31" t="str">
        <f t="shared" ca="1" si="32"/>
        <v>NORMAL</v>
      </c>
      <c r="FC8" s="48">
        <v>44835</v>
      </c>
      <c r="FD8" s="44">
        <f t="shared" si="33"/>
        <v>24</v>
      </c>
      <c r="FE8" s="35" t="s">
        <v>894</v>
      </c>
      <c r="FF8" s="35">
        <v>44737</v>
      </c>
      <c r="FG8" s="44">
        <f t="shared" ca="1" si="34"/>
        <v>10</v>
      </c>
      <c r="FH8" s="35" t="s">
        <v>894</v>
      </c>
      <c r="FI8" s="49">
        <v>44803</v>
      </c>
      <c r="FJ8" s="44">
        <f t="shared" ca="1" si="35"/>
        <v>19.428571428571427</v>
      </c>
      <c r="FK8" s="35"/>
      <c r="FL8" s="49"/>
      <c r="FM8" s="44" t="str">
        <f t="shared" ca="1" si="36"/>
        <v>PIERDE TOMA DE TAMIZAJE</v>
      </c>
      <c r="FN8" s="35"/>
      <c r="FO8" s="49"/>
      <c r="FP8" s="44" t="e">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8" s="31" t="s">
        <v>801</v>
      </c>
      <c r="FR8" s="35">
        <v>44737</v>
      </c>
      <c r="FS8" s="44">
        <f t="shared" si="37"/>
        <v>10</v>
      </c>
      <c r="FT8" s="43" t="s">
        <v>895</v>
      </c>
      <c r="FU8" s="35">
        <v>44737</v>
      </c>
      <c r="FV8" s="44">
        <f t="shared" si="38"/>
        <v>10</v>
      </c>
      <c r="FW8" s="35">
        <v>44737</v>
      </c>
      <c r="FX8" s="35">
        <v>44737</v>
      </c>
      <c r="FY8" s="35" t="s">
        <v>896</v>
      </c>
      <c r="FZ8" s="35">
        <v>44737</v>
      </c>
      <c r="GA8" s="44">
        <f t="shared" ca="1" si="39"/>
        <v>10</v>
      </c>
      <c r="GB8" s="35" t="s">
        <v>896</v>
      </c>
      <c r="GC8" s="35">
        <v>44803</v>
      </c>
      <c r="GD8" s="44">
        <f t="shared" ca="1" si="40"/>
        <v>19.428571428571427</v>
      </c>
      <c r="GE8" s="35"/>
      <c r="GF8" s="35"/>
      <c r="GG8" s="44" t="str">
        <f t="shared" ca="1" si="41"/>
        <v>PIERDE TOMA DE TAMIZAJE</v>
      </c>
      <c r="GH8" s="35"/>
      <c r="GI8" s="44"/>
      <c r="GJ8" s="35" t="s">
        <v>883</v>
      </c>
      <c r="GK8" s="35"/>
      <c r="GL8" s="35" t="s">
        <v>883</v>
      </c>
      <c r="GM8" s="35"/>
      <c r="GN8" s="43" t="s">
        <v>895</v>
      </c>
      <c r="GO8" s="35">
        <v>44737</v>
      </c>
      <c r="GP8" s="44">
        <f t="shared" si="42"/>
        <v>10</v>
      </c>
      <c r="GQ8" s="43" t="s">
        <v>895</v>
      </c>
      <c r="GR8" s="43" t="s">
        <v>895</v>
      </c>
      <c r="GS8" s="35" t="str">
        <f t="shared" si="43"/>
        <v>CONTROL Igm</v>
      </c>
      <c r="GT8" s="35">
        <v>44737</v>
      </c>
      <c r="GU8" s="44">
        <f t="shared" si="44"/>
        <v>10</v>
      </c>
      <c r="GV8" s="31" t="str">
        <f t="shared" si="45"/>
        <v>I TRIM</v>
      </c>
      <c r="GW8" s="43" t="s">
        <v>895</v>
      </c>
      <c r="GX8" s="46">
        <v>5</v>
      </c>
      <c r="GY8" s="31"/>
      <c r="GZ8" s="35"/>
      <c r="HA8" s="43" t="str">
        <f t="shared" si="46"/>
        <v/>
      </c>
      <c r="HB8" s="31" t="str">
        <f t="shared" si="47"/>
        <v/>
      </c>
      <c r="HC8" s="31" t="str">
        <f t="shared" si="48"/>
        <v/>
      </c>
      <c r="HD8" s="31" t="s">
        <v>897</v>
      </c>
      <c r="HE8" s="31"/>
      <c r="HF8" s="31" t="s">
        <v>898</v>
      </c>
      <c r="HG8" s="31"/>
      <c r="HH8" s="31" t="s">
        <v>899</v>
      </c>
      <c r="HI8" s="31">
        <v>0</v>
      </c>
      <c r="HJ8" s="35" t="s">
        <v>900</v>
      </c>
      <c r="HK8" s="35" t="e">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8" s="35" t="e">
        <f t="shared" si="49"/>
        <v>#REF!</v>
      </c>
      <c r="HM8" s="35" t="e">
        <f t="shared" si="50"/>
        <v>#VALUE!</v>
      </c>
      <c r="HN8" s="31" t="e">
        <f t="shared" ca="1" si="51"/>
        <v>#VALUE!</v>
      </c>
      <c r="HO8" s="31" t="e">
        <f t="shared" si="52"/>
        <v>#VALUE!</v>
      </c>
      <c r="HP8" s="37" t="str">
        <f t="shared" si="53"/>
        <v>APARENTEMENTE NORMAL</v>
      </c>
      <c r="HQ8" s="31" t="e">
        <f t="shared" ca="1" si="54"/>
        <v>#VALUE!</v>
      </c>
      <c r="HR8" s="46" t="str">
        <f t="shared" si="55"/>
        <v>SALIO PROGRAMA</v>
      </c>
      <c r="HS8" s="31" t="s">
        <v>875</v>
      </c>
      <c r="HT8" s="31" t="s">
        <v>883</v>
      </c>
      <c r="HU8" s="35">
        <v>44866</v>
      </c>
      <c r="HV8" s="35" t="s">
        <v>901</v>
      </c>
      <c r="HW8" s="35">
        <v>44835</v>
      </c>
      <c r="HX8" s="35" t="s">
        <v>901</v>
      </c>
      <c r="HY8" s="35">
        <v>44866</v>
      </c>
      <c r="HZ8" s="35" t="s">
        <v>901</v>
      </c>
      <c r="IA8" s="40" t="s">
        <v>887</v>
      </c>
      <c r="IB8" s="35">
        <v>44737</v>
      </c>
      <c r="IC8" s="43">
        <f t="shared" si="56"/>
        <v>10</v>
      </c>
      <c r="ID8" s="40" t="s">
        <v>875</v>
      </c>
      <c r="IE8" s="40" t="s">
        <v>902</v>
      </c>
      <c r="IF8" s="35"/>
      <c r="IG8" s="35"/>
      <c r="IH8" s="171"/>
      <c r="II8" s="171"/>
      <c r="IJ8" s="171"/>
      <c r="IK8" s="37" t="e">
        <f>IF(AND(BK8="",PM8="SD"),"SIN DATO EDAD GESTACIONAL",IF(AND(BK8="",PN8=""),"",IF(AND(AND(BQ8&gt;0,BQ8&lt;12),PN8=""),"MENOR 12 SEMANAS",IF(AND(BQ8&gt;11.6,PN8="",HJ8="BAJO RIESGO O SE DESCARTA INFECCIÓN POR SARS-CoV2"),"PROGRAMAR APLICACION DE VACUNA",IF(OR(AND(BQ8&gt;11.6,PN8=""),HJ8="FACTOR DE RIESGO PARA COVID19",HJ8="COVID19 PRIMER TRIMESTRE",HJ8="COVID19 SEGUNDO TRIMESTRE",HJ8="COVID19 TERCER TRIMESTRE",HJ8="COVID19 PUERPERIO"),"DIFERIR FECHA DE VACUNACION SEGÚN LINEAMIENTOS",IF(AND(BQ8&gt;11.6,PN8="Error Jansen X Fecha Segunda Dosis"),"Error Jansen X Fecha Segunda Dosis",IF(AND(BQ8&gt;11.6,PN8="Firma"),"FIRMA DISENTIMIENTO",IF(AND(BQ8&gt;11.6,PN8="Firma3"),"NO ACEPTA VACUNA Y NO FIRMA DISCENTIMIENTO",IF(AND(BQ8&gt;11.6,PN8="Firma2"),"Error en Fecha x Firma Disentimiento",IF(AND(BQ8&gt;11.6,PN8="Firma4"),"Error en Fecha x No Acepta no Firma",IF(AND(BQ8&gt;11.6,PN8="Completo",Tabla1[[#This Row],[Fecha Refuerzo Anti COVID-20]]=""),"PENDIENTE REFUERZO",IF(AND(BQ8&gt;11.6,PN8="Completo",Tabla1[[#This Row],[Fecha Refuerzo Anti COVID-20]]&lt;&gt;""),"CON REFUERZO",IF(AND(BQ8&gt;11.6,PN8="Falta Dosis"),PQ8,IF(OR(AND(BQ8&gt;11.6,PN8=""),HJ8="",HJ8="NO SE EVALUA RIESGO INFECCIÓN COVID19"),"DEFINIR RIESGO CONTAGIO SARS-CoV2, columna GZ",""))))))))))))))</f>
        <v>#VALUE!</v>
      </c>
      <c r="IL8" s="171">
        <v>44803</v>
      </c>
      <c r="IM8" s="35">
        <v>44803</v>
      </c>
      <c r="IN8" s="35" t="str">
        <f t="shared" ca="1" si="57"/>
        <v>VACUNA APLICADA ENTRE SEMANA 20 Y SEMANA 26</v>
      </c>
      <c r="IO8" s="35"/>
      <c r="IP8" s="35">
        <f t="shared" si="58"/>
        <v>44947</v>
      </c>
      <c r="IQ8" s="44">
        <f t="shared" ca="1" si="59"/>
        <v>-283</v>
      </c>
      <c r="IR8" s="35" t="str">
        <f t="shared" ca="1" si="60"/>
        <v>POSIBLEMENTE NACIO</v>
      </c>
      <c r="IS8" s="35"/>
      <c r="IT8" s="31" t="s">
        <v>915</v>
      </c>
      <c r="IU8" s="31" t="s">
        <v>905</v>
      </c>
      <c r="IV8" s="51" t="s">
        <v>916</v>
      </c>
      <c r="IW8" s="35">
        <v>44935</v>
      </c>
      <c r="IX8" s="31" t="s">
        <v>907</v>
      </c>
      <c r="IY8" s="44">
        <f t="shared" si="61"/>
        <v>38.285714285714285</v>
      </c>
      <c r="IZ8" s="52" t="s">
        <v>908</v>
      </c>
      <c r="JA8" s="31" t="s">
        <v>909</v>
      </c>
      <c r="JB8" s="31" t="s">
        <v>910</v>
      </c>
      <c r="JC8" s="31" t="s">
        <v>917</v>
      </c>
      <c r="JD8" s="31" t="s">
        <v>875</v>
      </c>
      <c r="JE8" s="31" t="s">
        <v>875</v>
      </c>
      <c r="JF8" s="31"/>
      <c r="JG8" s="31" t="s">
        <v>875</v>
      </c>
      <c r="JH8" s="31" t="s">
        <v>875</v>
      </c>
      <c r="JI8" s="31"/>
      <c r="JJ8" s="31" t="s">
        <v>918</v>
      </c>
      <c r="JK8" s="46">
        <v>1</v>
      </c>
      <c r="JL8" s="31" t="s">
        <v>919</v>
      </c>
      <c r="JM8" s="53">
        <v>2564</v>
      </c>
      <c r="JN8" s="31" t="str">
        <f t="shared" si="62"/>
        <v>PESO ADECUADO EDAD GESTACIONAL</v>
      </c>
      <c r="JO8" s="236">
        <v>44935</v>
      </c>
      <c r="JP8" s="31"/>
      <c r="JQ8" s="31"/>
      <c r="JR8" s="31"/>
      <c r="JS8" s="46" t="s">
        <v>893</v>
      </c>
      <c r="JT8" s="35">
        <v>44935</v>
      </c>
      <c r="JU8" s="35">
        <v>44935</v>
      </c>
      <c r="JV8" s="31"/>
      <c r="JW8" s="53"/>
      <c r="JX8" s="31" t="str">
        <f t="shared" si="63"/>
        <v/>
      </c>
      <c r="JY8" s="35"/>
      <c r="JZ8" s="31"/>
      <c r="KA8" s="31"/>
      <c r="KB8" s="31"/>
      <c r="KC8" s="46"/>
      <c r="KD8" s="35"/>
      <c r="KE8" s="35"/>
      <c r="KF8" s="50">
        <v>44942</v>
      </c>
      <c r="KG8" s="43">
        <f t="shared" si="64"/>
        <v>7</v>
      </c>
      <c r="KH8" s="50">
        <v>44942</v>
      </c>
      <c r="KI8" s="43">
        <f t="shared" si="65"/>
        <v>7</v>
      </c>
      <c r="KJ8" s="31" t="s">
        <v>875</v>
      </c>
      <c r="KK8" s="31" t="s">
        <v>875</v>
      </c>
      <c r="KL8" s="31" t="s">
        <v>875</v>
      </c>
      <c r="KM8" s="54">
        <v>44935</v>
      </c>
      <c r="KN8" s="43" t="s">
        <v>914</v>
      </c>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53"/>
      <c r="MQ8" s="148">
        <f t="shared" si="66"/>
        <v>0</v>
      </c>
      <c r="MR8" t="str">
        <f t="shared" si="67"/>
        <v/>
      </c>
      <c r="MS8" t="str">
        <f t="shared" si="68"/>
        <v/>
      </c>
      <c r="MT8">
        <f t="shared" si="69"/>
        <v>0</v>
      </c>
      <c r="MU8"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8">
        <f t="shared" si="70"/>
        <v>10</v>
      </c>
      <c r="MW8">
        <f t="shared" si="71"/>
        <v>6</v>
      </c>
      <c r="MX8">
        <f t="shared" si="72"/>
        <v>2022</v>
      </c>
      <c r="MY8" t="str">
        <f t="shared" si="73"/>
        <v>II TRIMESTRE AÑO</v>
      </c>
      <c r="MZ8">
        <f t="shared" si="74"/>
        <v>14.818769163381516</v>
      </c>
      <c r="NA8">
        <f t="shared" si="75"/>
        <v>1</v>
      </c>
      <c r="NB8" t="str">
        <f t="shared" si="76"/>
        <v>DE 14 A 19AÑOS</v>
      </c>
      <c r="NC8">
        <f t="shared" si="77"/>
        <v>0</v>
      </c>
      <c r="ND8">
        <f t="shared" si="78"/>
        <v>1</v>
      </c>
      <c r="NE8">
        <f t="shared" si="79"/>
        <v>0</v>
      </c>
      <c r="NF8">
        <f t="shared" si="80"/>
        <v>0</v>
      </c>
      <c r="NG8" t="str">
        <f t="shared" si="81"/>
        <v/>
      </c>
      <c r="NH8" t="str">
        <f t="shared" ca="1" si="82"/>
        <v/>
      </c>
      <c r="NI8" t="str">
        <f t="shared" si="83"/>
        <v/>
      </c>
      <c r="NJ8">
        <f t="shared" si="84"/>
        <v>0</v>
      </c>
      <c r="NK8" t="str">
        <f t="shared" si="85"/>
        <v>0</v>
      </c>
      <c r="NL8">
        <f t="shared" si="86"/>
        <v>0</v>
      </c>
      <c r="NM8">
        <f t="shared" ca="1" si="87"/>
        <v>2</v>
      </c>
      <c r="NN8" t="e">
        <f>IF(OR(O8&gt;0,R8&gt;0),SUM(COUNTIF(Tabla1[[#This Row],[AÑOS AL INICIO5 CPN]],"&gt;=40"),COUNTIF(AR8,"0"),COUNTIF(AQ8,"SI"),COUNTIF(BW8,"SI"),COUNTIF(BM8,"&gt;119"),COUNTIF(CC8,"&gt;=35")),"")</f>
        <v>#VALUE!</v>
      </c>
      <c r="NO8">
        <f t="shared" si="88"/>
        <v>19.428571428571427</v>
      </c>
      <c r="NP8">
        <f t="shared" si="89"/>
        <v>0</v>
      </c>
      <c r="NQ8">
        <f t="shared" si="90"/>
        <v>113.39999999999999</v>
      </c>
      <c r="NR8" t="e">
        <f ca="1">IF(Tabla1[[#This Row],[GESTANTES ACTUALES]]="","SD",IF(Tabla1[[#This Row],[GESTANTES ACTUALES]]="SEGUIMIENTO REPORTE EPS","Y",IF(Tabla1[[#This Row],[GESTANTES ACTUALES]]="SALE SIN INGRESO CPN","X",IF(AND(Tabla1[[#This Row],[CITA PROXIMO CONTROL]]="",Tabla1[[#This Row],[GESTANTES ACTUALES]]="ACTIVA SIN INGRESO CPN",P8="NO"),"Z",IF(AND(Tabla1[[#This Row],[CITA PROXIMO CONTROL]]="CITA MANUAL",Tabla1[[#This Row],[GESTANTES ACTUALES]]="ACTIVA INGRESO A CPN"),"W",IF(AND(Tabla1[[#This Row],[GESTANTES ACTUALES]]="SALIO PROGRAMA",IW8=""),"S",IF(AND(Tabla1[[#This Row],[CITA PROXIMO CONTROL]]&gt;0,IW8=""),(Tabla1[[#This Row],[CITA PROXIMO CONTROL]]-TODAY()),"SD")))))))</f>
        <v>#VALUE!</v>
      </c>
      <c r="NS8" t="e">
        <f>MONTH(Tabla1[[#This Row],[FECHA DE SALIDA  DEL PROGRAMA]])</f>
        <v>#VALUE!</v>
      </c>
      <c r="NT8" t="e">
        <f>YEAR(Tabla1[[#This Row],[FECHA DE SALIDA  DEL PROGRAMA]])</f>
        <v>#VALUE!</v>
      </c>
      <c r="NU8">
        <f t="shared" si="91"/>
        <v>37</v>
      </c>
      <c r="NV8" t="str">
        <f t="shared" si="92"/>
        <v>SI</v>
      </c>
      <c r="NW8" t="e">
        <f>IF(AND(O8&gt;0,R8=""),"NO CPN",IF(AND(O8="",R8=""),"",IF(AND(R8&gt;0,Tabla1[[#This Row],[SEMANAS DE GESTACION ACTUALIZADAS]]&lt;=12),"NO APLICA",IF(AND(FC8&lt;&gt;"",FI8&lt;&gt;""),"SI","NO"))))</f>
        <v>#VALUE!</v>
      </c>
      <c r="NX8" s="149" t="e">
        <f>IF(AND(O8&gt;0,R8=""),"NO CPN",IF(AND(O8="",R8=""),"",IF(AND(R8&gt;0,Tabla1[[#This Row],[SEMANAS DE GESTACION ACTUALIZADAS]]&lt;=27),"NO APLICA",IF(AND(EO8&lt;&gt;"",FL8&lt;&gt;"",GF8&lt;&gt;""),"SI","NO"))))</f>
        <v>#VALUE!</v>
      </c>
      <c r="NY8" s="147" t="str">
        <f t="shared" si="93"/>
        <v>II TRIM</v>
      </c>
      <c r="NZ8"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8" s="1">
        <f t="shared" si="94"/>
        <v>3</v>
      </c>
      <c r="OB8" s="213">
        <f t="shared" ca="1" si="95"/>
        <v>2</v>
      </c>
      <c r="OC8" s="1">
        <f t="shared" ca="1" si="96"/>
        <v>2</v>
      </c>
      <c r="OD8" s="1" t="str">
        <f t="shared" ca="1" si="97"/>
        <v>INCOMPLETO</v>
      </c>
      <c r="OE8" s="1" t="str">
        <f t="shared" ca="1" si="98"/>
        <v>INCOMPLETO</v>
      </c>
      <c r="OF8" s="221" t="e">
        <f>IF(AND(O8="",R8=""),"",IF(OR(AND(Tabla1[[#This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8" s="230" t="str">
        <f t="shared" ca="1" si="99"/>
        <v>VACUNADA</v>
      </c>
      <c r="OH8" s="148" t="e">
        <f>ROW(Tabla1[[#This Row],[SEMANAS DE GESTACION II TRIM]])</f>
        <v>#VALUE!</v>
      </c>
      <c r="OI8" t="str">
        <f t="shared" si="131"/>
        <v/>
      </c>
      <c r="OJ8" t="str">
        <f t="shared" si="132"/>
        <v/>
      </c>
      <c r="OK8" t="str">
        <f t="shared" si="133"/>
        <v/>
      </c>
      <c r="OL8" t="str">
        <f t="shared" si="134"/>
        <v/>
      </c>
      <c r="OM8" t="str">
        <f t="shared" si="135"/>
        <v/>
      </c>
      <c r="ON8" t="str">
        <f t="shared" si="136"/>
        <v>NORMAL</v>
      </c>
      <c r="OO8" t="str">
        <f t="shared" si="137"/>
        <v/>
      </c>
      <c r="OP8" t="str">
        <f t="shared" si="138"/>
        <v/>
      </c>
      <c r="OQ8" t="str">
        <f t="shared" si="139"/>
        <v/>
      </c>
      <c r="OR8" t="str">
        <f t="shared" si="140"/>
        <v/>
      </c>
      <c r="OS8" t="str">
        <f t="shared" si="141"/>
        <v/>
      </c>
      <c r="OT8" t="str">
        <f t="shared" si="142"/>
        <v/>
      </c>
      <c r="OU8" t="str">
        <f t="shared" si="143"/>
        <v/>
      </c>
      <c r="OV8" t="str">
        <f t="shared" si="144"/>
        <v/>
      </c>
      <c r="OW8" t="str">
        <f t="shared" si="145"/>
        <v/>
      </c>
      <c r="OX8" t="str">
        <f t="shared" si="146"/>
        <v/>
      </c>
      <c r="OY8" t="str">
        <f t="shared" si="147"/>
        <v/>
      </c>
      <c r="OZ8" t="str">
        <f t="shared" si="148"/>
        <v/>
      </c>
      <c r="PA8" t="str">
        <f t="shared" si="149"/>
        <v>NORMAL</v>
      </c>
      <c r="PB8" t="str">
        <f t="shared" si="150"/>
        <v/>
      </c>
      <c r="PC8" t="str">
        <f t="shared" si="151"/>
        <v/>
      </c>
      <c r="PD8" t="str">
        <f t="shared" si="152"/>
        <v/>
      </c>
      <c r="PE8" t="str">
        <f t="shared" si="153"/>
        <v/>
      </c>
      <c r="PF8" t="str">
        <f t="shared" si="154"/>
        <v/>
      </c>
      <c r="PG8" t="str">
        <f t="shared" si="155"/>
        <v/>
      </c>
      <c r="PH8" t="str">
        <f t="shared" si="156"/>
        <v/>
      </c>
      <c r="PI8" t="str">
        <f t="shared" si="157"/>
        <v/>
      </c>
      <c r="PJ8" t="str">
        <f t="shared" si="158"/>
        <v/>
      </c>
      <c r="PK8" t="str">
        <f t="shared" si="159"/>
        <v/>
      </c>
      <c r="PL8"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8" s="162" t="str">
        <f t="shared" si="160"/>
        <v/>
      </c>
      <c r="PN8" s="161" t="e">
        <f t="shared" si="161"/>
        <v>#VALUE!</v>
      </c>
      <c r="PO8"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8" s="161" t="e">
        <f ca="1">IF(PO8="","",SUM(TODAY()-Tabla1[[#This Row],[Fecha 1ra Dosis Anti COVID-19]]))</f>
        <v>#VALUE!</v>
      </c>
      <c r="PQ8" s="168" t="str">
        <f>IFERROR(IF(Tabla1[[#This Row],[Fecha 1ra Dosis Anti COVID-19]]="","",IF(OR(AND(Tabla1[[#This Row],[Tipo Biológico Vacuna anti COVID-19 (Disentimiento)]]="Astrazeneca",PP8&lt;84),AND(Tabla1[[#This Row],[Tipo Biológico Vacuna anti COVID-19 (Disentimiento)]]="Pfizer",PP8&lt;21),AND(Tabla1[[#This Row],[Tipo Biológico Vacuna anti COVID-19 (Disentimiento)]]="Moderna",PP8&lt;21),AND(Tabla1[[#This Row],[Tipo Biológico Vacuna anti COVID-19 (Disentimiento)]]="Sinovac",PP8&lt;28)),"Pendiente Segunda Dosis",IF(OR(AND(Tabla1[[#This Row],[Tipo Biológico Vacuna anti COVID-19 (Disentimiento)]]="Astrazeneca",PP8&gt;=85),AND(Tabla1[[#This Row],[Tipo Biológico Vacuna anti COVID-19 (Disentimiento)]]="Pfizer",PP8&gt;=22),AND(Tabla1[[#This Row],[Tipo Biológico Vacuna anti COVID-19 (Disentimiento)]]="Moderna",PP8&gt;=22),AND(Tabla1[[#This Row],[Tipo Biológico Vacuna anti COVID-19 (Disentimiento)]]="Sinovac",PP8&gt;=29)),"inasistente",IF(OR(AND(Tabla1[[#This Row],[Tipo Biológico Vacuna anti COVID-19 (Disentimiento)]],"Astrazeneca",PP8=84),AND(Tabla1[[#This Row],[Tipo Biológico Vacuna anti COVID-19 (Disentimiento)]],"Pfizer",PP8=21),AND(Tabla1[[#This Row],[Tipo Biológico Vacuna anti COVID-19 (Disentimiento)]],"Moderna",PP8=21),AND(Tabla1[[#This Row],[Tipo Biológico Vacuna anti COVID-19 (Disentimiento)]],"Sinovac",PP8=28)),"Día vacunación1","")))),"Día de Vacunación")</f>
        <v>Día de Vacunación</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FH1:FI1 FK1:FL1 FN1:FO1 FQ1:FZ1 GB1:GC1 GE1:GF1 GH1:HC1 HJ1:HN1 FL2 FO2:FP2 JD1:KW1 IX2:JB2 JD2:MT2 NM1 OD1:OE1 HZ1:JB1 OH1:XFC1 HD3:HI5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684:MP685 KJ1886:MP1953 KJ3419:KS3420 KJ3421:MP3450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IX3:MT8 FN9:FO29 HD9:HI29 IX9:IX29 EN9:EN29 EL9:EM3450 FP9:FP3450 HA9:HC3450 HS9:HT29 HM9:HR3450 IZ9:JM29 IY9:IY3450 JO9:JW29 JN9:JN3450 JY9:KF29 JX9:JX3450 KH9:KH29 KG9:KG3450 KJ9:MT29 KI9:KI3450 AD1:AD29 FE3:FE29 GX2:GX29 EY2:FA29 FC2:FC29 IT2:IV29 FH3:FH29 FK3:FL29 OH2:PK1499 N2:N3450 P2:P3450 BO1:BQ3450 CC1:CD3450 CG1:CG3450 CL1:CL3450 CN1:CO3450 CR1:CR3450 CU1:CU3450 CZ1:CZ3450 DW1:DZ3450 EP1:EQ3450 EU2:EU3450 GS2:GS3450 GV2:GV3450 HA6:HI8 IC2:IC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42573C4E-04B1-42E8-9448-F4B2D0983C0E}"/>
    </customSheetView>
  </customSheetViews>
  <phoneticPr fontId="33" type="noConversion"/>
  <conditionalFormatting sqref="D2:D8">
    <cfRule type="cellIs" dxfId="322" priority="26745" operator="equal">
      <formula>"SIN DATO"</formula>
    </cfRule>
    <cfRule type="cellIs" dxfId="321" priority="26746" operator="equal">
      <formula>"SIN ATENCIÓN"</formula>
    </cfRule>
    <cfRule type="cellIs" dxfId="320" priority="26747" operator="equal">
      <formula>"PROCESO PARCIAL DE ATENCIÓN"</formula>
    </cfRule>
    <cfRule type="cellIs" dxfId="319" priority="26748" operator="equal">
      <formula>"PROCESO COMPLETO DE ATENCIÓN"</formula>
    </cfRule>
  </conditionalFormatting>
  <conditionalFormatting sqref="P2:P8">
    <cfRule type="containsText" dxfId="318" priority="27225" operator="containsText" text="NA">
      <formula>NOT(ISERROR(SEARCH("NA",P2)))</formula>
    </cfRule>
    <cfRule type="containsText" dxfId="316" priority="27224" operator="containsText" text="NO">
      <formula>NOT(ISERROR(SEARCH("NO",P2)))</formula>
    </cfRule>
    <cfRule type="containsText" dxfId="315" priority="27223" operator="containsText" text="SI">
      <formula>NOT(ISERROR(SEARCH("SI",P2)))</formula>
    </cfRule>
  </conditionalFormatting>
  <conditionalFormatting sqref="Q2:Q8">
    <cfRule type="cellIs" dxfId="314" priority="27222" operator="equal">
      <formula>"TRAMITE DE PORTABILIDAD"</formula>
    </cfRule>
    <cfRule type="containsText" dxfId="313" priority="27221" operator="containsText" text="VIENE">
      <formula>NOT(ISERROR(SEARCH("VIENE",Q2)))</formula>
    </cfRule>
    <cfRule type="containsText" dxfId="312" priority="26935" operator="containsText" text="SIN AFILIACIÓN A EPS">
      <formula>NOT(ISERROR(SEARCH("SIN AFILIACIÓN A EPS",Q2)))</formula>
    </cfRule>
    <cfRule type="containsText" dxfId="311" priority="26934" operator="containsText" text="INMIGRANTE VENEZOLANA">
      <formula>NOT(ISERROR(SEARCH("INMIGRANTE VENEZOLANA",Q2)))</formula>
    </cfRule>
    <cfRule type="containsText" dxfId="310" priority="26929" operator="containsText" text="SE TRASLADO DE EPS">
      <formula>NOT(ISERROR(SEARCH("SE TRASLADO DE EPS",Q2)))</formula>
    </cfRule>
    <cfRule type="containsText" dxfId="309" priority="27220" operator="containsText" text="CPN">
      <formula>NOT(ISERROR(SEARCH("CPN",Q2)))</formula>
    </cfRule>
    <cfRule type="containsText" dxfId="308" priority="27219" operator="containsText" text="IDENTIDAD">
      <formula>NOT(ISERROR(SEARCH("IDENTIDAD",Q2)))</formula>
    </cfRule>
    <cfRule type="containsText" dxfId="307" priority="27218" operator="containsText" text="NOVEDAD">
      <formula>NOT(ISERROR(SEARCH("NOVEDAD",Q2)))</formula>
    </cfRule>
  </conditionalFormatting>
  <conditionalFormatting sqref="AC2:AC8">
    <cfRule type="containsText" dxfId="306" priority="27216" operator="containsText" text="PRIMARIA INCOMPLETA">
      <formula>NOT(ISERROR(SEARCH("PRIMARIA INCOMPLETA",AC2)))</formula>
    </cfRule>
    <cfRule type="containsText" dxfId="305" priority="27215" operator="containsText" text="SECUNDARIA">
      <formula>NOT(ISERROR(SEARCH("SECUNDARIA",AC2)))</formula>
    </cfRule>
    <cfRule type="containsText" dxfId="304" priority="27214" operator="containsText" text="SABE">
      <formula>NOT(ISERROR(SEARCH("SABE",AC2)))</formula>
    </cfRule>
    <cfRule type="cellIs" dxfId="303" priority="27217" operator="equal">
      <formula>"ANALFABETA"</formula>
    </cfRule>
  </conditionalFormatting>
  <conditionalFormatting sqref="AE2:AF5">
    <cfRule type="containsText" dxfId="302" priority="26550" operator="containsText" text="SI">
      <formula>NOT(ISERROR(SEARCH("SI",AE2)))</formula>
    </cfRule>
    <cfRule type="containsText" dxfId="301" priority="26549" operator="containsText" text="NO">
      <formula>NOT(ISERROR(SEARCH("NO",AE2)))</formula>
    </cfRule>
  </conditionalFormatting>
  <conditionalFormatting sqref="AE6:AF8">
    <cfRule type="containsText" dxfId="300" priority="2" operator="containsText" text="SI">
      <formula>NOT(ISERROR(SEARCH("SI",AE6)))</formula>
    </cfRule>
    <cfRule type="containsText" dxfId="299" priority="1" operator="containsText" text="NO">
      <formula>NOT(ISERROR(SEARCH("NO",AE6)))</formula>
    </cfRule>
  </conditionalFormatting>
  <conditionalFormatting sqref="AG2:AH8 AJ2:AJ8 AL2:BI8 BV2:BW8 BY2:BY8">
    <cfRule type="cellIs" dxfId="298" priority="27289" operator="equal">
      <formula>"NO"</formula>
    </cfRule>
    <cfRule type="cellIs" dxfId="297" priority="27290" operator="equal">
      <formula>"SI"</formula>
    </cfRule>
  </conditionalFormatting>
  <conditionalFormatting sqref="AI2:AI8">
    <cfRule type="containsText" dxfId="296" priority="26992" operator="containsText" text="DESPLAZADA">
      <formula>NOT(ISERROR(SEARCH("DESPLAZADA",AI2)))</formula>
    </cfRule>
    <cfRule type="containsText" dxfId="295" priority="26991" operator="containsText" text="DISCAPACIDAD">
      <formula>NOT(ISERROR(SEARCH("DISCAPACIDAD",AI2)))</formula>
    </cfRule>
    <cfRule type="containsText" dxfId="294" priority="26989" operator="containsText" text="NINGUNO">
      <formula>NOT(ISERROR(SEARCH("NINGUNO",AI2)))</formula>
    </cfRule>
    <cfRule type="containsText" dxfId="293" priority="26990" operator="containsText" text="MIGRATORIA">
      <formula>NOT(ISERROR(SEARCH("MIGRATORIA",AI2)))</formula>
    </cfRule>
  </conditionalFormatting>
  <conditionalFormatting sqref="AJ2:AJ8 AL2:BI8">
    <cfRule type="cellIs" dxfId="292" priority="27279" operator="equal">
      <formula>"SD"</formula>
    </cfRule>
  </conditionalFormatting>
  <conditionalFormatting sqref="AK2:AK8">
    <cfRule type="containsText" dxfId="291" priority="26994" operator="containsText" text="SIN RIESGO">
      <formula>NOT(ISERROR(SEARCH("SIN RIESGO",AK2)))</formula>
    </cfRule>
    <cfRule type="containsText" dxfId="290" priority="26993" operator="containsText" text="CON RIESGO">
      <formula>NOT(ISERROR(SEARCH("CON RIESGO",AK2)))</formula>
    </cfRule>
  </conditionalFormatting>
  <conditionalFormatting sqref="AV2:AV8">
    <cfRule type="cellIs" dxfId="289" priority="27211" operator="equal">
      <formula>2</formula>
    </cfRule>
    <cfRule type="cellIs" dxfId="288" priority="27210" operator="equal">
      <formula>"3 O MAS"</formula>
    </cfRule>
    <cfRule type="cellIs" dxfId="287" priority="27209" operator="equal">
      <formula>1</formula>
    </cfRule>
  </conditionalFormatting>
  <conditionalFormatting sqref="BL2:BL8">
    <cfRule type="cellIs" dxfId="286" priority="27208" operator="equal">
      <formula>"CORREGIDA"</formula>
    </cfRule>
    <cfRule type="cellIs" dxfId="285" priority="27207" operator="equal">
      <formula>"SI"</formula>
    </cfRule>
    <cfRule type="cellIs" dxfId="284" priority="27206" operator="equal">
      <formula>"NO"</formula>
    </cfRule>
  </conditionalFormatting>
  <conditionalFormatting sqref="BO1:BO1048576">
    <cfRule type="cellIs" dxfId="283" priority="26753" operator="equal">
      <formula>"SIN SEMANAS X ECO"</formula>
    </cfRule>
  </conditionalFormatting>
  <conditionalFormatting sqref="BP2:BP8">
    <cfRule type="cellIs" dxfId="282" priority="27205" operator="equal">
      <formula>"I TRIM"</formula>
    </cfRule>
    <cfRule type="cellIs" dxfId="281" priority="27204" operator="equal">
      <formula>"II TRIM"</formula>
    </cfRule>
    <cfRule type="cellIs" dxfId="280" priority="27203" operator="equal">
      <formula>"III TRIM"</formula>
    </cfRule>
    <cfRule type="cellIs" dxfId="279" priority="27202" operator="equal">
      <formula>"ERROR FUM O INGRESO O ECO"</formula>
    </cfRule>
    <cfRule type="cellIs" dxfId="278" priority="27201" operator="equal">
      <formula>"DEFINIR CON ECO"</formula>
    </cfRule>
  </conditionalFormatting>
  <conditionalFormatting sqref="BV2:BY8">
    <cfRule type="cellIs" dxfId="277" priority="26740" operator="equal">
      <formula>"SD"</formula>
    </cfRule>
  </conditionalFormatting>
  <conditionalFormatting sqref="BX2:BX8">
    <cfRule type="cellIs" dxfId="276" priority="26741" operator="equal">
      <formula>"OBLICUA"</formula>
    </cfRule>
    <cfRule type="cellIs" dxfId="274" priority="26743" operator="equal">
      <formula>"PODÁLICA"</formula>
    </cfRule>
    <cfRule type="cellIs" dxfId="273" priority="26744" operator="equal">
      <formula>"CEFÁLICA"</formula>
    </cfRule>
  </conditionalFormatting>
  <conditionalFormatting sqref="CD2:CD8">
    <cfRule type="containsText" dxfId="272" priority="27200" operator="containsText" text="INGRESAR">
      <formula>NOT(ISERROR(SEARCH("INGRESAR",CD2)))</formula>
    </cfRule>
    <cfRule type="containsText" dxfId="271" priority="27199" operator="containsText" text="PREGESTACION">
      <formula>NOT(ISERROR(SEARCH("PREGESTACION",CD2)))</formula>
    </cfRule>
    <cfRule type="containsText" dxfId="270" priority="27197" operator="containsText" text="OBESIDAD">
      <formula>NOT(ISERROR(SEARCH("OBESIDAD",CD2)))</formula>
    </cfRule>
    <cfRule type="containsText" dxfId="269" priority="27196" operator="containsText" text="NORMAL">
      <formula>NOT(ISERROR(SEARCH("NORMAL",CD2)))</formula>
    </cfRule>
    <cfRule type="containsText" dxfId="268" priority="27198" operator="containsText" text="BAJO PESO">
      <formula>NOT(ISERROR(SEARCH("BAJO PESO",CD2)))</formula>
    </cfRule>
    <cfRule type="containsText" dxfId="267" priority="27195" operator="containsText" text="SOBREPESO">
      <formula>NOT(ISERROR(SEARCH("SOBREPESO",CD2)))</formula>
    </cfRule>
  </conditionalFormatting>
  <conditionalFormatting sqref="CI2:CI8">
    <cfRule type="containsText" dxfId="266" priority="27194" operator="containsText" text="REGISTRAR">
      <formula>NOT(ISERROR(SEARCH("REGISTRAR",CI2)))</formula>
    </cfRule>
    <cfRule type="containsText" dxfId="265" priority="27193" operator="containsText" text="NORMAL">
      <formula>NOT(ISERROR(SEARCH("NORMAL",CI2)))</formula>
    </cfRule>
    <cfRule type="containsText" dxfId="264" priority="27192" operator="containsText" text="BAJO PESO">
      <formula>NOT(ISERROR(SEARCH("BAJO PESO",CI2)))</formula>
    </cfRule>
    <cfRule type="containsText" dxfId="263" priority="27191" operator="containsText" text="OBESIDAD">
      <formula>NOT(ISERROR(SEARCH("OBESIDAD",CI2)))</formula>
    </cfRule>
    <cfRule type="containsText" dxfId="262" priority="27189" operator="containsText" text="REVISAR">
      <formula>NOT(ISERROR(SEARCH("REVISAR",CI2)))</formula>
    </cfRule>
    <cfRule type="containsText" dxfId="261" priority="27190" operator="containsText" text="SOBREPESO">
      <formula>NOT(ISERROR(SEARCH("SOBREPESO",CI2)))</formula>
    </cfRule>
  </conditionalFormatting>
  <conditionalFormatting sqref="CN2:CO5">
    <cfRule type="containsText" dxfId="260" priority="27188" operator="containsText" text="REGISTRAR">
      <formula>NOT(ISERROR(SEARCH("REGISTRAR",CN2)))</formula>
    </cfRule>
    <cfRule type="containsText" dxfId="259" priority="27187" operator="containsText" text="REVISAR">
      <formula>NOT(ISERROR(SEARCH("REVISAR",CN2)))</formula>
    </cfRule>
    <cfRule type="containsText" dxfId="258" priority="27186" operator="containsText" text="SOBREPESO">
      <formula>NOT(ISERROR(SEARCH("SOBREPESO",CN2)))</formula>
    </cfRule>
    <cfRule type="containsText" dxfId="257" priority="27185" operator="containsText" text="OBESIDAD">
      <formula>NOT(ISERROR(SEARCH("OBESIDAD",CN2)))</formula>
    </cfRule>
    <cfRule type="containsText" dxfId="256" priority="27184" operator="containsText" text="NORMAL">
      <formula>NOT(ISERROR(SEARCH("NORMAL",CN2)))</formula>
    </cfRule>
    <cfRule type="containsText" dxfId="255" priority="27183" operator="containsText" text="BAJO PESO">
      <formula>NOT(ISERROR(SEARCH("BAJO PESO",CN2)))</formula>
    </cfRule>
  </conditionalFormatting>
  <conditionalFormatting sqref="CN6:CO8">
    <cfRule type="containsText" dxfId="254" priority="12" operator="containsText" text="NORMAL">
      <formula>NOT(ISERROR(SEARCH("NORMAL",CN6)))</formula>
    </cfRule>
    <cfRule type="containsText" dxfId="253" priority="13" operator="containsText" text="OBESIDAD">
      <formula>NOT(ISERROR(SEARCH("OBESIDAD",CN6)))</formula>
    </cfRule>
    <cfRule type="containsText" dxfId="252" priority="14" operator="containsText" text="SOBREPESO">
      <formula>NOT(ISERROR(SEARCH("SOBREPESO",CN6)))</formula>
    </cfRule>
    <cfRule type="containsText" dxfId="251" priority="15" operator="containsText" text="REVISAR">
      <formula>NOT(ISERROR(SEARCH("REVISAR",CN6)))</formula>
    </cfRule>
    <cfRule type="containsText" dxfId="250" priority="16" operator="containsText" text="REGISTRAR">
      <formula>NOT(ISERROR(SEARCH("REGISTRAR",CN6)))</formula>
    </cfRule>
    <cfRule type="containsText" dxfId="249" priority="11" operator="containsText" text="BAJO PESO">
      <formula>NOT(ISERROR(SEARCH("BAJO PESO",CN6)))</formula>
    </cfRule>
  </conditionalFormatting>
  <conditionalFormatting sqref="CO2:CO8">
    <cfRule type="containsText" dxfId="248" priority="26998" operator="containsText" text="INGRESAR">
      <formula>NOT(ISERROR(SEARCH("INGRESAR",CO2)))</formula>
    </cfRule>
  </conditionalFormatting>
  <conditionalFormatting sqref="CR2:CR8">
    <cfRule type="containsText" dxfId="247" priority="27181" operator="containsText" text="NORMAL">
      <formula>NOT(ISERROR(SEARCH("NORMAL",CR2)))</formula>
    </cfRule>
    <cfRule type="containsText" dxfId="246" priority="27182" operator="containsText" text="HTA">
      <formula>NOT(ISERROR(SEARCH("HTA",CR2)))</formula>
    </cfRule>
    <cfRule type="containsText" dxfId="245" priority="27180" operator="containsText" text="HIPOTENSION">
      <formula>NOT(ISERROR(SEARCH("HIPOTENSION",CR2)))</formula>
    </cfRule>
  </conditionalFormatting>
  <conditionalFormatting sqref="CU2:CU8">
    <cfRule type="containsText" dxfId="244" priority="27178" operator="containsText" text="NORMAL">
      <formula>NOT(ISERROR(SEARCH("NORMAL",CU2)))</formula>
    </cfRule>
    <cfRule type="containsText" dxfId="243" priority="27179" operator="containsText" text="HTA">
      <formula>NOT(ISERROR(SEARCH("HTA",CU2)))</formula>
    </cfRule>
    <cfRule type="containsText" dxfId="242" priority="27177" operator="containsText" text="VIGILAR">
      <formula>NOT(ISERROR(SEARCH("VIGILAR",CU2)))</formula>
    </cfRule>
    <cfRule type="containsText" dxfId="241" priority="27176" operator="containsText" text="HIPOTENSION">
      <formula>NOT(ISERROR(SEARCH("HIPOTENSION",CU2)))</formula>
    </cfRule>
  </conditionalFormatting>
  <conditionalFormatting sqref="CZ2:CZ8 HP2:HP8">
    <cfRule type="containsText" dxfId="240" priority="27173" operator="containsText" text="NORMAL">
      <formula>NOT(ISERROR(SEARCH("NORMAL",CZ2)))</formula>
    </cfRule>
    <cfRule type="containsText" dxfId="239" priority="27174" operator="containsText" text="VIGILAR">
      <formula>NOT(ISERROR(SEARCH("VIGILAR",CZ2)))</formula>
    </cfRule>
    <cfRule type="containsText" dxfId="238" priority="27175" operator="containsText" text="HTA">
      <formula>NOT(ISERROR(SEARCH("HTA",CZ2)))</formula>
    </cfRule>
  </conditionalFormatting>
  <conditionalFormatting sqref="DO2:DO8">
    <cfRule type="cellIs" dxfId="237" priority="26589" operator="greaterThanOrEqual">
      <formula>6</formula>
    </cfRule>
    <cfRule type="cellIs" dxfId="236" priority="26590" operator="between">
      <formula>4</formula>
      <formula>5</formula>
    </cfRule>
    <cfRule type="cellIs" dxfId="235" priority="26591" operator="between">
      <formula>0</formula>
      <formula>3</formula>
    </cfRule>
    <cfRule type="containsBlanks" priority="26588" stopIfTrue="1">
      <formula>LEN(TRIM(DO2))=0</formula>
    </cfRule>
  </conditionalFormatting>
  <conditionalFormatting sqref="DQ2:DQ8">
    <cfRule type="cellIs" dxfId="234" priority="26580" operator="between">
      <formula>28</formula>
      <formula>44</formula>
    </cfRule>
    <cfRule type="cellIs" dxfId="233" priority="26582" operator="equal">
      <formula>"SALE SIN PLAN DE PARTO"</formula>
    </cfRule>
    <cfRule type="cellIs" dxfId="232" priority="26583" operator="equal">
      <formula>"SALE PROGRAMA ANTES SEMANA 35"</formula>
    </cfRule>
    <cfRule type="cellIs" dxfId="231" priority="26584" operator="equal">
      <formula>"EN ESPERA"</formula>
    </cfRule>
    <cfRule type="cellIs" dxfId="230" priority="26585" operator="equal">
      <formula>"CONCERTAR PLAN DE PARTO INMEDIATO"</formula>
    </cfRule>
    <cfRule type="cellIs" dxfId="229" priority="26586" operator="equal">
      <formula>"PLANEAR PLAN DE PARTO"</formula>
    </cfRule>
    <cfRule type="cellIs" dxfId="228" priority="26587" operator="equal">
      <formula>"PLAN REALIZADO ANTES III TRIM"</formula>
    </cfRule>
  </conditionalFormatting>
  <conditionalFormatting sqref="DR2:DR8 HR2:HR8">
    <cfRule type="containsText" dxfId="227" priority="27160" operator="containsText" text="activa sin">
      <formula>NOT(ISERROR(SEARCH("activa sin",DR2)))</formula>
    </cfRule>
    <cfRule type="containsText" dxfId="226" priority="27161" operator="containsText" text="Activa ingreso">
      <formula>NOT(ISERROR(SEARCH("Activa ingreso",DR2)))</formula>
    </cfRule>
    <cfRule type="containsText" dxfId="225" priority="27162" operator="containsText" text="seguimiento">
      <formula>NOT(ISERROR(SEARCH("seguimiento",DR2)))</formula>
    </cfRule>
    <cfRule type="containsText" dxfId="224" priority="27163" operator="containsText" text="salio">
      <formula>NOT(ISERROR(SEARCH("salio",DR2)))</formula>
    </cfRule>
    <cfRule type="containsText" dxfId="223" priority="27164" operator="containsText" text="sale">
      <formula>NOT(ISERROR(SEARCH("sale",DR2)))</formula>
    </cfRule>
  </conditionalFormatting>
  <conditionalFormatting sqref="DT2:DT8 HQ2:HQ8">
    <cfRule type="containsText" dxfId="222" priority="27154" operator="containsText" text="MES">
      <formula>NOT(ISERROR(SEARCH("MES",DT2)))</formula>
    </cfRule>
    <cfRule type="containsText" dxfId="221" priority="27156" operator="containsText" text="DIA">
      <formula>NOT(ISERROR(SEARCH("DIA",DT2)))</formula>
    </cfRule>
    <cfRule type="containsText" dxfId="220" priority="26957" operator="containsText" text="DEFINIR">
      <formula>NOT(ISERROR(SEARCH("DEFINIR",DT2)))</formula>
    </cfRule>
    <cfRule type="containsText" dxfId="219" priority="27157" operator="containsText" text="FUERA">
      <formula>NOT(ISERROR(SEARCH("FUERA",DT2)))</formula>
    </cfRule>
    <cfRule type="containsText" dxfId="218" priority="27158" operator="containsText" text="BUSCAR">
      <formula>NOT(ISERROR(SEARCH("BUSCAR",DT2)))</formula>
    </cfRule>
    <cfRule type="containsText" dxfId="217" priority="27159" operator="containsText" text="INASISTENTE">
      <formula>NOT(ISERROR(SEARCH("INASISTENTE",DT2)))</formula>
    </cfRule>
    <cfRule type="containsText" dxfId="216" priority="27155" operator="containsText" text="SEMANA">
      <formula>NOT(ISERROR(SEARCH("SEMANA",DT2)))</formula>
    </cfRule>
  </conditionalFormatting>
  <conditionalFormatting sqref="DT2:DT8">
    <cfRule type="containsText" dxfId="215" priority="26579" operator="containsText" text="DILIGENCIAR">
      <formula>NOT(ISERROR(SEARCH("DILIGENCIAR",DT2)))</formula>
    </cfRule>
  </conditionalFormatting>
  <conditionalFormatting sqref="EL2:EL8 EQ2:EQ8">
    <cfRule type="containsText" dxfId="214" priority="27172" operator="containsText" text="ANEMIA">
      <formula>NOT(ISERROR(SEARCH("ANEMIA",EL2)))</formula>
    </cfRule>
    <cfRule type="containsText" dxfId="213" priority="27170" operator="containsText" text="DAR">
      <formula>NOT(ISERROR(SEARCH("DAR",EL2)))</formula>
    </cfRule>
    <cfRule type="containsText" dxfId="212" priority="27171" operator="containsText" text="NORMAL">
      <formula>NOT(ISERROR(SEARCH("NORMAL",EL2)))</formula>
    </cfRule>
  </conditionalFormatting>
  <conditionalFormatting sqref="EU2:EU8">
    <cfRule type="containsText" dxfId="211" priority="27166" operator="containsText" text="RIESGO">
      <formula>NOT(ISERROR(SEARCH("RIESGO",EU2)))</formula>
    </cfRule>
    <cfRule type="containsText" dxfId="210" priority="27165" operator="containsText" text="NO">
      <formula>NOT(ISERROR(SEARCH("NO",EU2)))</formula>
    </cfRule>
  </conditionalFormatting>
  <conditionalFormatting sqref="FB2:FB8">
    <cfRule type="containsText" dxfId="209" priority="26866" operator="containsText" text="NORMAL">
      <formula>NOT(ISERROR(SEARCH("NORMAL",FB2)))</formula>
    </cfRule>
    <cfRule type="containsText" dxfId="208" priority="26907" operator="containsText" text="COMPLETA">
      <formula>NOT(ISERROR(SEARCH("COMPLETA",FB2)))</formula>
    </cfRule>
    <cfRule type="containsText" dxfId="207" priority="26868" operator="containsText" text="TOMAR">
      <formula>NOT(ISERROR(SEARCH("TOMAR",FB2)))</formula>
    </cfRule>
    <cfRule type="containsText" dxfId="206" priority="26867" operator="containsText" text="DIABETES">
      <formula>NOT(ISERROR(SEARCH("DIABETES",FB2)))</formula>
    </cfRule>
    <cfRule type="containsText" dxfId="205" priority="26865" operator="containsText" text="PROGRAMAR">
      <formula>NOT(ISERROR(SEARCH("PROGRAMAR",FB2)))</formula>
    </cfRule>
    <cfRule type="containsText" dxfId="204" priority="26864" operator="containsText" text="NORMAL,">
      <formula>NOT(ISERROR(SEARCH("NORMAL,",FB2)))</formula>
    </cfRule>
  </conditionalFormatting>
  <conditionalFormatting sqref="FE2:FE8">
    <cfRule type="containsText" dxfId="203" priority="26693" operator="containsText" text="NEGATIVA">
      <formula>NOT(ISERROR(SEARCH("NEGATIVA",FE2)))</formula>
    </cfRule>
    <cfRule type="containsText" dxfId="202" priority="26692" operator="containsText" text="POSITIVA CASO SIFILIS">
      <formula>NOT(ISERROR(SEARCH("POSITIVA CASO SIFILIS",FE2)))</formula>
    </cfRule>
    <cfRule type="containsText" dxfId="201" priority="26691" operator="containsText" text="POSITIVA CICATRIZ">
      <formula>NOT(ISERROR(SEARCH("POSITIVA CICATRIZ",FE2)))</formula>
    </cfRule>
  </conditionalFormatting>
  <conditionalFormatting sqref="FG2:FG8">
    <cfRule type="containsText" dxfId="200" priority="26662" operator="containsText" text="INMEDIATA">
      <formula>NOT(ISERROR(SEARCH("INMEDIATA",FG2)))</formula>
    </cfRule>
    <cfRule type="containsText" dxfId="199" priority="26661" operator="containsText" text="RANGO">
      <formula>NOT(ISERROR(SEARCH("RANGO",FG2)))</formula>
    </cfRule>
    <cfRule type="containsText" dxfId="198" priority="26656" operator="containsText" text="NO APLICA">
      <formula>NOT(ISERROR(SEARCH("NO APLICA",FG2)))</formula>
    </cfRule>
    <cfRule type="cellIs" dxfId="197" priority="26659" operator="between">
      <formula>0</formula>
      <formula>13</formula>
    </cfRule>
    <cfRule type="containsText" dxfId="196" priority="26660" operator="containsText" text="EN ESPERA">
      <formula>NOT(ISERROR(SEARCH("EN ESPERA",FG2)))</formula>
    </cfRule>
    <cfRule type="containsText" dxfId="195" priority="26658" operator="containsText" text="REGISTRAR">
      <formula>NOT(ISERROR(SEARCH("REGISTRAR",FG2)))</formula>
    </cfRule>
    <cfRule type="containsText" dxfId="194" priority="26657" operator="containsText" text="PIERDE">
      <formula>NOT(ISERROR(SEARCH("PIERDE",FG2)))</formula>
    </cfRule>
  </conditionalFormatting>
  <conditionalFormatting sqref="FH2:FH8 FK2:FK8 FN2:FN8">
    <cfRule type="containsText" dxfId="193" priority="26652" operator="containsText" text="DILUCIONES ESTABLES">
      <formula>NOT(ISERROR(SEARCH("DILUCIONES ESTABLES",FH2)))</formula>
    </cfRule>
    <cfRule type="containsText" dxfId="192" priority="26654" operator="containsText" text="POSITIVA CASO SIFILIS">
      <formula>NOT(ISERROR(SEARCH("POSITIVA CASO SIFILIS",FH2)))</formula>
    </cfRule>
    <cfRule type="containsText" dxfId="191" priority="26651" operator="containsText" text="DILUCIONES DISMINUYEN">
      <formula>NOT(ISERROR(SEARCH("DILUCIONES DISMINUYEN",FH2)))</formula>
    </cfRule>
    <cfRule type="containsText" dxfId="190" priority="26650" operator="containsText" text="REINFECCIÓN">
      <formula>NOT(ISERROR(SEARCH("REINFECCIÓN",FH2)))</formula>
    </cfRule>
    <cfRule type="containsText" dxfId="189" priority="26655" operator="containsText" text="NEGATIVA">
      <formula>NOT(ISERROR(SEARCH("NEGATIVA",FH2)))</formula>
    </cfRule>
    <cfRule type="containsText" dxfId="188" priority="26653" operator="containsText" text="POSITIVA CICATRIZ">
      <formula>NOT(ISERROR(SEARCH("POSITIVA CICATRIZ",FH2)))</formula>
    </cfRule>
  </conditionalFormatting>
  <conditionalFormatting sqref="FJ2:FJ8 FM2:FM8">
    <cfRule type="containsText" dxfId="187" priority="26644" operator="containsText" text="PIERDE">
      <formula>NOT(ISERROR(SEARCH("PIERDE",FJ2)))</formula>
    </cfRule>
    <cfRule type="containsText" dxfId="186" priority="26645" operator="containsText" text="REGISTRAR">
      <formula>NOT(ISERROR(SEARCH("REGISTRAR",FJ2)))</formula>
    </cfRule>
    <cfRule type="containsText" dxfId="185" priority="26643" operator="containsText" text="NO APLICA">
      <formula>NOT(ISERROR(SEARCH("NO APLICA",FJ2)))</formula>
    </cfRule>
    <cfRule type="containsText" dxfId="184" priority="26649" operator="containsText" text="INMEDIATA">
      <formula>NOT(ISERROR(SEARCH("INMEDIATA",FJ2)))</formula>
    </cfRule>
    <cfRule type="containsText" dxfId="183" priority="26648" operator="containsText" text="RANGO">
      <formula>NOT(ISERROR(SEARCH("RANGO",FJ2)))</formula>
    </cfRule>
  </conditionalFormatting>
  <conditionalFormatting sqref="FJ2:FJ8">
    <cfRule type="cellIs" dxfId="182" priority="26577" operator="between">
      <formula>12</formula>
      <formula>28</formula>
    </cfRule>
  </conditionalFormatting>
  <conditionalFormatting sqref="FM2:FM8 FJ2:FJ8">
    <cfRule type="containsText" dxfId="181" priority="26647" operator="containsText" text="EN ESPERA">
      <formula>NOT(ISERROR(SEARCH("EN ESPERA",FJ2)))</formula>
    </cfRule>
  </conditionalFormatting>
  <conditionalFormatting sqref="FM2:FM8">
    <cfRule type="cellIs" dxfId="180" priority="26646" operator="between">
      <formula>28</formula>
      <formula>44</formula>
    </cfRule>
  </conditionalFormatting>
  <conditionalFormatting sqref="FP2:FP8">
    <cfRule type="containsText" dxfId="179" priority="27125" operator="containsText" text="GESTACIONAL">
      <formula>NOT(ISERROR(SEARCH("GESTACIONAL",FP2)))</formula>
    </cfRule>
  </conditionalFormatting>
  <conditionalFormatting sqref="FT2:FT8 GN2:GN8 GQ2:GR8 GW2:GW8">
    <cfRule type="containsText" dxfId="178" priority="27124" operator="containsText" text="NEGATIVO">
      <formula>NOT(ISERROR(SEARCH("NEGATIVO",FT2)))</formula>
    </cfRule>
    <cfRule type="containsText" dxfId="177" priority="27123" operator="containsText" text="POSITIVO">
      <formula>NOT(ISERROR(SEARCH("POSITIVO",FT2)))</formula>
    </cfRule>
  </conditionalFormatting>
  <conditionalFormatting sqref="FY2:FY8 GB2:GB8 GE2:GE8 GH2:GH8 GJ2:GJ8">
    <cfRule type="containsText" dxfId="176" priority="27121" operator="containsText" text="NO REACTIVA">
      <formula>NOT(ISERROR(SEARCH("NO REACTIVA",FY2)))</formula>
    </cfRule>
    <cfRule type="containsText" dxfId="175" priority="27120" operator="containsText" text="P.R REACTIVA">
      <formula>NOT(ISERROR(SEARCH("P.R REACTIVA",FY2)))</formula>
    </cfRule>
    <cfRule type="containsText" dxfId="174" priority="27122" operator="containsText" text="ELISA REACTIVA">
      <formula>NOT(ISERROR(SEARCH("ELISA REACTIVA",FY2)))</formula>
    </cfRule>
  </conditionalFormatting>
  <conditionalFormatting sqref="GA2:GA8">
    <cfRule type="containsText" dxfId="173" priority="26636" operator="containsText" text="NO APLICA">
      <formula>NOT(ISERROR(SEARCH("NO APLICA",GA2)))</formula>
    </cfRule>
    <cfRule type="containsText" dxfId="172" priority="26637" operator="containsText" text="PIERDE">
      <formula>NOT(ISERROR(SEARCH("PIERDE",GA2)))</formula>
    </cfRule>
    <cfRule type="containsText" dxfId="171" priority="26638" operator="containsText" text="REGISTRAR">
      <formula>NOT(ISERROR(SEARCH("REGISTRAR",GA2)))</formula>
    </cfRule>
    <cfRule type="containsText" dxfId="170" priority="26641" operator="containsText" text="RANGO">
      <formula>NOT(ISERROR(SEARCH("RANGO",GA2)))</formula>
    </cfRule>
    <cfRule type="containsText" dxfId="169" priority="26642" operator="containsText" text="INMEDIATA">
      <formula>NOT(ISERROR(SEARCH("INMEDIATA",GA2)))</formula>
    </cfRule>
    <cfRule type="containsText" dxfId="168" priority="26640" operator="containsText" text="EN ESPERA">
      <formula>NOT(ISERROR(SEARCH("EN ESPERA",GA2)))</formula>
    </cfRule>
    <cfRule type="cellIs" dxfId="167" priority="26639" operator="between">
      <formula>0</formula>
      <formula>13</formula>
    </cfRule>
  </conditionalFormatting>
  <conditionalFormatting sqref="GD2:GD8">
    <cfRule type="containsText" dxfId="166" priority="26630" operator="containsText" text="PIERDE">
      <formula>NOT(ISERROR(SEARCH("PIERDE",GD2)))</formula>
    </cfRule>
    <cfRule type="cellIs" dxfId="165" priority="26632" operator="between">
      <formula>12</formula>
      <formula>28</formula>
    </cfRule>
    <cfRule type="containsText" dxfId="164" priority="26633" operator="containsText" text="EN ESPERA">
      <formula>NOT(ISERROR(SEARCH("EN ESPERA",GD2)))</formula>
    </cfRule>
    <cfRule type="containsText" dxfId="163" priority="26634" operator="containsText" text="RANGO">
      <formula>NOT(ISERROR(SEARCH("RANGO",GD2)))</formula>
    </cfRule>
    <cfRule type="containsText" dxfId="162" priority="26635" operator="containsText" text="INMEDIATA">
      <formula>NOT(ISERROR(SEARCH("INMEDIATA",GD2)))</formula>
    </cfRule>
    <cfRule type="containsText" dxfId="161" priority="26631" operator="containsText" text="REGISTRAR">
      <formula>NOT(ISERROR(SEARCH("REGISTRAR",GD2)))</formula>
    </cfRule>
    <cfRule type="containsText" dxfId="160" priority="26629" operator="containsText" text="NO APLICA">
      <formula>NOT(ISERROR(SEARCH("NO APLICA",GD2)))</formula>
    </cfRule>
  </conditionalFormatting>
  <conditionalFormatting sqref="GG2:GG8">
    <cfRule type="containsText" dxfId="159" priority="26628" operator="containsText" text="INMEDIATA">
      <formula>NOT(ISERROR(SEARCH("INMEDIATA",GG2)))</formula>
    </cfRule>
    <cfRule type="containsText" dxfId="158" priority="26627" operator="containsText" text="RANGO">
      <formula>NOT(ISERROR(SEARCH("RANGO",GG2)))</formula>
    </cfRule>
    <cfRule type="containsText" dxfId="157" priority="26626" operator="containsText" text="EN ESPERA">
      <formula>NOT(ISERROR(SEARCH("EN ESPERA",GG2)))</formula>
    </cfRule>
    <cfRule type="cellIs" dxfId="156" priority="26625" operator="between">
      <formula>28</formula>
      <formula>44</formula>
    </cfRule>
    <cfRule type="containsText" dxfId="155" priority="26624" operator="containsText" text="REGISTRAR">
      <formula>NOT(ISERROR(SEARCH("REGISTRAR",GG2)))</formula>
    </cfRule>
    <cfRule type="containsText" dxfId="154" priority="26622" operator="containsText" text="NO APLICA">
      <formula>NOT(ISERROR(SEARCH("NO APLICA",GG2)))</formula>
    </cfRule>
    <cfRule type="containsText" dxfId="153" priority="26623" operator="containsText" text="PIERDE">
      <formula>NOT(ISERROR(SEARCH("PIERDE",GG2)))</formula>
    </cfRule>
  </conditionalFormatting>
  <conditionalFormatting sqref="GL2:GL8">
    <cfRule type="containsText" dxfId="152" priority="27106" operator="containsText" text="NEGATIVA">
      <formula>NOT(ISERROR(SEARCH("NEGATIVA",GL2)))</formula>
    </cfRule>
    <cfRule type="containsText" dxfId="151" priority="27107" operator="containsText" text="POSITIVA">
      <formula>NOT(ISERROR(SEARCH("POSITIVA",GL2)))</formula>
    </cfRule>
    <cfRule type="containsText" dxfId="150" priority="27104" operator="containsText" text="NO APLICA">
      <formula>NOT(ISERROR(SEARCH("NO APLICA",GL2)))</formula>
    </cfRule>
    <cfRule type="containsText" dxfId="149" priority="27105" operator="containsText" text="NO CONLUYENTE">
      <formula>NOT(ISERROR(SEARCH("NO CONLUYENTE",GL2)))</formula>
    </cfRule>
  </conditionalFormatting>
  <conditionalFormatting sqref="GS2:GS8">
    <cfRule type="containsText" dxfId="148" priority="27095" operator="containsText" text="Igm">
      <formula>NOT(ISERROR(SEARCH("Igm",GS2)))</formula>
    </cfRule>
    <cfRule type="containsText" dxfId="147" priority="27096" operator="containsText" text="REMITIR">
      <formula>NOT(ISERROR(SEARCH("REMITIR",GS2)))</formula>
    </cfRule>
    <cfRule type="containsText" dxfId="146" priority="27097" operator="containsText" text="EXCLUYE">
      <formula>NOT(ISERROR(SEARCH("EXCLUYE",GS2)))</formula>
    </cfRule>
  </conditionalFormatting>
  <conditionalFormatting sqref="GY2:GY8">
    <cfRule type="containsText" dxfId="145" priority="27092" operator="containsText" text="NEGATIVA">
      <formula>NOT(ISERROR(SEARCH("NEGATIVA",GY2)))</formula>
    </cfRule>
    <cfRule type="containsText" dxfId="144" priority="27089" operator="containsText" text="CARCINOMA">
      <formula>NOT(ISERROR(SEARCH("CARCINOMA",GY2)))</formula>
    </cfRule>
    <cfRule type="containsText" dxfId="143" priority="27090" operator="containsText" text="VPH">
      <formula>NOT(ISERROR(SEARCH("VPH",GY2)))</formula>
    </cfRule>
    <cfRule type="containsText" dxfId="142" priority="27091" operator="containsText" text="NIC">
      <formula>NOT(ISERROR(SEARCH("NIC",GY2)))</formula>
    </cfRule>
  </conditionalFormatting>
  <conditionalFormatting sqref="HC2:HC8">
    <cfRule type="containsText" dxfId="141" priority="27087" operator="containsText" text="COLPOSCOPIA">
      <formula>NOT(ISERROR(SEARCH("COLPOSCOPIA",HC2)))</formula>
    </cfRule>
    <cfRule type="containsText" dxfId="140" priority="27088" operator="containsText" text="ESQUEMA">
      <formula>NOT(ISERROR(SEARCH("ESQUEMA",HC2)))</formula>
    </cfRule>
  </conditionalFormatting>
  <conditionalFormatting sqref="HD2:HD8">
    <cfRule type="containsText" dxfId="139" priority="26618" operator="containsText" text="NO TOMADO">
      <formula>NOT(ISERROR(SEARCH("NO TOMADO",HD2)))</formula>
    </cfRule>
    <cfRule type="cellIs" dxfId="138" priority="26620" operator="equal">
      <formula>"NEGATIVO"</formula>
    </cfRule>
    <cfRule type="cellIs" dxfId="137" priority="26621" operator="equal">
      <formula>"POSITIVO"</formula>
    </cfRule>
    <cfRule type="containsText" dxfId="135" priority="26617" operator="containsText" text="INDETERMINADO">
      <formula>NOT(ISERROR(SEARCH("INDETERMINADO",HD2)))</formula>
    </cfRule>
  </conditionalFormatting>
  <conditionalFormatting sqref="HF2:HF8">
    <cfRule type="containsText" dxfId="134" priority="26598" operator="containsText" text="NO TOMADO">
      <formula>NOT(ISERROR(SEARCH("NO TOMADO",HF2)))</formula>
    </cfRule>
    <cfRule type="cellIs" dxfId="132" priority="26600" operator="equal">
      <formula>"NEGATIVO"</formula>
    </cfRule>
    <cfRule type="cellIs" dxfId="131" priority="26601" operator="equal">
      <formula>"POSITIVO"</formula>
    </cfRule>
    <cfRule type="containsText" dxfId="130" priority="26597" operator="containsText" text="INDETERMINADO">
      <formula>NOT(ISERROR(SEARCH("INDETERMINADO",HF2)))</formula>
    </cfRule>
  </conditionalFormatting>
  <conditionalFormatting sqref="HH2:HH8">
    <cfRule type="containsText" dxfId="129" priority="26592" operator="containsText" text="INDETERMINADO">
      <formula>NOT(ISERROR(SEARCH("INDETERMINADO",HH2)))</formula>
    </cfRule>
    <cfRule type="containsText" dxfId="128" priority="26593" operator="containsText" text="NO TOMADO">
      <formula>NOT(ISERROR(SEARCH("NO TOMADO",HH2)))</formula>
    </cfRule>
    <cfRule type="cellIs" dxfId="126" priority="26595" operator="equal">
      <formula>"NEGATIVO"</formula>
    </cfRule>
    <cfRule type="cellIs" dxfId="125" priority="26596" operator="equal">
      <formula>"POSITIVO"</formula>
    </cfRule>
  </conditionalFormatting>
  <conditionalFormatting sqref="HJ2:HJ8">
    <cfRule type="containsText" dxfId="124" priority="26757" operator="containsText" text="COVID19 PRIMER TRIMESTRE">
      <formula>NOT(ISERROR(SEARCH("COVID19 PRIMER TRIMESTRE",HJ2)))</formula>
    </cfRule>
    <cfRule type="containsText" dxfId="123" priority="26759" operator="containsText" text="SIN INFECCIÓN">
      <formula>NOT(ISERROR(SEARCH("SIN INFECCIÓN",HJ2)))</formula>
    </cfRule>
    <cfRule type="containsText" dxfId="122" priority="26758" operator="containsText" text="FACTOR DE RIESGO">
      <formula>NOT(ISERROR(SEARCH("FACTOR DE RIESGO",HJ2)))</formula>
    </cfRule>
    <cfRule type="containsText" dxfId="121" priority="26760" operator="containsText" text="NO SE EVALUA RIESGO INFECCIÓN COVID19">
      <formula>NOT(ISERROR(SEARCH("NO SE EVALUA RIESGO INFECCIÓN COVID19",HJ2)))</formula>
    </cfRule>
    <cfRule type="containsText" dxfId="120" priority="26756" operator="containsText" text="COVID19 SEGUNDO TRIMESTRE">
      <formula>NOT(ISERROR(SEARCH("COVID19 SEGUNDO TRIMESTRE",HJ2)))</formula>
    </cfRule>
    <cfRule type="containsText" dxfId="119" priority="26755" operator="containsText" text="COVID19 TERCER TRIMESTRE">
      <formula>NOT(ISERROR(SEARCH("COVID19 TERCER TRIMESTRE",HJ2)))</formula>
    </cfRule>
    <cfRule type="containsText" dxfId="118" priority="26754" operator="containsText" text="COVID19 PUERPERIO">
      <formula>NOT(ISERROR(SEARCH("COVID19 PUERPERIO",HJ2)))</formula>
    </cfRule>
  </conditionalFormatting>
  <conditionalFormatting sqref="HK2:HK8">
    <cfRule type="cellIs" dxfId="117" priority="26948" operator="equal">
      <formula>"******"</formula>
    </cfRule>
  </conditionalFormatting>
  <conditionalFormatting sqref="HK2:HL5">
    <cfRule type="notContainsBlanks" dxfId="116" priority="26954">
      <formula>LEN(TRIM(HK2))&gt;0</formula>
    </cfRule>
  </conditionalFormatting>
  <conditionalFormatting sqref="HK6:HL8">
    <cfRule type="notContainsBlanks" dxfId="115" priority="3">
      <formula>LEN(TRIM(HK6))&gt;0</formula>
    </cfRule>
  </conditionalFormatting>
  <conditionalFormatting sqref="HL2:HL8">
    <cfRule type="cellIs" dxfId="114" priority="26947" operator="equal">
      <formula>"************"</formula>
    </cfRule>
  </conditionalFormatting>
  <conditionalFormatting sqref="HM2:HM8">
    <cfRule type="containsText" dxfId="113" priority="26951" operator="containsText" text="BAJO">
      <formula>NOT(ISERROR(SEARCH("BAJO",HM2)))</formula>
    </cfRule>
    <cfRule type="cellIs" dxfId="112" priority="26949" operator="equal">
      <formula>"CON RIESGO"</formula>
    </cfRule>
    <cfRule type="containsText" dxfId="111" priority="26952" operator="containsText" text="ALTO">
      <formula>NOT(ISERROR(SEARCH("ALTO",HM2)))</formula>
    </cfRule>
  </conditionalFormatting>
  <conditionalFormatting sqref="HN2:HN8">
    <cfRule type="cellIs" dxfId="110" priority="26694" operator="equal">
      <formula>"********************************"</formula>
    </cfRule>
    <cfRule type="notContainsBlanks" dxfId="109" priority="26695">
      <formula>LEN(TRIM(HN2))&gt;0</formula>
    </cfRule>
  </conditionalFormatting>
  <conditionalFormatting sqref="HO2:HO8">
    <cfRule type="cellIs" dxfId="108" priority="26945" operator="equal">
      <formula>"SIN ANTECEDENTES DE RIESGO"</formula>
    </cfRule>
    <cfRule type="containsText" dxfId="107" priority="26953" operator="containsText" text="ASA">
      <formula>NOT(ISERROR(SEARCH("ASA",HO2)))</formula>
    </cfRule>
  </conditionalFormatting>
  <conditionalFormatting sqref="HQ2:HQ8">
    <cfRule type="containsText" dxfId="106" priority="26578" operator="containsText" text="DILIGENCIAR">
      <formula>NOT(ISERROR(SEARCH("DILIGENCIAR",HQ2)))</formula>
    </cfRule>
  </conditionalFormatting>
  <conditionalFormatting sqref="HS2:HT5">
    <cfRule type="cellIs" dxfId="105" priority="27236" operator="equal">
      <formula>"NO"</formula>
    </cfRule>
    <cfRule type="cellIs" dxfId="104" priority="27234" operator="equal">
      <formula>"SD"</formula>
    </cfRule>
    <cfRule type="cellIs" dxfId="103" priority="27237" operator="equal">
      <formula>"SI"</formula>
    </cfRule>
  </conditionalFormatting>
  <conditionalFormatting sqref="HS6:HT8">
    <cfRule type="cellIs" dxfId="102" priority="19" operator="equal">
      <formula>"SI"</formula>
    </cfRule>
    <cfRule type="cellIs" dxfId="101" priority="18" operator="equal">
      <formula>"NO"</formula>
    </cfRule>
    <cfRule type="cellIs" dxfId="100" priority="17" operator="equal">
      <formula>"SD"</formula>
    </cfRule>
  </conditionalFormatting>
  <conditionalFormatting sqref="HV2:HV8 HX2:HX8 HZ2:HZ8">
    <cfRule type="containsText" dxfId="99" priority="26958" operator="containsText" text="NO SE FORMULA">
      <formula>NOT(ISERROR(SEARCH("NO SE FORMULA",HV2)))</formula>
    </cfRule>
    <cfRule type="containsText" dxfId="98" priority="27067" operator="containsText" text="ADECUADO">
      <formula>NOT(ISERROR(SEARCH("ADECUADO",HV2)))</formula>
    </cfRule>
    <cfRule type="containsText" dxfId="97" priority="27066" operator="containsText" text="IRREGULAR">
      <formula>NOT(ISERROR(SEARCH("IRREGULAR",HV2)))</formula>
    </cfRule>
    <cfRule type="containsText" dxfId="96" priority="27065" operator="containsText" text="OTRO">
      <formula>NOT(ISERROR(SEARCH("OTRO",HV2)))</formula>
    </cfRule>
  </conditionalFormatting>
  <conditionalFormatting sqref="IK2:IK8 AE2:AH8 IA2:IA8 ID2:IE8">
    <cfRule type="cellIs" dxfId="95" priority="27262" operator="equal">
      <formula>"SD"</formula>
    </cfRule>
  </conditionalFormatting>
  <conditionalFormatting sqref="IK2:IK8 IA2:IA8 ID2:IE8">
    <cfRule type="cellIs" dxfId="94" priority="27264" operator="equal">
      <formula>"NO"</formula>
    </cfRule>
    <cfRule type="cellIs" dxfId="93" priority="27263" operator="equal">
      <formula>"SI"</formula>
    </cfRule>
  </conditionalFormatting>
  <conditionalFormatting sqref="IK2:IK8">
    <cfRule type="containsText" dxfId="92" priority="26576" operator="containsText" text="PROGRAMAR">
      <formula>NOT(ISERROR(SEARCH("PROGRAMAR",IK2)))</formula>
    </cfRule>
    <cfRule type="cellIs" dxfId="91" priority="26752" operator="equal">
      <formula>"FIRMA DISENTIMIENTO"</formula>
    </cfRule>
    <cfRule type="cellIs" dxfId="90" priority="26751" operator="equal">
      <formula>"CON REFUERZO"</formula>
    </cfRule>
    <cfRule type="cellIs" dxfId="89" priority="26750" operator="equal">
      <formula>"NO ACEPTA VACUNA Y NO FIRMA DISCENTIMIENTO"</formula>
    </cfRule>
    <cfRule type="cellIs" dxfId="88" priority="26749" operator="equal">
      <formula>"Error en Fecha x No Acepta no Firma"</formula>
    </cfRule>
    <cfRule type="containsText" dxfId="87" priority="26575" operator="containsText" text="PENDIENTE">
      <formula>NOT(ISERROR(SEARCH("PENDIENTE",IK2)))</formula>
    </cfRule>
  </conditionalFormatting>
  <conditionalFormatting sqref="IN2:IN8">
    <cfRule type="containsText" dxfId="86" priority="26884" operator="containsText" text="ESPERA">
      <formula>NOT(ISERROR(SEARCH("ESPERA",IN2)))</formula>
    </cfRule>
    <cfRule type="containsText" dxfId="85" priority="26880" operator="containsText" text="SEMANA 26">
      <formula>NOT(ISERROR(SEARCH("SEMANA 26",IN2)))</formula>
    </cfRule>
    <cfRule type="containsText" dxfId="84" priority="26877" operator="containsText" text="APLICADA ANTES">
      <formula>NOT(ISERROR(SEARCH("APLICADA ANTES",IN2)))</formula>
    </cfRule>
    <cfRule type="containsText" dxfId="83" priority="26879" operator="containsText" text="SALE">
      <formula>NOT(ISERROR(SEARCH("SALE",IN2)))</formula>
    </cfRule>
    <cfRule type="containsText" dxfId="82" priority="26881" operator="containsText" text="SEMANA 27">
      <formula>NOT(ISERROR(SEARCH("SEMANA 27",IN2)))</formula>
    </cfRule>
    <cfRule type="containsText" dxfId="81" priority="26882" operator="containsText" text="INASISTENTE">
      <formula>NOT(ISERROR(SEARCH("INASISTENTE",IN2)))</formula>
    </cfRule>
    <cfRule type="containsText" dxfId="80" priority="26883" operator="containsText" text="COLOCACIÓN">
      <formula>NOT(ISERROR(SEARCH("COLOCACIÓN",IN2)))</formula>
    </cfRule>
    <cfRule type="containsText" dxfId="79" priority="26878" operator="containsText" text="EDAD">
      <formula>NOT(ISERROR(SEARCH("EDAD",IN2)))</formula>
    </cfRule>
  </conditionalFormatting>
  <conditionalFormatting sqref="IR2:IR8">
    <cfRule type="containsText" dxfId="78" priority="27060" operator="containsText" text="POSIBLEMENTE">
      <formula>NOT(ISERROR(SEARCH("POSIBLEMENTE",IR2)))</formula>
    </cfRule>
    <cfRule type="containsText" dxfId="77" priority="27059" operator="containsText" text="MENOS">
      <formula>NOT(ISERROR(SEARCH("MENOS",IR2)))</formula>
    </cfRule>
    <cfRule type="containsText" dxfId="76" priority="27058" operator="containsText" text="SEMANA">
      <formula>NOT(ISERROR(SEARCH("SEMANA",IR2)))</formula>
    </cfRule>
    <cfRule type="containsText" dxfId="75" priority="27057" operator="containsText" text="PENDIENTE">
      <formula>NOT(ISERROR(SEARCH("PENDIENTE",IR2)))</formula>
    </cfRule>
  </conditionalFormatting>
  <conditionalFormatting sqref="IT2:IT8">
    <cfRule type="containsText" dxfId="74" priority="27056" operator="containsText" text="PARTO">
      <formula>NOT(ISERROR(SEARCH("PARTO",IT2)))</formula>
    </cfRule>
    <cfRule type="containsText" dxfId="73" priority="27055" operator="containsText" text="CESAREA">
      <formula>NOT(ISERROR(SEARCH("CESAREA",IT2)))</formula>
    </cfRule>
    <cfRule type="containsText" dxfId="72" priority="27054" operator="containsText" text="ABORTO">
      <formula>NOT(ISERROR(SEARCH("ABORTO",IT2)))</formula>
    </cfRule>
    <cfRule type="containsText" dxfId="71" priority="27053" operator="containsText" text="IVE">
      <formula>NOT(ISERROR(SEARCH("IVE",IT2)))</formula>
    </cfRule>
    <cfRule type="containsText" dxfId="70" priority="27052" operator="containsText" text="NEGACION">
      <formula>NOT(ISERROR(SEARCH("NEGACION",IT2)))</formula>
    </cfRule>
    <cfRule type="containsText" dxfId="69" priority="27051" operator="containsText" text="CAMBIO">
      <formula>NOT(ISERROR(SEARCH("CAMBIO",IT2)))</formula>
    </cfRule>
  </conditionalFormatting>
  <conditionalFormatting sqref="IU2:IU8">
    <cfRule type="containsText" dxfId="68" priority="27050" operator="containsText" text="SANA">
      <formula>NOT(ISERROR(SEARCH("SANA",IU2)))</formula>
    </cfRule>
    <cfRule type="containsText" dxfId="67" priority="27049" operator="containsText" text="MUERTE">
      <formula>NOT(ISERROR(SEARCH("MUERTE",IU2)))</formula>
    </cfRule>
    <cfRule type="cellIs" dxfId="66" priority="27048" operator="equal">
      <formula>"MUERTE Y MORBILIDAD MATERNA EXTREMA"</formula>
    </cfRule>
    <cfRule type="containsText" dxfId="65" priority="27047" operator="containsText" text="MME">
      <formula>NOT(ISERROR(SEARCH("MME",IU2)))</formula>
    </cfRule>
    <cfRule type="cellIs" dxfId="64" priority="26564" operator="equal">
      <formula>"MORBILIDAD MATERNA EXTREMA"</formula>
    </cfRule>
  </conditionalFormatting>
  <conditionalFormatting sqref="IV2:IV8">
    <cfRule type="containsText" dxfId="63" priority="27046" operator="containsText" text="SANO">
      <formula>NOT(ISERROR(SEARCH("SANO",IV2)))</formula>
    </cfRule>
    <cfRule type="containsText" dxfId="62" priority="27045" operator="containsText" text="HOSPITALIZACION">
      <formula>NOT(ISERROR(SEARCH("HOSPITALIZACION",IV2)))</formula>
    </cfRule>
    <cfRule type="containsText" dxfId="61" priority="27043" operator="containsText" text="MUERTE">
      <formula>NOT(ISERROR(SEARCH("MUERTE",IV2)))</formula>
    </cfRule>
    <cfRule type="containsText" dxfId="60" priority="27042" operator="containsText" text="MALFORMACIÓN">
      <formula>NOT(ISERROR(SEARCH("MALFORMACIÓN",IV2)))</formula>
    </cfRule>
    <cfRule type="containsText" dxfId="59" priority="27041" operator="containsText" text="SIFILIS">
      <formula>NOT(ISERROR(SEARCH("SIFILIS",IV2)))</formula>
    </cfRule>
    <cfRule type="cellIs" dxfId="58" priority="26563" operator="equal">
      <formula>"MUERTE PERINATAL Y MALFORMACIÓN CONGÉNITA"</formula>
    </cfRule>
    <cfRule type="containsText" dxfId="57" priority="27044" operator="containsText" text="UCI">
      <formula>NOT(ISERROR(SEARCH("UCI",IV2)))</formula>
    </cfRule>
  </conditionalFormatting>
  <conditionalFormatting sqref="IX2:IX8">
    <cfRule type="containsText" dxfId="56" priority="27040" operator="containsText" text="INSTITUCIONAL">
      <formula>NOT(ISERROR(SEARCH("INSTITUCIONAL",IX2)))</formula>
    </cfRule>
    <cfRule type="containsText" dxfId="55" priority="27038" operator="containsText" text="OTRO">
      <formula>NOT(ISERROR(SEARCH("OTRO",IX2)))</formula>
    </cfRule>
    <cfRule type="containsText" dxfId="54" priority="27039" operator="containsText" text="DOMICILIO">
      <formula>NOT(ISERROR(SEARCH("DOMICILIO",IX2)))</formula>
    </cfRule>
    <cfRule type="containsText" dxfId="53" priority="27037" operator="containsText" text="NO APLICA">
      <formula>NOT(ISERROR(SEARCH("NO APLICA",IX2)))</formula>
    </cfRule>
  </conditionalFormatting>
  <conditionalFormatting sqref="IY2:IY8">
    <cfRule type="cellIs" dxfId="52" priority="26573" operator="between">
      <formula>22</formula>
      <formula>"&lt;33"</formula>
    </cfRule>
    <cfRule type="cellIs" dxfId="51" priority="26571" operator="between">
      <formula>"&gt;40,5"</formula>
      <formula>42</formula>
    </cfRule>
    <cfRule type="cellIs" dxfId="50" priority="26572" operator="between">
      <formula>33</formula>
      <formula>"&lt;37"</formula>
    </cfRule>
    <cfRule type="cellIs" dxfId="49" priority="26574" operator="between">
      <formula>1</formula>
      <formula>21</formula>
    </cfRule>
    <cfRule type="containsBlanks" priority="26562" stopIfTrue="1">
      <formula>LEN(TRIM(IY2))=0</formula>
    </cfRule>
    <cfRule type="cellIs" dxfId="48" priority="26569" operator="greaterThanOrEqual">
      <formula>43</formula>
    </cfRule>
    <cfRule type="cellIs" dxfId="47" priority="26570" operator="between">
      <formula>37</formula>
      <formula>40.5</formula>
    </cfRule>
  </conditionalFormatting>
  <conditionalFormatting sqref="JA2:JA8">
    <cfRule type="containsText" dxfId="46" priority="27035" operator="containsText" text="MEDIANA">
      <formula>NOT(ISERROR(SEARCH("MEDIANA",JA2)))</formula>
    </cfRule>
    <cfRule type="containsText" dxfId="45" priority="27036" operator="containsText" text="BAJA">
      <formula>NOT(ISERROR(SEARCH("BAJA",JA2)))</formula>
    </cfRule>
    <cfRule type="containsText" dxfId="44" priority="27034" operator="containsText" text="ALTA">
      <formula>NOT(ISERROR(SEARCH("ALTA",JA2)))</formula>
    </cfRule>
    <cfRule type="containsText" dxfId="43" priority="27033" operator="containsText" text="NO APLICA">
      <formula>NOT(ISERROR(SEARCH("NO APLICA",JA2)))</formula>
    </cfRule>
  </conditionalFormatting>
  <conditionalFormatting sqref="JB2 JB3:JC5">
    <cfRule type="containsText" dxfId="42" priority="27030" operator="containsText" text="PARTERA">
      <formula>NOT(ISERROR(SEARCH("PARTERA",JB2)))</formula>
    </cfRule>
    <cfRule type="containsText" dxfId="41" priority="27031" operator="containsText" text="TÉCNICO">
      <formula>NOT(ISERROR(SEARCH("TÉCNICO",JB2)))</formula>
    </cfRule>
    <cfRule type="containsText" dxfId="40" priority="27032" operator="containsText" text="PROFESIONAL">
      <formula>NOT(ISERROR(SEARCH("PROFESIONAL",JB2)))</formula>
    </cfRule>
    <cfRule type="containsText" dxfId="39" priority="27028" operator="containsText" text="EQUIPO">
      <formula>NOT(ISERROR(SEARCH("EQUIPO",JB2)))</formula>
    </cfRule>
    <cfRule type="containsText" dxfId="38" priority="27027" operator="containsText" text="SIN">
      <formula>NOT(ISERROR(SEARCH("SIN",JB2)))</formula>
    </cfRule>
    <cfRule type="containsText" dxfId="37" priority="27029" operator="containsText" text="MEDICO TRADICIONAL">
      <formula>NOT(ISERROR(SEARCH("MEDICO TRADICIONAL",JB2)))</formula>
    </cfRule>
  </conditionalFormatting>
  <conditionalFormatting sqref="JB3:JC5 JB2">
    <cfRule type="containsText" dxfId="36" priority="27026" operator="containsText" text="NO APLICA">
      <formula>NOT(ISERROR(SEARCH("NO APLICA",JB2)))</formula>
    </cfRule>
  </conditionalFormatting>
  <conditionalFormatting sqref="JB6:JC8">
    <cfRule type="containsText" dxfId="35" priority="5" operator="containsText" text="SIN">
      <formula>NOT(ISERROR(SEARCH("SIN",JB6)))</formula>
    </cfRule>
    <cfRule type="containsText" dxfId="34" priority="6" operator="containsText" text="EQUIPO">
      <formula>NOT(ISERROR(SEARCH("EQUIPO",JB6)))</formula>
    </cfRule>
    <cfRule type="containsText" dxfId="33" priority="7" operator="containsText" text="MEDICO TRADICIONAL">
      <formula>NOT(ISERROR(SEARCH("MEDICO TRADICIONAL",JB6)))</formula>
    </cfRule>
    <cfRule type="containsText" dxfId="32" priority="10" operator="containsText" text="PROFESIONAL">
      <formula>NOT(ISERROR(SEARCH("PROFESIONAL",JB6)))</formula>
    </cfRule>
    <cfRule type="containsText" dxfId="31" priority="9" operator="containsText" text="TÉCNICO">
      <formula>NOT(ISERROR(SEARCH("TÉCNICO",JB6)))</formula>
    </cfRule>
    <cfRule type="containsText" dxfId="30" priority="8" operator="containsText" text="PARTERA">
      <formula>NOT(ISERROR(SEARCH("PARTERA",JB6)))</formula>
    </cfRule>
    <cfRule type="containsText" dxfId="29" priority="4" operator="containsText" text="NO APLICA">
      <formula>NOT(ISERROR(SEARCH("NO APLICA",JB6)))</formula>
    </cfRule>
  </conditionalFormatting>
  <conditionalFormatting sqref="JC2">
    <cfRule type="containsText" dxfId="28" priority="26565" operator="containsText" text="SIN DATO">
      <formula>NOT(ISERROR(SEARCH("SIN DATO",JC2)))</formula>
    </cfRule>
  </conditionalFormatting>
  <conditionalFormatting sqref="JC2:JC8">
    <cfRule type="containsText" dxfId="27" priority="26567" operator="containsText" text="LE HACEN INDUCCIÓN">
      <formula>NOT(ISERROR(SEARCH("LE HACEN INDUCCIÓN",JC2)))</formula>
    </cfRule>
    <cfRule type="containsText" dxfId="26" priority="26566" operator="containsText" text="LE HACEN CESÁREA SIN INICIO TRABAJO DE PARTO">
      <formula>NOT(ISERROR(SEARCH("LE HACEN CESÁREA SIN INICIO TRABAJO DE PARTO",JC2)))</formula>
    </cfRule>
    <cfRule type="containsText" dxfId="25" priority="26568" operator="containsText" text="ESPONTÁNEO">
      <formula>NOT(ISERROR(SEARCH("ESPONTÁNEO",JC2)))</formula>
    </cfRule>
  </conditionalFormatting>
  <conditionalFormatting sqref="JD2:JI5 KJ2:KL5">
    <cfRule type="cellIs" dxfId="24" priority="27255" operator="equal">
      <formula>"SI"</formula>
    </cfRule>
    <cfRule type="cellIs" dxfId="23" priority="27252" operator="equal">
      <formula>"SD"</formula>
    </cfRule>
    <cfRule type="cellIs" dxfId="22" priority="27253" operator="equal">
      <formula>"NO APLICA"</formula>
    </cfRule>
    <cfRule type="cellIs" dxfId="21" priority="27254" operator="equal">
      <formula>"NO"</formula>
    </cfRule>
  </conditionalFormatting>
  <conditionalFormatting sqref="JD6:JI8 KJ6:KL8">
    <cfRule type="cellIs" dxfId="20" priority="21" operator="equal">
      <formula>"NO APLICA"</formula>
    </cfRule>
    <cfRule type="cellIs" dxfId="19" priority="23" operator="equal">
      <formula>"SI"</formula>
    </cfRule>
    <cfRule type="cellIs" dxfId="18" priority="22" operator="equal">
      <formula>"NO"</formula>
    </cfRule>
    <cfRule type="cellIs" dxfId="17" priority="20" operator="equal">
      <formula>"SD"</formula>
    </cfRule>
  </conditionalFormatting>
  <conditionalFormatting sqref="JJ2:JJ8">
    <cfRule type="containsText" dxfId="16" priority="27024" operator="containsText" text="SIN COMPLICACION">
      <formula>NOT(ISERROR(SEARCH("SIN COMPLICACION",JJ2)))</formula>
    </cfRule>
    <cfRule type="containsText" dxfId="15" priority="27023" operator="containsText" text="SIN DATO">
      <formula>NOT(ISERROR(SEARCH("SIN DATO",JJ2)))</formula>
    </cfRule>
    <cfRule type="notContainsBlanks" dxfId="14" priority="27300">
      <formula>LEN(TRIM(JJ2))&gt;0</formula>
    </cfRule>
  </conditionalFormatting>
  <conditionalFormatting sqref="JN2:JN8 JX2:JX8">
    <cfRule type="containsText" dxfId="13" priority="27022" operator="containsText" text="BAJO">
      <formula>NOT(ISERROR(SEARCH("BAJO",JN2)))</formula>
    </cfRule>
    <cfRule type="containsText" dxfId="12" priority="27020" operator="containsText" text="GRANDE">
      <formula>NOT(ISERROR(SEARCH("GRANDE",JN2)))</formula>
    </cfRule>
    <cfRule type="containsText" dxfId="11" priority="27019" operator="containsText" text="PREMATURO">
      <formula>NOT(ISERROR(SEARCH("PREMATURO",JN2)))</formula>
    </cfRule>
    <cfRule type="containsText" dxfId="10" priority="27021" operator="containsText" text="ADECUADO">
      <formula>NOT(ISERROR(SEARCH("ADECUADO",JN2)))</formula>
    </cfRule>
  </conditionalFormatting>
  <conditionalFormatting sqref="JP2:JP8 JZ2:JZ8">
    <cfRule type="containsText" dxfId="9" priority="27013" operator="containsText" text="ANORMAL">
      <formula>NOT(ISERROR(SEARCH("ANORMAL",JP2)))</formula>
    </cfRule>
    <cfRule type="containsText" dxfId="8" priority="27012" operator="containsText" text="SIN DATO">
      <formula>NOT(ISERROR(SEARCH("SIN DATO",JP2)))</formula>
    </cfRule>
    <cfRule type="containsText" dxfId="7" priority="27014" operator="containsText" text="NORMAL">
      <formula>NOT(ISERROR(SEARCH("NORMAL",JP2)))</formula>
    </cfRule>
  </conditionalFormatting>
  <conditionalFormatting sqref="JR2:JR8 KB2:KB8">
    <cfRule type="containsText" dxfId="6" priority="27011" operator="containsText" text="SI">
      <formula>NOT(ISERROR(SEARCH("SI",JR2)))</formula>
    </cfRule>
    <cfRule type="containsText" dxfId="5" priority="27010" operator="containsText" text="NO">
      <formula>NOT(ISERROR(SEARCH("NO",JR2)))</formula>
    </cfRule>
    <cfRule type="containsText" dxfId="4" priority="27009" operator="containsText" text="SIN DATO">
      <formula>NOT(ISERROR(SEARCH("SIN DATO",JR2)))</formula>
    </cfRule>
    <cfRule type="containsText" dxfId="3" priority="27008" operator="containsText" text="NO APLICA">
      <formula>NOT(ISERROR(SEARCH("NO APLICA",JR2)))</formula>
    </cfRule>
  </conditionalFormatting>
  <conditionalFormatting sqref="KG2:KG8 KI2:KI8">
    <cfRule type="containsText" dxfId="2" priority="26928" operator="containsText" text="INASISTENTE">
      <formula>NOT(ISERROR(SEARCH("INASISTENTE",KG2)))</formula>
    </cfRule>
  </conditionalFormatting>
  <conditionalFormatting sqref="KG2:KG8">
    <cfRule type="containsText" dxfId="1" priority="26552" operator="containsText" text="INCONSISTENCIA">
      <formula>NOT(ISERROR(SEARCH("INCONSISTENCIA",KG2)))</formula>
    </cfRule>
  </conditionalFormatting>
  <conditionalFormatting sqref="KI2:KI8">
    <cfRule type="containsText" dxfId="0" priority="26551"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8 DA2:DB8 GM2:GM8 GK2:GK8" xr:uid="{00000000-0002-0000-0200-000000000000}">
      <formula1>43191</formula1>
    </dataValidation>
    <dataValidation type="list" showInputMessage="1" showErrorMessage="1" sqref="HT2:HT8" xr:uid="{00000000-0002-0000-0200-000004000000}">
      <formula1>"SI, SUMINISTRO IRREGULAR,NO,SD,NO APLICA"</formula1>
    </dataValidation>
    <dataValidation type="list" allowBlank="1" showInputMessage="1" showErrorMessage="1" sqref="JR2:JR8 KB2:KB8" xr:uid="{00000000-0002-0000-0200-000005000000}">
      <formula1>"SI,NO,SIN DATO,NO APLICA"</formula1>
    </dataValidation>
    <dataValidation type="list" allowBlank="1" showInputMessage="1" showErrorMessage="1" sqref="JS2:JS8 KC2:KC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X3:HX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8" xr:uid="{00000000-0002-0000-0200-00000A000000}">
      <formula1>43101</formula1>
    </dataValidation>
    <dataValidation type="date" operator="greaterThan" allowBlank="1" showInputMessage="1" showErrorMessage="1" error="SOLO FECHA" sqref="GT2:GT8 GO2:GO8" xr:uid="{00000000-0002-0000-0200-00000B000000}">
      <formula1>43556</formula1>
    </dataValidation>
    <dataValidation type="list" allowBlank="1" showInputMessage="1" showErrorMessage="1" sqref="LP2:LP8 MN2:MN8 LL2:LL8 LH2:LH8 LX2:LX8 LT2:LT8 LD2:LD8" xr:uid="{00000000-0002-0000-0200-00000C000000}">
      <formula1>"MEDICO (A) TRADICIONAL,PARTERO (A),PULESEADOR (A),SOBANDERO (A),YERBATERO (A),OTRO "</formula1>
    </dataValidation>
    <dataValidation type="date" operator="greaterThan" allowBlank="1" showInputMessage="1" showErrorMessage="1" sqref="IL2:IM8" xr:uid="{00000000-0002-0000-0200-00000D000000}">
      <formula1>43556</formula1>
    </dataValidation>
    <dataValidation type="date" operator="greaterThan" allowBlank="1" showInputMessage="1" showErrorMessage="1" error="SOLO FECHA" sqref="IW2:IW8" xr:uid="{00000000-0002-0000-0200-00000E000000}">
      <formula1>43831</formula1>
    </dataValidation>
    <dataValidation type="date" operator="greaterThan" allowBlank="1" showInputMessage="1" showErrorMessage="1" error="SOLO FECHA" prompt="COLOCAR FECHA SEGUNDO CONTROL, NO REPETIR LA FECHA DE INGRESO" sqref="DC2:DC8" xr:uid="{00000000-0002-0000-0200-00000F000000}">
      <formula1>43191</formula1>
    </dataValidation>
    <dataValidation type="list" allowBlank="1" showInputMessage="1" showErrorMessage="1" sqref="JP2:JP8" xr:uid="{00000000-0002-0000-0200-000010000000}">
      <formula1>"NORMAL,ANORMAL,NO APLICA,SIN DATO"</formula1>
    </dataValidation>
    <dataValidation type="list" allowBlank="1" showInputMessage="1" showErrorMessage="1" sqref="AS2:AS8" xr:uid="{00000000-0002-0000-0200-000011000000}">
      <formula1>"0,1,2,3,4,5,6,7,8,9,10,11,12,13,14,15"</formula1>
    </dataValidation>
    <dataValidation type="list" allowBlank="1" showInputMessage="1" showErrorMessage="1" sqref="AR2:AR8" xr:uid="{00000000-0002-0000-0200-000012000000}">
      <formula1>"0,1,2,3,4,5,6,7,8,9,10,11,12,13,14,15,16"</formula1>
    </dataValidation>
    <dataValidation type="list" allowBlank="1" showInputMessage="1" showErrorMessage="1" sqref="AV2:AV8" xr:uid="{00000000-0002-0000-0200-000013000000}">
      <formula1>"0,1,2,3 o MAS"</formula1>
    </dataValidation>
    <dataValidation type="list" allowBlank="1" showInputMessage="1" showErrorMessage="1" sqref="AT2:AT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S2:KS8 KV2:KV8" xr:uid="{00000000-0002-0000-0200-000016000000}">
      <formula1>"0,1,2,3,4,5,6,7,8,9,10,11,12,13,14,15,SD"</formula1>
    </dataValidation>
    <dataValidation type="list" allowBlank="1" showInputMessage="1" showErrorMessage="1" sqref="ER2:ER8" xr:uid="{00000000-0002-0000-0200-000017000000}">
      <formula1>"O+,O-,O--,A+,A-,A--,B+,B-,B--,AB+,AB-,AB--"</formula1>
    </dataValidation>
    <dataValidation type="list" allowBlank="1" showInputMessage="1" showErrorMessage="1" sqref="KJ2:KL8 JD2:JI8" xr:uid="{00000000-0002-0000-0200-000018000000}">
      <formula1>"SI, NO, NO APLICA, SD"</formula1>
    </dataValidation>
    <dataValidation type="list" allowBlank="1" showInputMessage="1" showErrorMessage="1" sqref="JK2:JK8" xr:uid="{00000000-0002-0000-0200-000019000000}">
      <formula1>"0,1,2,3,4,SIN DATO,NO APLICA"</formula1>
    </dataValidation>
    <dataValidation type="list" allowBlank="1" showInputMessage="1" showErrorMessage="1" sqref="AI2:AI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8 GX2:GX8" xr:uid="{00000000-0002-0000-0200-00001B000000}">
      <formula1>"0,1,2,3,4,5,6,7,8,9,NO APLICA"</formula1>
    </dataValidation>
    <dataValidation type="list" allowBlank="1" showInputMessage="1" showErrorMessage="1" sqref="BL2:BL8" xr:uid="{00000000-0002-0000-0200-00001C000000}">
      <formula1>"SI,NO,SD,CORREGIDA"</formula1>
    </dataValidation>
    <dataValidation type="list" allowBlank="1" showInputMessage="1" showErrorMessage="1" sqref="AW2:BI8 BV2:BW8 BY2:BY8 ID2:ID8 AE2:AH8 AJ2:AJ8 AL2:AQ8 AU2:AU8 IA2:IA8" xr:uid="{00000000-0002-0000-0200-00001D000000}">
      <formula1>"SI,NO,SD"</formula1>
    </dataValidation>
    <dataValidation type="list" allowBlank="1" showInputMessage="1" showErrorMessage="1" sqref="AD2:AD8" xr:uid="{00000000-0002-0000-0200-00001E000000}">
      <formula1>"SEMILLAS DE VIDA,CERO A SIEMPRE, RED UNIDOS,PROGRAMA ICBF, FAMILIAS ACCIÓN, OTRO, NINGUNO, SIN DATO"</formula1>
    </dataValidation>
    <dataValidation type="list" allowBlank="1" showInputMessage="1" showErrorMessage="1" sqref="I2:I8"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8" xr:uid="{00000000-0002-0000-0200-000020000000}">
      <formula1>"INSTITUCIONAL,DOMICILIO,OTRO,NO APLICA,SIN DATO"</formula1>
    </dataValidation>
    <dataValidation type="list" allowBlank="1" showInputMessage="1" showErrorMessage="1" sqref="EH2:EH8" xr:uid="{00000000-0002-0000-0200-000021000000}">
      <formula1>"0,1,2,3,4,5,6,7,8,9,SIN DATO"</formula1>
    </dataValidation>
    <dataValidation type="list" allowBlank="1" showInputMessage="1" showErrorMessage="1" sqref="AA2:AA8" xr:uid="{00000000-0002-0000-0200-000022000000}">
      <formula1>"INDIGENA,ROM-GITANO,RAIZAL,PALENQUERO,AFRODESCENDIENTE,MESTIZA,OTRO"</formula1>
    </dataValidation>
    <dataValidation type="list" allowBlank="1" showInputMessage="1" showErrorMessage="1" sqref="V2:V8" xr:uid="{00000000-0002-0000-0200-000023000000}">
      <formula1>"URBANO,RURAL,SIN DATO"</formula1>
    </dataValidation>
    <dataValidation type="list" allowBlank="1" showInputMessage="1" showErrorMessage="1" sqref="S2:S8" xr:uid="{00000000-0002-0000-0200-000024000000}">
      <formula1>"SUBSIDIADO,CONTRIBUTIVO,REGIMEN ESPECIAL,PARTICULAR,NO AFILIADO,SIN DATO"</formula1>
    </dataValidation>
    <dataValidation type="list" allowBlank="1" showInputMessage="1" showErrorMessage="1" sqref="AC2:AC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8 GQ2:GR8 GN2:GN8" xr:uid="{00000000-0002-0000-0200-000026000000}">
      <formula1>"NEGATIVO,POSITIVO,SIN DATO"</formula1>
    </dataValidation>
    <dataValidation type="list" allowBlank="1" showInputMessage="1" showErrorMessage="1" sqref="JV2:JV8 JL2:JL8" xr:uid="{00000000-0002-0000-0200-000027000000}">
      <formula1>"FEMENINO,MASCULINO,NO APLICA,SIN DATO"</formula1>
    </dataValidation>
    <dataValidation type="list" allowBlank="1" showInputMessage="1" showErrorMessage="1" sqref="JZ2:JZ8" xr:uid="{00000000-0002-0000-0200-000028000000}">
      <formula1>"NORMAL,ANORMAL,SIN DATO,NO APLICA"</formula1>
    </dataValidation>
    <dataValidation type="list" allowBlank="1" showInputMessage="1" showErrorMessage="1" sqref="AB2:AB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8" xr:uid="{00000000-0002-0000-0200-00002B000000}">
      <formula1>1</formula1>
      <formula2>3</formula2>
    </dataValidation>
    <dataValidation type="list" allowBlank="1" showInputMessage="1" showErrorMessage="1" sqref="GH2:GH8 FY2:FY8 GJ2:GJ8 GE2:GE8 GB2:GB8" xr:uid="{00000000-0002-0000-0200-00002C000000}">
      <formula1>"P.R REACTIVA,P.R NO REACTIVA,ELISA REACTIVA,ELISA NO REACTIVA,SIN DATO,NO APLICA"</formula1>
    </dataValidation>
    <dataValidation type="list" allowBlank="1" showInputMessage="1" showErrorMessage="1" sqref="GL2:GL8" xr:uid="{00000000-0002-0000-0200-00002D000000}">
      <formula1>"POSITIVA,NEGATIVA,NO CONCLUYENTE, SIN DATO, NO APLICA"</formula1>
    </dataValidation>
    <dataValidation type="list" allowBlank="1" showInputMessage="1" showErrorMessage="1" sqref="HS2:HS8" xr:uid="{00000000-0002-0000-0200-00002E000000}">
      <formula1>"SI, NO,SD"</formula1>
    </dataValidation>
    <dataValidation type="list" allowBlank="1" showInputMessage="1" showErrorMessage="1" sqref="JA2:JA8" xr:uid="{00000000-0002-0000-0200-00002F000000}">
      <formula1>"BAJA,MEDIANA,ALTA,NO APLICA,SIN DATO"</formula1>
    </dataValidation>
    <dataValidation type="list" allowBlank="1" showInputMessage="1" showErrorMessage="1" sqref="JJ2:JJ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8" xr:uid="{00000000-0002-0000-0200-000032000000}">
      <formula1>0.1</formula1>
      <formula2>42</formula2>
    </dataValidation>
    <dataValidation type="whole" allowBlank="1" showInputMessage="1" showErrorMessage="1" error="SOLO NÚMERO ENTERO" sqref="CP2:CQ8 CS2:CT8" xr:uid="{00000000-0002-0000-0200-000033000000}">
      <formula1>40</formula1>
      <formula2>200</formula2>
    </dataValidation>
    <dataValidation type="whole" allowBlank="1" showInputMessage="1" showErrorMessage="1" error="DIGITE NÚMERO ENTERO" sqref="CV2:CY8" xr:uid="{00000000-0002-0000-0200-000034000000}">
      <formula1>40</formula1>
      <formula2>250</formula2>
    </dataValidation>
    <dataValidation type="decimal" allowBlank="1" showInputMessage="1" showErrorMessage="1" error="SOLO NÚMERO" sqref="EI2:EI8" xr:uid="{00000000-0002-0000-0200-000035000000}">
      <formula1>1</formula1>
      <formula2>20</formula2>
    </dataValidation>
    <dataValidation type="list" allowBlank="1" showInputMessage="1" showErrorMessage="1" sqref="GW2:GW8" xr:uid="{00000000-0002-0000-0200-000036000000}">
      <formula1>"NEGATIVO,POSITIVO,NO APLICA,SIN DATO"</formula1>
    </dataValidation>
    <dataValidation type="date" operator="greaterThan" allowBlank="1" showInputMessage="1" showErrorMessage="1" error="SOLO FECHA VIGENTE UN AÑO" sqref="GZ2:GZ8" xr:uid="{00000000-0002-0000-0200-000037000000}">
      <formula1>42370</formula1>
    </dataValidation>
    <dataValidation type="list" allowBlank="1" showInputMessage="1" showErrorMessage="1" sqref="GY2:GY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8" xr:uid="{00000000-0002-0000-0200-000039000000}">
      <formula1>36526</formula1>
    </dataValidation>
    <dataValidation type="date" operator="greaterThan" allowBlank="1" showInputMessage="1" showErrorMessage="1" error="SOLO FECHA" sqref="IS2:IS8" xr:uid="{00000000-0002-0000-0200-00003A000000}">
      <formula1>42736</formula1>
    </dataValidation>
    <dataValidation type="list" allowBlank="1" showInputMessage="1" showErrorMessage="1" sqref="KO2:KP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8" xr:uid="{00000000-0002-0000-0200-00003C000000}">
      <formula1>40909</formula1>
    </dataValidation>
    <dataValidation type="whole" allowBlank="1" showInputMessage="1" showErrorMessage="1" error="SOLO NÚMEROS " promptTitle="ADVERTENCIA" prompt="SOLO ESCRIBIR NÚMEROS " sqref="EY2:EY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8" xr:uid="{00000000-0002-0000-0200-00003E000000}">
      <formula1>0</formula1>
      <formula2>700</formula2>
    </dataValidation>
    <dataValidation type="list" allowBlank="1" showInputMessage="1" showErrorMessage="1" prompt="REVISAR LISTA DESPLEGABLE, SE AUMENTAN NOVEDADES" sqref="Q2:Q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8" xr:uid="{00000000-0002-0000-0200-000040000000}">
      <formula1>44561</formula1>
    </dataValidation>
    <dataValidation type="date" operator="greaterThan" allowBlank="1" showInputMessage="1" showErrorMessage="1" error="VERIFICAR FECHA" sqref="R2:R8" xr:uid="{00000000-0002-0000-0200-000041000000}">
      <formula1>43831</formula1>
    </dataValidation>
    <dataValidation type="date" operator="greaterThan" allowBlank="1" showInputMessage="1" showErrorMessage="1" error="DIGITE FECHA" sqref="BZ2:BZ8" xr:uid="{00000000-0002-0000-0200-000042000000}">
      <formula1>43831</formula1>
    </dataValidation>
    <dataValidation type="date" operator="greaterThan" allowBlank="1" showInputMessage="1" showErrorMessage="1" error="DIGITE FECHA " sqref="CE2:CE8" xr:uid="{00000000-0002-0000-0200-000043000000}">
      <formula1>43831</formula1>
    </dataValidation>
    <dataValidation type="date" operator="greaterThan" allowBlank="1" showInputMessage="1" showErrorMessage="1" error="DIGITE SOLO FECHA" sqref="FC2:FC8" xr:uid="{00000000-0002-0000-0200-000044000000}">
      <formula1>43831</formula1>
    </dataValidation>
    <dataValidation type="date" operator="lessThanOrEqual" allowBlank="1" showInputMessage="1" showErrorMessage="1" error="INGRESE SOLO FECHA" sqref="BR2:BR8 BK2:BK8" xr:uid="{00000000-0002-0000-0200-000045000000}">
      <formula1>45013</formula1>
    </dataValidation>
    <dataValidation type="list" allowBlank="1" showInputMessage="1" showErrorMessage="1" sqref="HJ2:HJ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8 IH2:IH8 IF2:IF8" xr:uid="{00000000-0002-0000-0200-000047000000}">
      <formula1>44255</formula1>
    </dataValidation>
    <dataValidation type="list" allowBlank="1" showInputMessage="1" showErrorMessage="1" sqref="IE2:IE8" xr:uid="{00000000-0002-0000-0200-000048000000}">
      <formula1>"Astrazeneca,Firma Disentimiento,Janssen,Moderna,No Acepta y No Firma Disentimiento,Pfizer,Sinovac"</formula1>
    </dataValidation>
    <dataValidation type="list" operator="greaterThan" allowBlank="1" showInputMessage="1" showErrorMessage="1" sqref="II2:II8 IG2:IG8" xr:uid="{00000000-0002-0000-0200-000049000000}">
      <formula1>"Astrazeneca,Firma Disentimiento,Janssen,Moderna,No Acepta y No Firma Disentimiento,Pfizer,Sinovac"</formula1>
    </dataValidation>
    <dataValidation type="list" allowBlank="1" showInputMessage="1" showErrorMessage="1" sqref="BX3:BX8" xr:uid="{00000000-0002-0000-0200-00004C000000}">
      <formula1>"CEFÁLICA,PODÁLICA,TRANSVERSA,OBLICUA,SD"</formula1>
    </dataValidation>
    <dataValidation type="list" allowBlank="1" showInputMessage="1" showErrorMessage="1" sqref="HH2:HH8" xr:uid="{00000000-0002-0000-0200-00004D000000}">
      <formula1>"NO APLICA (Sin factor de riesgo - no zona endémica),NEGATIVO, POSITIVO,SOLICITADO NO TOMADO"</formula1>
    </dataValidation>
    <dataValidation type="list" allowBlank="1" showInputMessage="1" showErrorMessage="1" sqref="HD2:HD8" xr:uid="{00000000-0002-0000-0200-00004E000000}">
      <formula1>"NO APLICA (Sin factor de riesgo),NEGATIVO,POSITIVO,INDETERMINADO,SOLICITADO Y NO TOMADO"</formula1>
    </dataValidation>
    <dataValidation type="list" allowBlank="1" showInputMessage="1" showErrorMessage="1" sqref="FH2:FH8 FN2:FN8 FK2:FK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8" xr:uid="{00000000-0002-0000-0200-000050000000}">
      <formula1>"INICIO ESPONTÁNEO, LE HACEN INDUCCIÓN, LE HACEN CESÁREA SIN INICIO TRABAJO DE PARTO,SIN DATO"</formula1>
    </dataValidation>
    <dataValidation type="list" allowBlank="1" showInputMessage="1" showErrorMessage="1" sqref="FE2:FE8" xr:uid="{00000000-0002-0000-0200-000051000000}">
      <formula1>"P. R NEGATIVA,P. R POSITIVA CASO SIFILIS,P.R POSITIVA CICATRIZ"</formula1>
    </dataValidation>
    <dataValidation type="list" allowBlank="1" showInputMessage="1" showErrorMessage="1" sqref="HF2:HF8" xr:uid="{00000000-0002-0000-0200-000052000000}">
      <formula1>"NO APLICA (Sin factor de riesgo - No zona endémica),NEGATIVO, POSITIVO,SOLICITADO NO TOMADO"</formula1>
    </dataValidation>
    <dataValidation type="list" allowBlank="1" showInputMessage="1" showErrorMessage="1" sqref="T2:T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8" xr:uid="{00000000-0002-0000-0200-000055000000}">
      <formula1>"MADRE SANA, MORBILIDAD MATERNA EXTREMA, MUERTE MATERNA, MUERTE Y MORBILIDAD MATERNA EXTREMA, MADRE HOSPITALIZADA SIN MME,SIN DATO"</formula1>
    </dataValidation>
    <dataValidation type="list" allowBlank="1" showInputMessage="1" showErrorMessage="1" sqref="IV2:IV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8" xr:uid="{00000000-0002-0000-0200-000059000000}"/>
    <dataValidation type="list" allowBlank="1" showInputMessage="1" showErrorMessage="1" sqref="HV2:HV8" xr:uid="{00000000-0002-0000-0200-00005A000000}">
      <formula1>"ADECUADO SEGÚN GPC, SUMINISTRO IRREGULAR, NO SE FORMULA, SUMINISTRO OTRO COMPLEMENTO NUTRICIONAL, NO APLICA, SIN DATO"</formula1>
    </dataValidation>
    <dataValidation type="list" allowBlank="1" showInputMessage="1" showErrorMessage="1" sqref="HZ2:HZ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8 KF2:KF8" xr:uid="{00000000-0002-0000-0200-00005C000000}">
      <formula1>44561</formula1>
    </dataValidation>
    <dataValidation type="list" operator="greaterThan" allowBlank="1" showInputMessage="1" showErrorMessage="1" error="SOLO FECHA" sqref="DO2:DO8" xr:uid="{00000000-0002-0000-0200-00004A000000}">
      <formula1>"0,1,2,3,4,5,6,7"</formula1>
    </dataValidation>
    <dataValidation operator="greaterThan" allowBlank="1" showInputMessage="1" showErrorMessage="1" error="SOLO FECHA" sqref="DP2:DQ8" xr:uid="{00000000-0002-0000-0200-00004B000000}"/>
    <dataValidation type="date" operator="greaterThanOrEqual" allowBlank="1" showInputMessage="1" showErrorMessage="1" error="REVISAR FECHA INGRESO CPN" sqref="HU2:HU8" xr:uid="{00000000-0002-0000-0200-000001000000}">
      <formula1>R2</formula1>
    </dataValidation>
    <dataValidation type="date" operator="greaterThanOrEqual" allowBlank="1" showInputMessage="1" showErrorMessage="1" error="REVISAR FECHA INGRESO CPN" sqref="HW2:HW8" xr:uid="{00000000-0002-0000-0200-000002000000}">
      <formula1>R2</formula1>
    </dataValidation>
    <dataValidation type="date" operator="greaterThanOrEqual" allowBlank="1" showInputMessage="1" showErrorMessage="1" error="REVISAR FECHA INGRESO CPN" sqref="HY2:HY8"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NOT(ISERROR(SEARCH("ACUDE",P2)))</xm:f>
            <xm:f>"ACUDE"</xm:f>
            <x14:dxf>
              <font>
                <color rgb="FF9C0006"/>
              </font>
              <fill>
                <patternFill>
                  <bgColor rgb="FFFFC7CE"/>
                </patternFill>
              </fill>
            </x14:dxf>
          </x14:cfRule>
          <xm:sqref>P2:P8</xm:sqref>
        </x14:conditionalFormatting>
        <x14:conditionalFormatting xmlns:xm="http://schemas.microsoft.com/office/excel/2006/main">
          <x14:cfRule type="containsText" priority="26742" operator="containsText" id="{11C73A35-E407-43C9-8C7B-7575D55429E3}">
            <xm:f>NOT(ISERROR(SEARCH("TRANSVERSA",BX2)))</xm:f>
            <xm:f>"TRANSVERSA"</xm:f>
            <x14:dxf>
              <font>
                <color theme="0"/>
              </font>
              <fill>
                <patternFill>
                  <bgColor rgb="FFC00000"/>
                </patternFill>
              </fill>
            </x14:dxf>
          </x14:cfRule>
          <xm:sqref>BX2:BX8</xm:sqref>
        </x14:conditionalFormatting>
        <x14:conditionalFormatting xmlns:xm="http://schemas.microsoft.com/office/excel/2006/main">
          <x14:cfRule type="containsText" priority="26619" operator="containsText" id="{1795BAF9-38EF-462D-B98E-83E2E3C0A5F6}">
            <xm:f>NOT(ISERROR(SEARCH("NO APLICA",HD2)))</xm:f>
            <xm:f>"NO APLICA"</xm:f>
            <x14:dxf>
              <fill>
                <patternFill>
                  <bgColor rgb="FF92D050"/>
                </patternFill>
              </fill>
            </x14:dxf>
          </x14:cfRule>
          <xm:sqref>HD2:HD8</xm:sqref>
        </x14:conditionalFormatting>
        <x14:conditionalFormatting xmlns:xm="http://schemas.microsoft.com/office/excel/2006/main">
          <x14:cfRule type="containsText" priority="26599" operator="containsText" id="{60CDA409-A52C-4FD5-9AA2-107BD535D80F}">
            <xm:f>NOT(ISERROR(SEARCH("NO APLICA",HF2)))</xm:f>
            <xm:f>"NO APLICA"</xm:f>
            <x14:dxf>
              <fill>
                <patternFill>
                  <bgColor rgb="FF92D050"/>
                </patternFill>
              </fill>
            </x14:dxf>
          </x14:cfRule>
          <xm:sqref>HF2:HF8</xm:sqref>
        </x14:conditionalFormatting>
        <x14:conditionalFormatting xmlns:xm="http://schemas.microsoft.com/office/excel/2006/main">
          <x14:cfRule type="containsText" priority="26594" operator="containsText" id="{825EA4C6-02DE-4F6E-A31D-2C9A0976588D}">
            <xm:f>NOT(ISERROR(SEARCH("NO APLICA",HH2)))</xm:f>
            <xm:f>"NO APLICA"</xm:f>
            <x14:dxf>
              <fill>
                <patternFill>
                  <bgColor rgb="FF92D050"/>
                </patternFill>
              </fill>
            </x14:dxf>
          </x14:cfRule>
          <xm:sqref>HH2:HH8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2023-10-31T16:29:27Z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